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2.xml" ContentType="application/vnd.openxmlformats-officedocument.spreadsheetml.table+xml"/>
  <Override PartName="/xl/drawings/drawing6.xml" ContentType="application/vnd.openxmlformats-officedocument.drawing+xml"/>
  <Override PartName="/xl/tables/table3.xml" ContentType="application/vnd.openxmlformats-officedocument.spreadsheetml.table+xml"/>
  <Override PartName="/xl/drawings/drawing7.xml" ContentType="application/vnd.openxmlformats-officedocument.drawing+xml"/>
  <Override PartName="/xl/tables/table4.xml" ContentType="application/vnd.openxmlformats-officedocument.spreadsheetml.table+xml"/>
  <Override PartName="/xl/drawings/drawing8.xml" ContentType="application/vnd.openxmlformats-officedocument.drawing+xml"/>
  <Override PartName="/xl/tables/table5.xml" ContentType="application/vnd.openxmlformats-officedocument.spreadsheetml.table+xml"/>
  <Override PartName="/xl/drawings/drawing9.xml" ContentType="application/vnd.openxmlformats-officedocument.drawing+xml"/>
  <Override PartName="/xl/tables/table6.xml" ContentType="application/vnd.openxmlformats-officedocument.spreadsheetml.table+xml"/>
  <Override PartName="/xl/drawings/drawing10.xml" ContentType="application/vnd.openxmlformats-officedocument.drawing+xml"/>
  <Override PartName="/xl/tables/table7.xml" ContentType="application/vnd.openxmlformats-officedocument.spreadsheetml.table+xml"/>
  <Override PartName="/xl/drawings/drawing11.xml" ContentType="application/vnd.openxmlformats-officedocument.drawing+xml"/>
  <Override PartName="/xl/tables/table8.xml" ContentType="application/vnd.openxmlformats-officedocument.spreadsheetml.table+xml"/>
  <Override PartName="/xl/drawings/drawing12.xml" ContentType="application/vnd.openxmlformats-officedocument.drawing+xml"/>
  <Override PartName="/xl/tables/table9.xml" ContentType="application/vnd.openxmlformats-officedocument.spreadsheetml.table+xml"/>
  <Override PartName="/xl/drawings/drawing13.xml" ContentType="application/vnd.openxmlformats-officedocument.drawing+xml"/>
  <Override PartName="/xl/tables/table10.xml" ContentType="application/vnd.openxmlformats-officedocument.spreadsheetml.table+xml"/>
  <Override PartName="/xl/drawings/drawing14.xml" ContentType="application/vnd.openxmlformats-officedocument.drawing+xml"/>
  <Override PartName="/xl/tables/table11.xml" ContentType="application/vnd.openxmlformats-officedocument.spreadsheetml.table+xml"/>
  <Override PartName="/xl/drawings/drawing15.xml" ContentType="application/vnd.openxmlformats-officedocument.drawing+xml"/>
  <Override PartName="/xl/tables/table12.xml" ContentType="application/vnd.openxmlformats-officedocument.spreadsheetml.table+xml"/>
  <Override PartName="/xl/drawings/drawing16.xml" ContentType="application/vnd.openxmlformats-officedocument.drawing+xml"/>
  <Override PartName="/xl/tables/table13.xml" ContentType="application/vnd.openxmlformats-officedocument.spreadsheetml.table+xml"/>
  <Override PartName="/xl/drawings/drawing17.xml" ContentType="application/vnd.openxmlformats-officedocument.drawing+xml"/>
  <Override PartName="/xl/tables/table14.xml" ContentType="application/vnd.openxmlformats-officedocument.spreadsheetml.table+xml"/>
  <Override PartName="/xl/drawings/drawing18.xml" ContentType="application/vnd.openxmlformats-officedocument.drawing+xml"/>
  <Override PartName="/xl/tables/table15.xml" ContentType="application/vnd.openxmlformats-officedocument.spreadsheetml.table+xml"/>
  <Override PartName="/xl/drawings/drawing19.xml" ContentType="application/vnd.openxmlformats-officedocument.drawing+xml"/>
  <Override PartName="/xl/tables/table16.xml" ContentType="application/vnd.openxmlformats-officedocument.spreadsheetml.table+xml"/>
  <Override PartName="/xl/drawings/drawing20.xml" ContentType="application/vnd.openxmlformats-officedocument.drawing+xml"/>
  <Override PartName="/xl/tables/table17.xml" ContentType="application/vnd.openxmlformats-officedocument.spreadsheetml.table+xml"/>
  <Override PartName="/xl/drawings/drawing21.xml" ContentType="application/vnd.openxmlformats-officedocument.drawing+xml"/>
  <Override PartName="/xl/tables/table18.xml" ContentType="application/vnd.openxmlformats-officedocument.spreadsheetml.table+xml"/>
  <Override PartName="/xl/drawings/drawing22.xml" ContentType="application/vnd.openxmlformats-officedocument.drawing+xml"/>
  <Override PartName="/xl/tables/table19.xml" ContentType="application/vnd.openxmlformats-officedocument.spreadsheetml.table+xml"/>
  <Override PartName="/xl/drawings/drawing23.xml" ContentType="application/vnd.openxmlformats-officedocument.drawing+xml"/>
  <Override PartName="/xl/tables/table20.xml" ContentType="application/vnd.openxmlformats-officedocument.spreadsheetml.table+xml"/>
  <Override PartName="/xl/drawings/drawing24.xml" ContentType="application/vnd.openxmlformats-officedocument.drawing+xml"/>
  <Override PartName="/xl/tables/table21.xml" ContentType="application/vnd.openxmlformats-officedocument.spreadsheetml.table+xml"/>
  <Override PartName="/xl/drawings/drawing25.xml" ContentType="application/vnd.openxmlformats-officedocument.drawing+xml"/>
  <Override PartName="/xl/tables/table22.xml" ContentType="application/vnd.openxmlformats-officedocument.spreadsheetml.table+xml"/>
  <Override PartName="/xl/drawings/drawing26.xml" ContentType="application/vnd.openxmlformats-officedocument.drawing+xml"/>
  <Override PartName="/xl/tables/table23.xml" ContentType="application/vnd.openxmlformats-officedocument.spreadsheetml.table+xml"/>
  <Override PartName="/xl/drawings/drawing27.xml" ContentType="application/vnd.openxmlformats-officedocument.drawing+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wello\Desktop\My Files\Project\"/>
    </mc:Choice>
  </mc:AlternateContent>
  <xr:revisionPtr revIDLastSave="0" documentId="13_ncr:1_{16C14937-92E3-484D-8F09-DD171D112F31}" xr6:coauthVersionLast="47" xr6:coauthVersionMax="47" xr10:uidLastSave="{00000000-0000-0000-0000-000000000000}"/>
  <bookViews>
    <workbookView xWindow="-120" yWindow="-120" windowWidth="29040" windowHeight="15720" tabRatio="914" xr2:uid="{00000000-000D-0000-FFFF-FFFF00000000}"/>
  </bookViews>
  <sheets>
    <sheet name="Legal" sheetId="27" r:id="rId1"/>
    <sheet name="Dry Mouth Criteria" sheetId="54" r:id="rId2"/>
    <sheet name="Dry Mouth Products" sheetId="53" r:id="rId3"/>
    <sheet name="Hemorrhoid Criteria" sheetId="51" r:id="rId4"/>
    <sheet name="Hemorrhoid Products" sheetId="52" r:id="rId5"/>
    <sheet name="Diabetes Meter Criteria" sheetId="49" r:id="rId6"/>
    <sheet name="Diabetes Meter Products" sheetId="50" r:id="rId7"/>
    <sheet name="Cough &amp; Cold Criteria" sheetId="1" r:id="rId8"/>
    <sheet name="Cough &amp; Cold Products" sheetId="3" r:id="rId9"/>
    <sheet name="Allergy Criteria" sheetId="4" r:id="rId10"/>
    <sheet name="Allergy Products" sheetId="5" r:id="rId11"/>
    <sheet name="Pain Criteria" sheetId="7" r:id="rId12"/>
    <sheet name="Pain Products" sheetId="8" r:id="rId13"/>
    <sheet name="Insomnia Criteria" sheetId="9" r:id="rId14"/>
    <sheet name="Insomnia Products" sheetId="6" r:id="rId15"/>
    <sheet name="Vaginal Criteria" sheetId="12" r:id="rId16"/>
    <sheet name="Vaginal Products" sheetId="11" r:id="rId17"/>
    <sheet name="GastroIntestinal Criteria" sheetId="14" r:id="rId18"/>
    <sheet name="Gastrointestinal Products" sheetId="13" r:id="rId19"/>
    <sheet name="Eye Drop Criteria" sheetId="16" r:id="rId20"/>
    <sheet name="Eye Drop Products" sheetId="15" r:id="rId21"/>
    <sheet name="Medicated Shampoo Criteria" sheetId="36" r:id="rId22"/>
    <sheet name="Medicated Shampoo" sheetId="34" r:id="rId23"/>
    <sheet name="Dry Skin Criteria" sheetId="39" r:id="rId24"/>
    <sheet name="Dry Skin Products" sheetId="38" r:id="rId25"/>
    <sheet name="Wart Criteria" sheetId="35" r:id="rId26"/>
    <sheet name="Wart Products" sheetId="32" r:id="rId27"/>
    <sheet name="Anti-Infection Skin Criteria" sheetId="37" r:id="rId28"/>
    <sheet name="Anti-Infection Skin Products" sheetId="31" r:id="rId29"/>
    <sheet name="Acne Products Criteria" sheetId="29" r:id="rId30"/>
    <sheet name="Acne Products" sheetId="30" r:id="rId31"/>
    <sheet name="Ear Product Criteria" sheetId="19" r:id="rId32"/>
    <sheet name="Ear Products" sheetId="20" r:id="rId33"/>
    <sheet name="Sun Screen Criteria" sheetId="24" r:id="rId34"/>
    <sheet name="Sun Screen Products" sheetId="23" r:id="rId35"/>
    <sheet name="Family Planning Criteria" sheetId="40" r:id="rId36"/>
    <sheet name="Family Planning Products" sheetId="43" r:id="rId37"/>
    <sheet name="Smoking Cessation Criteria" sheetId="46" r:id="rId38"/>
    <sheet name="Smoking Cessation Products" sheetId="44" r:id="rId39"/>
    <sheet name="Blood Pressure Criteria" sheetId="47" r:id="rId40"/>
    <sheet name="Blood Pressure Monitor Product" sheetId="41" r:id="rId41"/>
    <sheet name="Lice Product Criteria" sheetId="48" r:id="rId42"/>
    <sheet name="Lice Products" sheetId="45" r:id="rId43"/>
    <sheet name="Bandage Product Criteria" sheetId="55" r:id="rId44"/>
    <sheet name="Bandage Products" sheetId="58" r:id="rId45"/>
    <sheet name="Infant Formula Criteria" sheetId="56" r:id="rId46"/>
    <sheet name="Infant Formula Products" sheetId="61" r:id="rId47"/>
    <sheet name="Meal Replacement Criteria" sheetId="62" r:id="rId48"/>
    <sheet name="Meal Replacement Products" sheetId="59" r:id="rId49"/>
    <sheet name="Incontinence Criteria" sheetId="57" r:id="rId50"/>
    <sheet name="Incontinence Products" sheetId="60" r:id="rId51"/>
    <sheet name="Oral Criteria" sheetId="64" r:id="rId52"/>
    <sheet name="Oral Products" sheetId="63" r:id="rId53"/>
    <sheet name="random" sheetId="2" r:id="rId5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6" i="41" l="1"/>
  <c r="A36" i="41" s="1"/>
  <c r="Q35" i="41"/>
  <c r="A35" i="41" s="1"/>
  <c r="Q34" i="41"/>
  <c r="A34" i="41" s="1"/>
  <c r="Q33" i="41"/>
  <c r="A33" i="41" s="1"/>
  <c r="Q32" i="41"/>
  <c r="A32" i="41" s="1"/>
  <c r="Q31" i="41"/>
  <c r="A31" i="41" s="1"/>
  <c r="Q30" i="41"/>
  <c r="A30" i="41" s="1"/>
  <c r="Q29" i="41"/>
  <c r="A29" i="41" s="1"/>
  <c r="Q28" i="41"/>
  <c r="A28" i="41" s="1"/>
  <c r="Q27" i="41"/>
  <c r="A27" i="41" s="1"/>
  <c r="Q26" i="41"/>
  <c r="A26" i="41" s="1"/>
  <c r="Q25" i="41"/>
  <c r="A25" i="41" s="1"/>
  <c r="C5" i="39"/>
  <c r="K5" i="38"/>
  <c r="K38" i="38" s="1"/>
  <c r="S9" i="38"/>
  <c r="S24" i="38"/>
  <c r="S32" i="38"/>
  <c r="S57" i="38"/>
  <c r="S61" i="38"/>
  <c r="S65" i="38"/>
  <c r="S73" i="38"/>
  <c r="S76" i="38"/>
  <c r="S85" i="38"/>
  <c r="S92" i="38"/>
  <c r="S93" i="38"/>
  <c r="S94" i="38"/>
  <c r="S95" i="38"/>
  <c r="S96" i="38"/>
  <c r="S97" i="38"/>
  <c r="S98" i="38"/>
  <c r="S99" i="38"/>
  <c r="S100" i="38"/>
  <c r="J3" i="34"/>
  <c r="J4" i="34"/>
  <c r="J5" i="34"/>
  <c r="J6" i="34"/>
  <c r="J7" i="34"/>
  <c r="J8" i="34"/>
  <c r="J9" i="34"/>
  <c r="J10" i="34"/>
  <c r="J11" i="34"/>
  <c r="J12" i="34"/>
  <c r="J13" i="34"/>
  <c r="J14" i="34"/>
  <c r="J15" i="34"/>
  <c r="J16" i="34"/>
  <c r="J17" i="34"/>
  <c r="J18" i="34"/>
  <c r="J19" i="34"/>
  <c r="J20" i="34"/>
  <c r="J21" i="34"/>
  <c r="J22" i="34"/>
  <c r="J23" i="34"/>
  <c r="J24" i="34"/>
  <c r="J25" i="34"/>
  <c r="J26" i="34"/>
  <c r="J27" i="34"/>
  <c r="J28" i="34"/>
  <c r="J2" i="34"/>
  <c r="T88" i="15"/>
  <c r="T2" i="15"/>
  <c r="T3" i="15"/>
  <c r="T4" i="15"/>
  <c r="T5" i="15"/>
  <c r="T6" i="15"/>
  <c r="T7" i="15"/>
  <c r="T8" i="15"/>
  <c r="T9" i="15"/>
  <c r="T10" i="15"/>
  <c r="T11" i="15"/>
  <c r="T12" i="15"/>
  <c r="T13" i="15"/>
  <c r="T14" i="15"/>
  <c r="T15" i="15"/>
  <c r="T16" i="15"/>
  <c r="T17" i="15"/>
  <c r="T18" i="15"/>
  <c r="T19" i="15"/>
  <c r="T20" i="15"/>
  <c r="T21" i="15"/>
  <c r="T22" i="15"/>
  <c r="T23" i="15"/>
  <c r="T24" i="15"/>
  <c r="T25" i="15"/>
  <c r="T26" i="15"/>
  <c r="T27" i="15"/>
  <c r="T28" i="15"/>
  <c r="T29" i="15"/>
  <c r="T30" i="15"/>
  <c r="T31" i="15"/>
  <c r="T32" i="15"/>
  <c r="T33" i="15"/>
  <c r="T34" i="15"/>
  <c r="T35" i="15"/>
  <c r="T36" i="15"/>
  <c r="T37" i="15"/>
  <c r="T38" i="15"/>
  <c r="T39" i="15"/>
  <c r="T40" i="15"/>
  <c r="T41" i="15"/>
  <c r="T42" i="15"/>
  <c r="T43" i="15"/>
  <c r="T44" i="15"/>
  <c r="T45" i="15"/>
  <c r="T46" i="15"/>
  <c r="T47" i="15"/>
  <c r="T48" i="15"/>
  <c r="T49" i="15"/>
  <c r="T50" i="15"/>
  <c r="T51" i="15"/>
  <c r="T52" i="15"/>
  <c r="T53" i="15"/>
  <c r="T54" i="15"/>
  <c r="T55" i="15"/>
  <c r="T56" i="15"/>
  <c r="T57" i="15"/>
  <c r="T58" i="15"/>
  <c r="T59" i="15"/>
  <c r="T60" i="15"/>
  <c r="T61" i="15"/>
  <c r="T62" i="15"/>
  <c r="T63" i="15"/>
  <c r="T64" i="15"/>
  <c r="T65" i="15"/>
  <c r="T66" i="15"/>
  <c r="T67" i="15"/>
  <c r="T68" i="15"/>
  <c r="T69" i="15"/>
  <c r="T70" i="15"/>
  <c r="T71" i="15"/>
  <c r="T72" i="15"/>
  <c r="T73" i="15"/>
  <c r="T74" i="15"/>
  <c r="T75" i="15"/>
  <c r="T76" i="15"/>
  <c r="T77" i="15"/>
  <c r="T78" i="15"/>
  <c r="T79" i="15"/>
  <c r="T80" i="15"/>
  <c r="T81" i="15"/>
  <c r="T82" i="15"/>
  <c r="T83" i="15"/>
  <c r="T84" i="15"/>
  <c r="T85" i="15"/>
  <c r="T86" i="15"/>
  <c r="T87" i="15"/>
  <c r="V15" i="8"/>
  <c r="V30" i="8"/>
  <c r="V35" i="8"/>
  <c r="V42" i="8"/>
  <c r="V46" i="8"/>
  <c r="V50" i="8"/>
  <c r="V55" i="8"/>
  <c r="V60" i="8"/>
  <c r="V74" i="8"/>
  <c r="V75" i="8"/>
  <c r="V76" i="8"/>
  <c r="V77" i="8"/>
  <c r="V78" i="8"/>
  <c r="S2" i="5"/>
  <c r="S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51" i="5"/>
  <c r="S52" i="5"/>
  <c r="S53" i="5"/>
  <c r="S54" i="5"/>
  <c r="S55" i="5"/>
  <c r="S56" i="5"/>
  <c r="S57" i="5"/>
  <c r="S58" i="5"/>
  <c r="S59" i="5"/>
  <c r="S60" i="5"/>
  <c r="S61" i="5"/>
  <c r="S62" i="5"/>
  <c r="S63" i="5"/>
  <c r="S64" i="5"/>
  <c r="S65" i="5"/>
  <c r="S66" i="5"/>
  <c r="S67" i="5"/>
  <c r="S68" i="5"/>
  <c r="S69" i="5"/>
  <c r="S70" i="5"/>
  <c r="S71" i="5"/>
  <c r="M3" i="53"/>
  <c r="M4" i="53"/>
  <c r="M5" i="53"/>
  <c r="M7" i="53"/>
  <c r="M9" i="53"/>
  <c r="M11" i="53"/>
  <c r="M13" i="53"/>
  <c r="M14" i="53"/>
  <c r="M16" i="53"/>
  <c r="M2" i="53"/>
  <c r="H84" i="15"/>
  <c r="D6" i="19"/>
  <c r="E6" i="19" s="1"/>
  <c r="C6" i="19"/>
  <c r="D8" i="20"/>
  <c r="D12" i="20"/>
  <c r="C10" i="19"/>
  <c r="D9" i="20" s="1"/>
  <c r="F2" i="52"/>
  <c r="B2" i="52"/>
  <c r="B13" i="52" s="1"/>
  <c r="G9" i="53"/>
  <c r="B2" i="53"/>
  <c r="C3" i="54"/>
  <c r="C2" i="53" s="1"/>
  <c r="C14" i="53" s="1"/>
  <c r="C4" i="54"/>
  <c r="B7" i="53" s="1"/>
  <c r="C4" i="53"/>
  <c r="C7" i="53" s="1"/>
  <c r="C8" i="54"/>
  <c r="D2" i="53" s="1"/>
  <c r="D9" i="53" s="1"/>
  <c r="C7" i="54"/>
  <c r="E4" i="53" s="1"/>
  <c r="K10" i="53"/>
  <c r="K12" i="53"/>
  <c r="K15" i="53"/>
  <c r="K17" i="53"/>
  <c r="J10" i="53"/>
  <c r="J12" i="53"/>
  <c r="J15" i="53"/>
  <c r="J17" i="53"/>
  <c r="I8" i="53"/>
  <c r="I10" i="53"/>
  <c r="I12" i="53"/>
  <c r="I15" i="53"/>
  <c r="I17" i="53"/>
  <c r="H6" i="53"/>
  <c r="H8" i="53"/>
  <c r="H10" i="53"/>
  <c r="H12" i="53"/>
  <c r="H15" i="53"/>
  <c r="H17" i="53"/>
  <c r="C10" i="54"/>
  <c r="C11" i="54"/>
  <c r="C12" i="54"/>
  <c r="K6" i="53" s="1"/>
  <c r="C13" i="54"/>
  <c r="I6" i="53" s="1"/>
  <c r="C9" i="54"/>
  <c r="C5" i="54"/>
  <c r="C4" i="49"/>
  <c r="C3" i="50" s="1"/>
  <c r="C5" i="49"/>
  <c r="D18" i="50" s="1"/>
  <c r="C6" i="49"/>
  <c r="E2" i="50" s="1"/>
  <c r="C7" i="49"/>
  <c r="G2" i="50" s="1"/>
  <c r="C8" i="49"/>
  <c r="F2" i="50" s="1"/>
  <c r="C9" i="49"/>
  <c r="H3" i="50" s="1"/>
  <c r="C10" i="49"/>
  <c r="J2" i="50" s="1"/>
  <c r="J28" i="50" s="1"/>
  <c r="C11" i="49"/>
  <c r="K7" i="50" s="1"/>
  <c r="C12" i="49"/>
  <c r="L16" i="50" s="1"/>
  <c r="C13" i="49"/>
  <c r="M28" i="50" s="1"/>
  <c r="C14" i="49"/>
  <c r="I2" i="50" s="1"/>
  <c r="C15" i="49"/>
  <c r="N22" i="50" s="1"/>
  <c r="C3" i="49"/>
  <c r="B7" i="50" s="1"/>
  <c r="B28" i="50" s="1"/>
  <c r="J2" i="38" l="1"/>
  <c r="J64" i="38" s="1"/>
  <c r="G2" i="38"/>
  <c r="K13" i="38"/>
  <c r="K55" i="38"/>
  <c r="K88" i="38"/>
  <c r="K11" i="38"/>
  <c r="K12" i="38"/>
  <c r="K15" i="38"/>
  <c r="K16" i="38"/>
  <c r="D2" i="20"/>
  <c r="B5" i="52"/>
  <c r="B10" i="52"/>
  <c r="B11" i="52"/>
  <c r="J8" i="53"/>
  <c r="E16" i="53"/>
  <c r="E11" i="53"/>
  <c r="D3" i="53"/>
  <c r="D7" i="53"/>
  <c r="D13" i="53"/>
  <c r="D14" i="53"/>
  <c r="D5" i="53"/>
  <c r="C3" i="53"/>
  <c r="C5" i="53"/>
  <c r="C16" i="53"/>
  <c r="C9" i="53"/>
  <c r="C11" i="53"/>
  <c r="C13" i="53"/>
  <c r="B14" i="53"/>
  <c r="B13" i="53"/>
  <c r="K8" i="53"/>
  <c r="H3" i="53"/>
  <c r="H7" i="53" s="1"/>
  <c r="J6" i="53"/>
  <c r="I2" i="53"/>
  <c r="J4" i="53"/>
  <c r="L11" i="53"/>
  <c r="L16" i="53" s="1"/>
  <c r="K5" i="53"/>
  <c r="K14" i="53" s="1"/>
  <c r="G2" i="53"/>
  <c r="C2" i="50"/>
  <c r="F3" i="50"/>
  <c r="F28" i="50" s="1"/>
  <c r="G3" i="50"/>
  <c r="G7" i="50" s="1"/>
  <c r="H2" i="50"/>
  <c r="H28" i="50" s="1"/>
  <c r="K2" i="50"/>
  <c r="K23" i="50" s="1"/>
  <c r="N2" i="50"/>
  <c r="M2" i="50"/>
  <c r="M23" i="50" s="1"/>
  <c r="L2" i="50"/>
  <c r="L13" i="50" s="1"/>
  <c r="J7" i="50"/>
  <c r="J9" i="50"/>
  <c r="J14" i="50"/>
  <c r="J20" i="50"/>
  <c r="J25" i="50"/>
  <c r="J3" i="50"/>
  <c r="J11" i="50"/>
  <c r="J16" i="50"/>
  <c r="J21" i="50"/>
  <c r="J26" i="50"/>
  <c r="J4" i="50"/>
  <c r="J12" i="50"/>
  <c r="J18" i="50"/>
  <c r="J22" i="50"/>
  <c r="J27" i="50"/>
  <c r="J5" i="50"/>
  <c r="J13" i="50"/>
  <c r="J19" i="50"/>
  <c r="J23" i="50"/>
  <c r="I4" i="50"/>
  <c r="I16" i="50" s="1"/>
  <c r="I28" i="50"/>
  <c r="I23" i="50"/>
  <c r="I19" i="50"/>
  <c r="I12" i="50"/>
  <c r="I5" i="50"/>
  <c r="I25" i="50"/>
  <c r="I20" i="50"/>
  <c r="I13" i="50"/>
  <c r="I7" i="50"/>
  <c r="I27" i="50"/>
  <c r="I22" i="50"/>
  <c r="I18" i="50"/>
  <c r="I11" i="50"/>
  <c r="I3" i="50"/>
  <c r="I26" i="50"/>
  <c r="I21" i="50"/>
  <c r="I14" i="50"/>
  <c r="I9" i="50"/>
  <c r="E3" i="50"/>
  <c r="D2" i="50"/>
  <c r="C26" i="50"/>
  <c r="C25" i="50"/>
  <c r="C16" i="50"/>
  <c r="C4" i="50"/>
  <c r="B14" i="50"/>
  <c r="B20" i="50"/>
  <c r="B25" i="50"/>
  <c r="B11" i="50"/>
  <c r="B16" i="50"/>
  <c r="B21" i="50"/>
  <c r="B26" i="50"/>
  <c r="B9" i="50"/>
  <c r="B27" i="50"/>
  <c r="B12" i="50"/>
  <c r="B18" i="50"/>
  <c r="B22" i="50"/>
  <c r="B13" i="50"/>
  <c r="B19" i="50"/>
  <c r="B23" i="50"/>
  <c r="B2" i="50"/>
  <c r="C4" i="63"/>
  <c r="C9" i="63" s="1"/>
  <c r="A28" i="63"/>
  <c r="M12" i="63"/>
  <c r="A12" i="63" s="1"/>
  <c r="M18" i="63"/>
  <c r="A18" i="63" s="1"/>
  <c r="M21" i="63"/>
  <c r="A21" i="63" s="1"/>
  <c r="M23" i="63"/>
  <c r="A23" i="63" s="1"/>
  <c r="M26" i="63"/>
  <c r="A26" i="63" s="1"/>
  <c r="M28" i="63"/>
  <c r="M31" i="63"/>
  <c r="A31" i="63" s="1"/>
  <c r="M33" i="63"/>
  <c r="A33" i="63" s="1"/>
  <c r="M34" i="63"/>
  <c r="A34" i="63" s="1"/>
  <c r="M35" i="63"/>
  <c r="A35" i="63" s="1"/>
  <c r="G22" i="63"/>
  <c r="G29" i="63" s="1"/>
  <c r="H24" i="63"/>
  <c r="H30" i="63" s="1"/>
  <c r="I2" i="63"/>
  <c r="I3" i="63" s="1"/>
  <c r="J37" i="38" l="1"/>
  <c r="J80" i="38"/>
  <c r="J14" i="38"/>
  <c r="J47" i="38"/>
  <c r="J88" i="38"/>
  <c r="J91" i="38"/>
  <c r="J19" i="38"/>
  <c r="J79" i="38"/>
  <c r="J38" i="38"/>
  <c r="J41" i="38"/>
  <c r="J29" i="38"/>
  <c r="J72" i="38"/>
  <c r="J90" i="38"/>
  <c r="J52" i="38"/>
  <c r="J43" i="38"/>
  <c r="J23" i="38"/>
  <c r="J49" i="38"/>
  <c r="J84" i="38"/>
  <c r="J13" i="38"/>
  <c r="J20" i="38"/>
  <c r="J28" i="38"/>
  <c r="J22" i="38"/>
  <c r="J48" i="38"/>
  <c r="J30" i="38"/>
  <c r="J82" i="38"/>
  <c r="J81" i="38"/>
  <c r="J69" i="38"/>
  <c r="J78" i="38"/>
  <c r="J63" i="38"/>
  <c r="J71" i="38"/>
  <c r="J27" i="38"/>
  <c r="J35" i="38"/>
  <c r="J86" i="38"/>
  <c r="J50" i="38"/>
  <c r="J33" i="38"/>
  <c r="J75" i="38"/>
  <c r="J83" i="38"/>
  <c r="J12" i="38"/>
  <c r="J7" i="38"/>
  <c r="J40" i="38"/>
  <c r="J87" i="38"/>
  <c r="J39" i="38"/>
  <c r="J68" i="38"/>
  <c r="J11" i="38"/>
  <c r="J5" i="38"/>
  <c r="J53" i="38"/>
  <c r="J62" i="38"/>
  <c r="J8" i="38"/>
  <c r="J26" i="38"/>
  <c r="J56" i="38"/>
  <c r="J42" i="38"/>
  <c r="J15" i="38"/>
  <c r="J66" i="38"/>
  <c r="J74" i="38"/>
  <c r="J67" i="38"/>
  <c r="J36" i="38"/>
  <c r="J25" i="38"/>
  <c r="J54" i="38"/>
  <c r="J18" i="38"/>
  <c r="J16" i="38"/>
  <c r="J46" i="38"/>
  <c r="J6" i="38"/>
  <c r="J45" i="38"/>
  <c r="J44" i="38"/>
  <c r="J89" i="38"/>
  <c r="J17" i="38"/>
  <c r="J31" i="38"/>
  <c r="J34" i="38"/>
  <c r="J77" i="38"/>
  <c r="J55" i="38"/>
  <c r="G91" i="38"/>
  <c r="G82" i="38"/>
  <c r="G72" i="38"/>
  <c r="G62" i="38"/>
  <c r="G48" i="38"/>
  <c r="G40" i="38"/>
  <c r="G31" i="38"/>
  <c r="G22" i="38"/>
  <c r="G13" i="38"/>
  <c r="G34" i="38"/>
  <c r="G25" i="38"/>
  <c r="G41" i="38"/>
  <c r="G90" i="38"/>
  <c r="G81" i="38"/>
  <c r="G71" i="38"/>
  <c r="G56" i="38"/>
  <c r="G47" i="38"/>
  <c r="G39" i="38"/>
  <c r="G30" i="38"/>
  <c r="G20" i="38"/>
  <c r="G12" i="38"/>
  <c r="G42" i="38"/>
  <c r="G6" i="38"/>
  <c r="G49" i="38"/>
  <c r="G89" i="38"/>
  <c r="G80" i="38"/>
  <c r="G69" i="38"/>
  <c r="G55" i="38"/>
  <c r="G46" i="38"/>
  <c r="G38" i="38"/>
  <c r="G29" i="38"/>
  <c r="G19" i="38"/>
  <c r="G11" i="38"/>
  <c r="G50" i="38"/>
  <c r="G74" i="38"/>
  <c r="G23" i="38"/>
  <c r="G88" i="38"/>
  <c r="G79" i="38"/>
  <c r="G68" i="38"/>
  <c r="G54" i="38"/>
  <c r="G45" i="38"/>
  <c r="G37" i="38"/>
  <c r="G28" i="38"/>
  <c r="G18" i="38"/>
  <c r="G64" i="38"/>
  <c r="G33" i="38"/>
  <c r="G87" i="38"/>
  <c r="G78" i="38"/>
  <c r="G67" i="38"/>
  <c r="G53" i="38"/>
  <c r="G44" i="38"/>
  <c r="G36" i="38"/>
  <c r="G27" i="38"/>
  <c r="G17" i="38"/>
  <c r="G8" i="38"/>
  <c r="G75" i="38"/>
  <c r="G15" i="38"/>
  <c r="G63" i="38"/>
  <c r="G5" i="38"/>
  <c r="G86" i="38"/>
  <c r="G77" i="38"/>
  <c r="G66" i="38"/>
  <c r="G52" i="38"/>
  <c r="G43" i="38"/>
  <c r="G35" i="38"/>
  <c r="G26" i="38"/>
  <c r="G16" i="38"/>
  <c r="G7" i="38"/>
  <c r="G84" i="38"/>
  <c r="G83" i="38"/>
  <c r="G14" i="38"/>
  <c r="D5" i="20"/>
  <c r="D13" i="20"/>
  <c r="D3" i="20"/>
  <c r="D7" i="20"/>
  <c r="D11" i="20"/>
  <c r="M27" i="50"/>
  <c r="M12" i="50"/>
  <c r="M5" i="50"/>
  <c r="M14" i="50"/>
  <c r="M9" i="50"/>
  <c r="M13" i="50"/>
  <c r="M7" i="50"/>
  <c r="M26" i="50"/>
  <c r="M22" i="50"/>
  <c r="M21" i="50"/>
  <c r="M18" i="50"/>
  <c r="M4" i="50"/>
  <c r="L12" i="50"/>
  <c r="L27" i="50"/>
  <c r="L21" i="50"/>
  <c r="L11" i="50"/>
  <c r="L14" i="50"/>
  <c r="L26" i="50"/>
  <c r="L19" i="50"/>
  <c r="L28" i="50"/>
  <c r="L22" i="50"/>
  <c r="L18" i="50"/>
  <c r="L4" i="50"/>
  <c r="L9" i="50"/>
  <c r="L7" i="50"/>
  <c r="L20" i="50"/>
  <c r="L3" i="50"/>
  <c r="K25" i="50"/>
  <c r="K28" i="50"/>
  <c r="K16" i="50"/>
  <c r="K12" i="50"/>
  <c r="H22" i="50"/>
  <c r="H12" i="50"/>
  <c r="H7" i="50"/>
  <c r="H21" i="50"/>
  <c r="H26" i="50"/>
  <c r="H4" i="50"/>
  <c r="H14" i="50"/>
  <c r="H27" i="50"/>
  <c r="H9" i="50"/>
  <c r="H20" i="50"/>
  <c r="H23" i="50"/>
  <c r="H5" i="50"/>
  <c r="F20" i="50"/>
  <c r="F5" i="50"/>
  <c r="F7" i="50"/>
  <c r="F18" i="50"/>
  <c r="F19" i="50"/>
  <c r="F21" i="50"/>
  <c r="F22" i="50"/>
  <c r="F12" i="50"/>
  <c r="G27" i="50"/>
  <c r="G4" i="50"/>
  <c r="G21" i="50"/>
  <c r="G22" i="50"/>
  <c r="B11" i="53"/>
  <c r="B9" i="53"/>
  <c r="B3" i="53"/>
  <c r="B16" i="53"/>
  <c r="B5" i="53"/>
  <c r="B4" i="53"/>
  <c r="H9" i="53"/>
  <c r="K13" i="53"/>
  <c r="G16" i="53"/>
  <c r="G14" i="53"/>
  <c r="G13" i="53"/>
  <c r="G11" i="53"/>
  <c r="G7" i="53"/>
  <c r="G5" i="53"/>
  <c r="G3" i="53"/>
  <c r="G4" i="53"/>
  <c r="K22" i="50"/>
  <c r="K11" i="50"/>
  <c r="K18" i="50"/>
  <c r="K3" i="50"/>
  <c r="M3" i="50"/>
  <c r="K4" i="50"/>
  <c r="K20" i="50"/>
  <c r="K13" i="50"/>
  <c r="K14" i="50"/>
  <c r="K19" i="50"/>
  <c r="K27" i="50"/>
  <c r="K9" i="50"/>
  <c r="M25" i="50"/>
  <c r="M16" i="50"/>
  <c r="K5" i="50"/>
  <c r="K21" i="50"/>
  <c r="M19" i="50"/>
  <c r="M20" i="50"/>
  <c r="M11" i="50"/>
  <c r="N23" i="50"/>
  <c r="N18" i="50"/>
  <c r="N12" i="50"/>
  <c r="N5" i="50"/>
  <c r="N28" i="50"/>
  <c r="N21" i="50"/>
  <c r="N16" i="50"/>
  <c r="N11" i="50"/>
  <c r="N4" i="50"/>
  <c r="N19" i="50"/>
  <c r="N7" i="50"/>
  <c r="N26" i="50"/>
  <c r="N20" i="50"/>
  <c r="N14" i="50"/>
  <c r="N9" i="50"/>
  <c r="N3" i="50"/>
  <c r="N25" i="50"/>
  <c r="N13" i="50"/>
  <c r="L23" i="50"/>
  <c r="L5" i="50"/>
  <c r="E25" i="50"/>
  <c r="E20" i="50"/>
  <c r="E9" i="50"/>
  <c r="E28" i="50"/>
  <c r="E23" i="50"/>
  <c r="E19" i="50"/>
  <c r="E13" i="50"/>
  <c r="E7" i="50"/>
  <c r="E26" i="50"/>
  <c r="E11" i="50"/>
  <c r="E14" i="50"/>
  <c r="E27" i="50"/>
  <c r="E22" i="50"/>
  <c r="E18" i="50"/>
  <c r="E12" i="50"/>
  <c r="E21" i="50"/>
  <c r="E16" i="50"/>
  <c r="D25" i="50"/>
  <c r="D14" i="50"/>
  <c r="D9" i="50"/>
  <c r="D3" i="50"/>
  <c r="D28" i="50"/>
  <c r="D23" i="50"/>
  <c r="D13" i="50"/>
  <c r="D7" i="50"/>
  <c r="D4" i="50"/>
  <c r="D27" i="50"/>
  <c r="D22" i="50"/>
  <c r="D12" i="50"/>
  <c r="D5" i="50"/>
  <c r="D26" i="50"/>
  <c r="D16" i="50"/>
  <c r="D11" i="50"/>
  <c r="G30" i="63"/>
  <c r="G24" i="63"/>
  <c r="G25" i="63"/>
  <c r="H29" i="63"/>
  <c r="H25" i="63"/>
  <c r="C11" i="63"/>
  <c r="C22" i="63"/>
  <c r="C27" i="63"/>
  <c r="C6" i="63"/>
  <c r="C7" i="63"/>
  <c r="C8" i="63"/>
  <c r="C5" i="63"/>
  <c r="C8" i="64"/>
  <c r="C9" i="64"/>
  <c r="C10" i="64"/>
  <c r="C11" i="64"/>
  <c r="G2" i="63" s="1"/>
  <c r="C12" i="64"/>
  <c r="H2" i="63" s="1"/>
  <c r="C7" i="64"/>
  <c r="C6" i="64"/>
  <c r="C5" i="64"/>
  <c r="D4" i="63" s="1"/>
  <c r="D25" i="63" s="1"/>
  <c r="C4" i="64"/>
  <c r="E2" i="63" s="1"/>
  <c r="E27" i="63" s="1"/>
  <c r="C3" i="64"/>
  <c r="B2" i="63" s="1"/>
  <c r="C10" i="57"/>
  <c r="I12" i="60" s="1"/>
  <c r="I19" i="60" s="1"/>
  <c r="C9" i="57"/>
  <c r="H33" i="60" s="1"/>
  <c r="I2" i="60" l="1"/>
  <c r="I127" i="60" s="1"/>
  <c r="L2" i="63"/>
  <c r="L15" i="63" s="1"/>
  <c r="L5" i="63"/>
  <c r="K5" i="63"/>
  <c r="K2" i="63"/>
  <c r="K19" i="63" s="1"/>
  <c r="D22" i="63"/>
  <c r="L22" i="63"/>
  <c r="L30" i="63"/>
  <c r="L10" i="63"/>
  <c r="L29" i="63"/>
  <c r="L20" i="63"/>
  <c r="L14" i="63"/>
  <c r="L6" i="63"/>
  <c r="L27" i="63"/>
  <c r="L17" i="63"/>
  <c r="L4" i="63"/>
  <c r="L32" i="63"/>
  <c r="L16" i="63"/>
  <c r="L11" i="63"/>
  <c r="L3" i="63"/>
  <c r="G32" i="63"/>
  <c r="G20" i="63"/>
  <c r="G15" i="63"/>
  <c r="G10" i="63"/>
  <c r="G6" i="63"/>
  <c r="G11" i="63"/>
  <c r="G27" i="63"/>
  <c r="G19" i="63"/>
  <c r="G14" i="63"/>
  <c r="G9" i="63"/>
  <c r="G5" i="63"/>
  <c r="G3" i="63"/>
  <c r="G17" i="63"/>
  <c r="G13" i="63"/>
  <c r="G8" i="63"/>
  <c r="G4" i="63"/>
  <c r="G16" i="63"/>
  <c r="G7" i="63"/>
  <c r="H27" i="63"/>
  <c r="H32" i="63"/>
  <c r="H17" i="63"/>
  <c r="H4" i="63"/>
  <c r="H22" i="63"/>
  <c r="H16" i="63"/>
  <c r="H11" i="63"/>
  <c r="H7" i="63"/>
  <c r="H3" i="63"/>
  <c r="H20" i="63"/>
  <c r="H15" i="63"/>
  <c r="H10" i="63"/>
  <c r="H6" i="63"/>
  <c r="H19" i="63"/>
  <c r="H14" i="63"/>
  <c r="H9" i="63"/>
  <c r="H5" i="63"/>
  <c r="H13" i="63"/>
  <c r="H8" i="63"/>
  <c r="D24" i="63"/>
  <c r="D30" i="63"/>
  <c r="E16" i="63"/>
  <c r="E14" i="63"/>
  <c r="E6" i="63"/>
  <c r="E7" i="63"/>
  <c r="E13" i="63"/>
  <c r="E17" i="63"/>
  <c r="D15" i="63"/>
  <c r="E9" i="63"/>
  <c r="E8" i="63"/>
  <c r="E5" i="63"/>
  <c r="E29" i="63"/>
  <c r="E11" i="63"/>
  <c r="D32" i="63"/>
  <c r="E19" i="63"/>
  <c r="E3" i="63"/>
  <c r="E20" i="63"/>
  <c r="E10" i="63"/>
  <c r="I4" i="63"/>
  <c r="J4" i="63"/>
  <c r="J2" i="63"/>
  <c r="F2" i="63"/>
  <c r="F4" i="63"/>
  <c r="I6" i="60"/>
  <c r="I10" i="60"/>
  <c r="I15" i="60"/>
  <c r="I23" i="60"/>
  <c r="I27" i="60"/>
  <c r="I31" i="60"/>
  <c r="I36" i="60"/>
  <c r="I40" i="60"/>
  <c r="I45" i="60"/>
  <c r="I49" i="60"/>
  <c r="I53" i="60"/>
  <c r="I58" i="60"/>
  <c r="I62" i="60"/>
  <c r="I66" i="60"/>
  <c r="I70" i="60"/>
  <c r="I74" i="60"/>
  <c r="I78" i="60"/>
  <c r="I82" i="60"/>
  <c r="I87" i="60"/>
  <c r="I91" i="60"/>
  <c r="I95" i="60"/>
  <c r="I99" i="60"/>
  <c r="I103" i="60"/>
  <c r="I107" i="60"/>
  <c r="I112" i="60"/>
  <c r="I116" i="60"/>
  <c r="I120" i="60"/>
  <c r="I124" i="60"/>
  <c r="H2" i="60"/>
  <c r="H126" i="60" s="1"/>
  <c r="I3" i="60"/>
  <c r="I7" i="60"/>
  <c r="I11" i="60"/>
  <c r="I16" i="60"/>
  <c r="I20" i="60"/>
  <c r="I24" i="60"/>
  <c r="I28" i="60"/>
  <c r="I33" i="60"/>
  <c r="I37" i="60"/>
  <c r="I41" i="60"/>
  <c r="I46" i="60"/>
  <c r="I50" i="60"/>
  <c r="I54" i="60"/>
  <c r="I59" i="60"/>
  <c r="I63" i="60"/>
  <c r="I67" i="60"/>
  <c r="I71" i="60"/>
  <c r="I75" i="60"/>
  <c r="I79" i="60"/>
  <c r="I84" i="60"/>
  <c r="I88" i="60"/>
  <c r="I92" i="60"/>
  <c r="I96" i="60"/>
  <c r="I100" i="60"/>
  <c r="I104" i="60"/>
  <c r="I108" i="60"/>
  <c r="I113" i="60"/>
  <c r="I117" i="60"/>
  <c r="I121" i="60"/>
  <c r="I125" i="60"/>
  <c r="I4" i="60"/>
  <c r="I8" i="60"/>
  <c r="I13" i="60"/>
  <c r="I17" i="60"/>
  <c r="I21" i="60"/>
  <c r="I25" i="60"/>
  <c r="I29" i="60"/>
  <c r="I34" i="60"/>
  <c r="I38" i="60"/>
  <c r="I43" i="60"/>
  <c r="I47" i="60"/>
  <c r="I51" i="60"/>
  <c r="I55" i="60"/>
  <c r="I60" i="60"/>
  <c r="I64" i="60"/>
  <c r="I68" i="60"/>
  <c r="I72" i="60"/>
  <c r="I76" i="60"/>
  <c r="I80" i="60"/>
  <c r="I85" i="60"/>
  <c r="I89" i="60"/>
  <c r="I93" i="60"/>
  <c r="I97" i="60"/>
  <c r="I101" i="60"/>
  <c r="I105" i="60"/>
  <c r="I110" i="60"/>
  <c r="I114" i="60"/>
  <c r="I118" i="60"/>
  <c r="I122" i="60"/>
  <c r="I126" i="60"/>
  <c r="I5" i="60"/>
  <c r="I9" i="60"/>
  <c r="I14" i="60"/>
  <c r="I18" i="60"/>
  <c r="I22" i="60"/>
  <c r="I26" i="60"/>
  <c r="I30" i="60"/>
  <c r="I35" i="60"/>
  <c r="I39" i="60"/>
  <c r="I44" i="60"/>
  <c r="I48" i="60"/>
  <c r="I52" i="60"/>
  <c r="I56" i="60"/>
  <c r="I61" i="60"/>
  <c r="I65" i="60"/>
  <c r="I69" i="60"/>
  <c r="I73" i="60"/>
  <c r="I77" i="60"/>
  <c r="I81" i="60"/>
  <c r="I86" i="60"/>
  <c r="I90" i="60"/>
  <c r="I94" i="60"/>
  <c r="I98" i="60"/>
  <c r="I102" i="60"/>
  <c r="I106" i="60"/>
  <c r="I111" i="60"/>
  <c r="I115" i="60"/>
  <c r="I119" i="60"/>
  <c r="I123" i="60"/>
  <c r="H23" i="60"/>
  <c r="H43" i="60"/>
  <c r="H84" i="60"/>
  <c r="H15" i="60"/>
  <c r="H124" i="60"/>
  <c r="H93" i="60"/>
  <c r="H45" i="60"/>
  <c r="H100" i="60"/>
  <c r="H91" i="60"/>
  <c r="H40" i="60"/>
  <c r="H97" i="60"/>
  <c r="H53" i="60"/>
  <c r="H96" i="60"/>
  <c r="H50" i="60"/>
  <c r="H101" i="60"/>
  <c r="H105" i="60"/>
  <c r="H12" i="60"/>
  <c r="H16" i="60"/>
  <c r="H49" i="60"/>
  <c r="H55" i="60"/>
  <c r="H85" i="60"/>
  <c r="H89" i="60"/>
  <c r="H123" i="60"/>
  <c r="H94" i="60"/>
  <c r="H25" i="60"/>
  <c r="H29" i="60"/>
  <c r="H65" i="60"/>
  <c r="H69" i="60"/>
  <c r="H103" i="60"/>
  <c r="H107" i="60"/>
  <c r="H14" i="60"/>
  <c r="H18" i="60"/>
  <c r="H52" i="60"/>
  <c r="H58" i="60"/>
  <c r="H78" i="60"/>
  <c r="H87" i="60"/>
  <c r="H92" i="60"/>
  <c r="H117" i="60"/>
  <c r="C23" i="57"/>
  <c r="C24" i="57"/>
  <c r="C25" i="57"/>
  <c r="C26" i="57"/>
  <c r="C27" i="57"/>
  <c r="C28" i="57"/>
  <c r="C5" i="57"/>
  <c r="C6" i="57"/>
  <c r="C7" i="57"/>
  <c r="C8" i="57"/>
  <c r="L13" i="63" l="1"/>
  <c r="H121" i="60"/>
  <c r="H82" i="60"/>
  <c r="H47" i="60"/>
  <c r="H10" i="60"/>
  <c r="H98" i="60"/>
  <c r="H61" i="60"/>
  <c r="H21" i="60"/>
  <c r="H119" i="60"/>
  <c r="H80" i="60"/>
  <c r="H44" i="60"/>
  <c r="H8" i="60"/>
  <c r="H67" i="60"/>
  <c r="H7" i="60"/>
  <c r="H6" i="60"/>
  <c r="H56" i="60"/>
  <c r="H76" i="60"/>
  <c r="H113" i="60"/>
  <c r="H74" i="60"/>
  <c r="H36" i="60"/>
  <c r="H125" i="60"/>
  <c r="H86" i="60"/>
  <c r="H51" i="60"/>
  <c r="H13" i="60"/>
  <c r="H111" i="60"/>
  <c r="H72" i="60"/>
  <c r="H34" i="60"/>
  <c r="H127" i="60"/>
  <c r="H88" i="60"/>
  <c r="H27" i="60"/>
  <c r="H59" i="60"/>
  <c r="H90" i="60"/>
  <c r="H38" i="60"/>
  <c r="H75" i="60"/>
  <c r="H108" i="60"/>
  <c r="H46" i="60"/>
  <c r="H9" i="60"/>
  <c r="H106" i="60"/>
  <c r="H68" i="60"/>
  <c r="H28" i="60"/>
  <c r="H122" i="60"/>
  <c r="H71" i="60"/>
  <c r="H11" i="60"/>
  <c r="H37" i="60"/>
  <c r="H41" i="60"/>
  <c r="H17" i="60"/>
  <c r="H4" i="60"/>
  <c r="H30" i="60"/>
  <c r="H81" i="60"/>
  <c r="H104" i="60"/>
  <c r="H66" i="60"/>
  <c r="H26" i="60"/>
  <c r="H116" i="60"/>
  <c r="H77" i="60"/>
  <c r="H39" i="60"/>
  <c r="H5" i="60"/>
  <c r="H102" i="60"/>
  <c r="H64" i="60"/>
  <c r="H24" i="60"/>
  <c r="H118" i="60"/>
  <c r="H54" i="60"/>
  <c r="H79" i="60"/>
  <c r="H19" i="60"/>
  <c r="H115" i="60"/>
  <c r="H48" i="60"/>
  <c r="H70" i="60"/>
  <c r="H120" i="60"/>
  <c r="H99" i="60"/>
  <c r="H62" i="60"/>
  <c r="H22" i="60"/>
  <c r="H112" i="60"/>
  <c r="H73" i="60"/>
  <c r="H35" i="60"/>
  <c r="H114" i="60"/>
  <c r="H95" i="60"/>
  <c r="H60" i="60"/>
  <c r="H20" i="60"/>
  <c r="H110" i="60"/>
  <c r="H31" i="60"/>
  <c r="H63" i="60"/>
  <c r="H3" i="60"/>
  <c r="M2" i="63"/>
  <c r="A2" i="63" s="1"/>
  <c r="K17" i="63"/>
  <c r="K20" i="63"/>
  <c r="K3" i="63"/>
  <c r="K27" i="63"/>
  <c r="L9" i="63"/>
  <c r="L19" i="63"/>
  <c r="L25" i="63"/>
  <c r="L7" i="63"/>
  <c r="L8" i="63"/>
  <c r="L24" i="63"/>
  <c r="K7" i="63"/>
  <c r="K13" i="63"/>
  <c r="K8" i="63"/>
  <c r="K22" i="63"/>
  <c r="K30" i="63"/>
  <c r="K4" i="63"/>
  <c r="M4" i="63" s="1"/>
  <c r="A4" i="63" s="1"/>
  <c r="K16" i="63"/>
  <c r="K14" i="63"/>
  <c r="K10" i="63"/>
  <c r="K32" i="63"/>
  <c r="K9" i="63"/>
  <c r="K29" i="63"/>
  <c r="K25" i="63"/>
  <c r="K15" i="63"/>
  <c r="K24" i="63"/>
  <c r="K6" i="63"/>
  <c r="K11" i="63"/>
  <c r="M8" i="63"/>
  <c r="A8" i="63" s="1"/>
  <c r="I30" i="63"/>
  <c r="I25" i="63"/>
  <c r="I19" i="63"/>
  <c r="I14" i="63"/>
  <c r="I9" i="63"/>
  <c r="I5" i="63"/>
  <c r="I27" i="63"/>
  <c r="I22" i="63"/>
  <c r="I16" i="63"/>
  <c r="I11" i="63"/>
  <c r="I7" i="63"/>
  <c r="I32" i="63"/>
  <c r="I20" i="63"/>
  <c r="I15" i="63"/>
  <c r="I10" i="63"/>
  <c r="I29" i="63"/>
  <c r="I24" i="63"/>
  <c r="I17" i="63"/>
  <c r="I13" i="63"/>
  <c r="I8" i="63"/>
  <c r="I6" i="63"/>
  <c r="J20" i="63"/>
  <c r="J8" i="63"/>
  <c r="J32" i="63"/>
  <c r="J25" i="63"/>
  <c r="J19" i="63"/>
  <c r="J7" i="63"/>
  <c r="J22" i="63"/>
  <c r="J3" i="63"/>
  <c r="J30" i="63"/>
  <c r="J24" i="63"/>
  <c r="J11" i="63"/>
  <c r="J6" i="63"/>
  <c r="J29" i="63"/>
  <c r="J10" i="63"/>
  <c r="J27" i="63"/>
  <c r="J14" i="63"/>
  <c r="J17" i="63"/>
  <c r="J13" i="63"/>
  <c r="J5" i="63"/>
  <c r="M5" i="63" s="1"/>
  <c r="A5" i="63" s="1"/>
  <c r="J16" i="63"/>
  <c r="J9" i="63"/>
  <c r="J15" i="63"/>
  <c r="F5" i="63"/>
  <c r="F20" i="63"/>
  <c r="F15" i="63"/>
  <c r="F10" i="63"/>
  <c r="F6" i="63"/>
  <c r="F19" i="63"/>
  <c r="F14" i="63"/>
  <c r="F9" i="63"/>
  <c r="F17" i="63"/>
  <c r="F13" i="63"/>
  <c r="F8" i="63"/>
  <c r="F16" i="63"/>
  <c r="F11" i="63"/>
  <c r="F7" i="63"/>
  <c r="F3" i="63"/>
  <c r="F32" i="63"/>
  <c r="F30" i="63"/>
  <c r="F25" i="63"/>
  <c r="F29" i="63"/>
  <c r="F24" i="63"/>
  <c r="F27" i="63"/>
  <c r="M27" i="63" s="1"/>
  <c r="A27" i="63" s="1"/>
  <c r="F22" i="63"/>
  <c r="B3" i="63"/>
  <c r="B29" i="63"/>
  <c r="B20" i="63"/>
  <c r="B15" i="63"/>
  <c r="B19" i="63"/>
  <c r="B14" i="63"/>
  <c r="M14" i="63" s="1"/>
  <c r="A14" i="63" s="1"/>
  <c r="B30" i="63"/>
  <c r="B10" i="63"/>
  <c r="B32" i="63"/>
  <c r="B25" i="63"/>
  <c r="B17" i="63"/>
  <c r="B13" i="63"/>
  <c r="B24" i="63"/>
  <c r="B16" i="63"/>
  <c r="M16" i="63" s="1"/>
  <c r="A16" i="63" s="1"/>
  <c r="G7" i="60"/>
  <c r="G2" i="60"/>
  <c r="M9" i="63" l="1"/>
  <c r="A9" i="63" s="1"/>
  <c r="M19" i="63"/>
  <c r="A19" i="63" s="1"/>
  <c r="M17" i="63"/>
  <c r="A17" i="63" s="1"/>
  <c r="M20" i="63"/>
  <c r="A20" i="63" s="1"/>
  <c r="M11" i="63"/>
  <c r="A11" i="63" s="1"/>
  <c r="M22" i="63"/>
  <c r="A22" i="63" s="1"/>
  <c r="M29" i="63"/>
  <c r="A29" i="63" s="1"/>
  <c r="M6" i="63"/>
  <c r="A6" i="63" s="1"/>
  <c r="M13" i="63"/>
  <c r="A13" i="63" s="1"/>
  <c r="M25" i="63"/>
  <c r="A25" i="63" s="1"/>
  <c r="M3" i="63"/>
  <c r="A3" i="63" s="1"/>
  <c r="M10" i="63"/>
  <c r="A10" i="63" s="1"/>
  <c r="M30" i="63"/>
  <c r="A30" i="63" s="1"/>
  <c r="M7" i="63"/>
  <c r="A7" i="63" s="1"/>
  <c r="M24" i="63"/>
  <c r="A24" i="63" s="1"/>
  <c r="M15" i="63"/>
  <c r="A15" i="63" s="1"/>
  <c r="M32" i="63"/>
  <c r="A32" i="63" s="1"/>
  <c r="G127" i="60"/>
  <c r="G123" i="60"/>
  <c r="G119" i="60"/>
  <c r="G115" i="60"/>
  <c r="G111" i="60"/>
  <c r="G106" i="60"/>
  <c r="G102" i="60"/>
  <c r="G98" i="60"/>
  <c r="G94" i="60"/>
  <c r="G90" i="60"/>
  <c r="G86" i="60"/>
  <c r="G81" i="60"/>
  <c r="G77" i="60"/>
  <c r="G73" i="60"/>
  <c r="G69" i="60"/>
  <c r="G65" i="60"/>
  <c r="G61" i="60"/>
  <c r="G56" i="60"/>
  <c r="G52" i="60"/>
  <c r="G48" i="60"/>
  <c r="G44" i="60"/>
  <c r="G39" i="60"/>
  <c r="G35" i="60"/>
  <c r="G30" i="60"/>
  <c r="G26" i="60"/>
  <c r="G22" i="60"/>
  <c r="G18" i="60"/>
  <c r="G14" i="60"/>
  <c r="G8" i="60"/>
  <c r="G3" i="60"/>
  <c r="G124" i="60"/>
  <c r="G99" i="60"/>
  <c r="G82" i="60"/>
  <c r="G66" i="60"/>
  <c r="G49" i="60"/>
  <c r="G36" i="60"/>
  <c r="G23" i="60"/>
  <c r="G4" i="60"/>
  <c r="G126" i="60"/>
  <c r="G122" i="60"/>
  <c r="G118" i="60"/>
  <c r="G114" i="60"/>
  <c r="G110" i="60"/>
  <c r="G105" i="60"/>
  <c r="G101" i="60"/>
  <c r="G97" i="60"/>
  <c r="G93" i="60"/>
  <c r="G89" i="60"/>
  <c r="G85" i="60"/>
  <c r="G80" i="60"/>
  <c r="G76" i="60"/>
  <c r="G72" i="60"/>
  <c r="G68" i="60"/>
  <c r="G64" i="60"/>
  <c r="G60" i="60"/>
  <c r="G55" i="60"/>
  <c r="G51" i="60"/>
  <c r="G47" i="60"/>
  <c r="G43" i="60"/>
  <c r="G38" i="60"/>
  <c r="G34" i="60"/>
  <c r="G29" i="60"/>
  <c r="G25" i="60"/>
  <c r="G21" i="60"/>
  <c r="G17" i="60"/>
  <c r="G13" i="60"/>
  <c r="G6" i="60"/>
  <c r="G12" i="60"/>
  <c r="G120" i="60"/>
  <c r="G112" i="60"/>
  <c r="G103" i="60"/>
  <c r="G91" i="60"/>
  <c r="G78" i="60"/>
  <c r="G70" i="60"/>
  <c r="G62" i="60"/>
  <c r="G53" i="60"/>
  <c r="G40" i="60"/>
  <c r="G27" i="60"/>
  <c r="G15" i="60"/>
  <c r="G125" i="60"/>
  <c r="G121" i="60"/>
  <c r="G117" i="60"/>
  <c r="G113" i="60"/>
  <c r="G108" i="60"/>
  <c r="G104" i="60"/>
  <c r="G100" i="60"/>
  <c r="G96" i="60"/>
  <c r="G92" i="60"/>
  <c r="G88" i="60"/>
  <c r="G84" i="60"/>
  <c r="G79" i="60"/>
  <c r="G75" i="60"/>
  <c r="G71" i="60"/>
  <c r="G67" i="60"/>
  <c r="G63" i="60"/>
  <c r="G59" i="60"/>
  <c r="G54" i="60"/>
  <c r="G50" i="60"/>
  <c r="G46" i="60"/>
  <c r="G41" i="60"/>
  <c r="G37" i="60"/>
  <c r="G33" i="60"/>
  <c r="G28" i="60"/>
  <c r="G24" i="60"/>
  <c r="G20" i="60"/>
  <c r="G16" i="60"/>
  <c r="G5" i="60"/>
  <c r="G116" i="60"/>
  <c r="G107" i="60"/>
  <c r="G95" i="60"/>
  <c r="G87" i="60"/>
  <c r="G74" i="60"/>
  <c r="G58" i="60"/>
  <c r="G45" i="60"/>
  <c r="G31" i="60"/>
  <c r="G19" i="60"/>
  <c r="G9" i="60"/>
  <c r="C29" i="62"/>
  <c r="C30" i="62"/>
  <c r="C23" i="62"/>
  <c r="C24" i="62"/>
  <c r="C9" i="62"/>
  <c r="C10" i="62"/>
  <c r="C11" i="62"/>
  <c r="C12" i="62"/>
  <c r="C13" i="62"/>
  <c r="C14" i="62"/>
  <c r="C15" i="62"/>
  <c r="C16" i="62"/>
  <c r="C17" i="62"/>
  <c r="C18" i="62"/>
  <c r="C19" i="62"/>
  <c r="C20" i="62"/>
  <c r="C21" i="62"/>
  <c r="C22" i="62"/>
  <c r="W4" i="61"/>
  <c r="V2" i="61"/>
  <c r="U2" i="61"/>
  <c r="AC2" i="59" l="1"/>
  <c r="AC15" i="59"/>
  <c r="AB2" i="59"/>
  <c r="AB11" i="59"/>
  <c r="W2" i="59"/>
  <c r="W5" i="59"/>
  <c r="V2" i="59"/>
  <c r="V11" i="59"/>
  <c r="U5" i="59"/>
  <c r="U2" i="59"/>
  <c r="T2" i="59"/>
  <c r="T31" i="59"/>
  <c r="S2" i="59"/>
  <c r="S3" i="59"/>
  <c r="R2" i="59"/>
  <c r="R3" i="59"/>
  <c r="Q7" i="59"/>
  <c r="Q2" i="59"/>
  <c r="P5" i="59"/>
  <c r="P2" i="59"/>
  <c r="O2" i="59"/>
  <c r="O5" i="59"/>
  <c r="N8" i="59"/>
  <c r="N2" i="59"/>
  <c r="M7" i="59"/>
  <c r="M2" i="59"/>
  <c r="L3" i="59"/>
  <c r="L2" i="59"/>
  <c r="K2" i="59"/>
  <c r="K20" i="59"/>
  <c r="J2" i="59"/>
  <c r="J6" i="59"/>
  <c r="I2" i="59"/>
  <c r="I8" i="59"/>
  <c r="B5" i="59"/>
  <c r="B2" i="59"/>
  <c r="C25" i="56"/>
  <c r="X20" i="61" s="1"/>
  <c r="C26" i="56"/>
  <c r="Y36" i="61" s="1"/>
  <c r="C16" i="56"/>
  <c r="O7" i="61" s="1"/>
  <c r="C17" i="56"/>
  <c r="P11" i="61" s="1"/>
  <c r="C18" i="56"/>
  <c r="Q12" i="61" s="1"/>
  <c r="C12" i="56"/>
  <c r="K5" i="61" s="1"/>
  <c r="K37" i="61" s="1"/>
  <c r="C13" i="56"/>
  <c r="L17" i="61" s="1"/>
  <c r="L27" i="61" s="1"/>
  <c r="C8" i="56"/>
  <c r="G2" i="61" s="1"/>
  <c r="C4" i="56"/>
  <c r="C2" i="61" s="1"/>
  <c r="C9" i="61" s="1"/>
  <c r="C5" i="56"/>
  <c r="D2" i="61" s="1"/>
  <c r="C6" i="56"/>
  <c r="E9" i="61" s="1"/>
  <c r="E25" i="61" s="1"/>
  <c r="C3" i="56"/>
  <c r="B3" i="61" s="1"/>
  <c r="B30" i="61" s="1"/>
  <c r="T36" i="59" l="1"/>
  <c r="T34" i="59"/>
  <c r="G10" i="61"/>
  <c r="G37" i="61" s="1"/>
  <c r="W30" i="59"/>
  <c r="W29" i="59"/>
  <c r="W28" i="59"/>
  <c r="W34" i="59"/>
  <c r="W31" i="59"/>
  <c r="W36" i="59"/>
  <c r="W27" i="59"/>
  <c r="W25" i="59"/>
  <c r="W32" i="59"/>
  <c r="W33" i="59"/>
  <c r="W24" i="59"/>
  <c r="U33" i="59"/>
  <c r="U29" i="59"/>
  <c r="U36" i="59"/>
  <c r="U22" i="59"/>
  <c r="U32" i="59"/>
  <c r="U31" i="59"/>
  <c r="U27" i="59"/>
  <c r="U30" i="59"/>
  <c r="U28" i="59"/>
  <c r="U34" i="59"/>
  <c r="R28" i="59"/>
  <c r="R24" i="59"/>
  <c r="R36" i="59"/>
  <c r="R27" i="59"/>
  <c r="R33" i="59"/>
  <c r="R32" i="59"/>
  <c r="R34" i="59"/>
  <c r="R25" i="59"/>
  <c r="R31" i="59"/>
  <c r="R30" i="59"/>
  <c r="R29" i="59"/>
  <c r="AC36" i="59"/>
  <c r="AC31" i="59"/>
  <c r="AC27" i="59"/>
  <c r="AC21" i="59"/>
  <c r="AC17" i="59"/>
  <c r="AC11" i="59"/>
  <c r="AC7" i="59"/>
  <c r="AC3" i="59"/>
  <c r="AC32" i="59"/>
  <c r="AC28" i="59"/>
  <c r="AC22" i="59"/>
  <c r="AC18" i="59"/>
  <c r="AC12" i="59"/>
  <c r="AC8" i="59"/>
  <c r="AC4" i="59"/>
  <c r="AC34" i="59"/>
  <c r="AC30" i="59"/>
  <c r="AC25" i="59"/>
  <c r="AC20" i="59"/>
  <c r="AC14" i="59"/>
  <c r="AC10" i="59"/>
  <c r="AC6" i="59"/>
  <c r="AC33" i="59"/>
  <c r="AC29" i="59"/>
  <c r="AC24" i="59"/>
  <c r="AC19" i="59"/>
  <c r="AC13" i="59"/>
  <c r="AC9" i="59"/>
  <c r="AC5" i="59"/>
  <c r="V34" i="59"/>
  <c r="V30" i="59"/>
  <c r="V25" i="59"/>
  <c r="V31" i="59"/>
  <c r="V33" i="59"/>
  <c r="V29" i="59"/>
  <c r="V28" i="59"/>
  <c r="V36" i="59"/>
  <c r="V32" i="59"/>
  <c r="V27" i="59"/>
  <c r="AB36" i="59"/>
  <c r="AB31" i="59"/>
  <c r="AB27" i="59"/>
  <c r="AB21" i="59"/>
  <c r="AB17" i="59"/>
  <c r="AB10" i="59"/>
  <c r="AB5" i="59"/>
  <c r="AB34" i="59"/>
  <c r="AB30" i="59"/>
  <c r="AB25" i="59"/>
  <c r="AB20" i="59"/>
  <c r="AB14" i="59"/>
  <c r="AB9" i="59"/>
  <c r="AB6" i="59"/>
  <c r="AB33" i="59"/>
  <c r="AB29" i="59"/>
  <c r="AB24" i="59"/>
  <c r="AB19" i="59"/>
  <c r="AB13" i="59"/>
  <c r="AB8" i="59"/>
  <c r="AB4" i="59"/>
  <c r="AB32" i="59"/>
  <c r="AB28" i="59"/>
  <c r="AB22" i="59"/>
  <c r="AB18" i="59"/>
  <c r="AB12" i="59"/>
  <c r="AB7" i="59"/>
  <c r="AB3" i="59"/>
  <c r="W22" i="59"/>
  <c r="W18" i="59"/>
  <c r="W12" i="59"/>
  <c r="W7" i="59"/>
  <c r="W21" i="59"/>
  <c r="W17" i="59"/>
  <c r="W10" i="59"/>
  <c r="W6" i="59"/>
  <c r="W20" i="59"/>
  <c r="W15" i="59"/>
  <c r="W9" i="59"/>
  <c r="W4" i="59"/>
  <c r="W19" i="59"/>
  <c r="W13" i="59"/>
  <c r="W8" i="59"/>
  <c r="W3" i="59"/>
  <c r="V22" i="59"/>
  <c r="V17" i="59"/>
  <c r="V12" i="59"/>
  <c r="V7" i="59"/>
  <c r="V3" i="59"/>
  <c r="V18" i="59"/>
  <c r="V13" i="59"/>
  <c r="V8" i="59"/>
  <c r="V4" i="59"/>
  <c r="V21" i="59"/>
  <c r="V15" i="59"/>
  <c r="V10" i="59"/>
  <c r="V6" i="59"/>
  <c r="V20" i="59"/>
  <c r="V14" i="59"/>
  <c r="V9" i="59"/>
  <c r="V5" i="59"/>
  <c r="U13" i="59"/>
  <c r="U8" i="59"/>
  <c r="U3" i="59"/>
  <c r="U12" i="59"/>
  <c r="U7" i="59"/>
  <c r="U10" i="59"/>
  <c r="U6" i="59"/>
  <c r="U9" i="59"/>
  <c r="U4" i="59"/>
  <c r="T30" i="59"/>
  <c r="T25" i="59"/>
  <c r="T20" i="59"/>
  <c r="T15" i="59"/>
  <c r="T11" i="59"/>
  <c r="T7" i="59"/>
  <c r="T3" i="59"/>
  <c r="T27" i="59"/>
  <c r="T21" i="59"/>
  <c r="T17" i="59"/>
  <c r="T12" i="59"/>
  <c r="T8" i="59"/>
  <c r="T4" i="59"/>
  <c r="T29" i="59"/>
  <c r="T24" i="59"/>
  <c r="T19" i="59"/>
  <c r="T14" i="59"/>
  <c r="T10" i="59"/>
  <c r="T6" i="59"/>
  <c r="T28" i="59"/>
  <c r="T22" i="59"/>
  <c r="T18" i="59"/>
  <c r="T13" i="59"/>
  <c r="T9" i="59"/>
  <c r="T5" i="59"/>
  <c r="S34" i="59"/>
  <c r="S30" i="59"/>
  <c r="S25" i="59"/>
  <c r="S31" i="59"/>
  <c r="S33" i="59"/>
  <c r="S29" i="59"/>
  <c r="S24" i="59"/>
  <c r="S28" i="59"/>
  <c r="S27" i="59"/>
  <c r="S32" i="59"/>
  <c r="S36" i="59"/>
  <c r="S22" i="59"/>
  <c r="S18" i="59"/>
  <c r="S12" i="59"/>
  <c r="S8" i="59"/>
  <c r="S4" i="59"/>
  <c r="S19" i="59"/>
  <c r="S14" i="59"/>
  <c r="S9" i="59"/>
  <c r="S5" i="59"/>
  <c r="S21" i="59"/>
  <c r="S17" i="59"/>
  <c r="S11" i="59"/>
  <c r="S7" i="59"/>
  <c r="S20" i="59"/>
  <c r="S15" i="59"/>
  <c r="S10" i="59"/>
  <c r="S6" i="59"/>
  <c r="R21" i="59"/>
  <c r="R15" i="59"/>
  <c r="R11" i="59"/>
  <c r="R7" i="59"/>
  <c r="R9" i="59"/>
  <c r="R5" i="59"/>
  <c r="R17" i="59"/>
  <c r="R12" i="59"/>
  <c r="R8" i="59"/>
  <c r="R19" i="59"/>
  <c r="R14" i="59"/>
  <c r="R10" i="59"/>
  <c r="R6" i="59"/>
  <c r="R18" i="59"/>
  <c r="R13" i="59"/>
  <c r="Q36" i="59"/>
  <c r="Q31" i="59"/>
  <c r="Q27" i="59"/>
  <c r="Q13" i="59"/>
  <c r="Q8" i="59"/>
  <c r="Q32" i="59"/>
  <c r="Q28" i="59"/>
  <c r="Q19" i="59"/>
  <c r="Q9" i="59"/>
  <c r="Q34" i="59"/>
  <c r="Q30" i="59"/>
  <c r="Q25" i="59"/>
  <c r="Q12" i="59"/>
  <c r="Q33" i="59"/>
  <c r="Q29" i="59"/>
  <c r="Q24" i="59"/>
  <c r="Q10" i="59"/>
  <c r="P36" i="59"/>
  <c r="P28" i="59"/>
  <c r="P22" i="59"/>
  <c r="P18" i="59"/>
  <c r="P13" i="59"/>
  <c r="P9" i="59"/>
  <c r="P34" i="59"/>
  <c r="P27" i="59"/>
  <c r="P21" i="59"/>
  <c r="P17" i="59"/>
  <c r="P12" i="59"/>
  <c r="P8" i="59"/>
  <c r="P30" i="59"/>
  <c r="P25" i="59"/>
  <c r="P20" i="59"/>
  <c r="P15" i="59"/>
  <c r="P11" i="59"/>
  <c r="P7" i="59"/>
  <c r="P29" i="59"/>
  <c r="P24" i="59"/>
  <c r="P19" i="59"/>
  <c r="P14" i="59"/>
  <c r="P10" i="59"/>
  <c r="P6" i="59"/>
  <c r="O36" i="59"/>
  <c r="O28" i="59"/>
  <c r="O22" i="59"/>
  <c r="O18" i="59"/>
  <c r="O13" i="59"/>
  <c r="O9" i="59"/>
  <c r="O34" i="59"/>
  <c r="O27" i="59"/>
  <c r="O21" i="59"/>
  <c r="O17" i="59"/>
  <c r="O12" i="59"/>
  <c r="O8" i="59"/>
  <c r="O7" i="59"/>
  <c r="O19" i="59"/>
  <c r="O10" i="59"/>
  <c r="O30" i="59"/>
  <c r="O25" i="59"/>
  <c r="O20" i="59"/>
  <c r="O15" i="59"/>
  <c r="O11" i="59"/>
  <c r="O29" i="59"/>
  <c r="O24" i="59"/>
  <c r="O14" i="59"/>
  <c r="N36" i="59"/>
  <c r="N13" i="59"/>
  <c r="N27" i="59"/>
  <c r="N34" i="59"/>
  <c r="N9" i="59"/>
  <c r="N28" i="59"/>
  <c r="M33" i="59"/>
  <c r="M29" i="59"/>
  <c r="M24" i="59"/>
  <c r="M19" i="59"/>
  <c r="M14" i="59"/>
  <c r="M9" i="59"/>
  <c r="M31" i="59"/>
  <c r="M21" i="59"/>
  <c r="M11" i="59"/>
  <c r="M30" i="59"/>
  <c r="M20" i="59"/>
  <c r="M10" i="59"/>
  <c r="M32" i="59"/>
  <c r="M28" i="59"/>
  <c r="M22" i="59"/>
  <c r="M18" i="59"/>
  <c r="M13" i="59"/>
  <c r="M8" i="59"/>
  <c r="M36" i="59"/>
  <c r="M27" i="59"/>
  <c r="M17" i="59"/>
  <c r="M34" i="59"/>
  <c r="M25" i="59"/>
  <c r="M15" i="59"/>
  <c r="M6" i="59"/>
  <c r="M5" i="59"/>
  <c r="M4" i="59"/>
  <c r="M3" i="59"/>
  <c r="L36" i="59"/>
  <c r="L28" i="59"/>
  <c r="L22" i="59"/>
  <c r="L14" i="59"/>
  <c r="L6" i="59"/>
  <c r="L25" i="59"/>
  <c r="L18" i="59"/>
  <c r="L10" i="59"/>
  <c r="L4" i="59"/>
  <c r="L31" i="59"/>
  <c r="L24" i="59"/>
  <c r="L15" i="59"/>
  <c r="L9" i="59"/>
  <c r="L33" i="59"/>
  <c r="L27" i="59"/>
  <c r="L21" i="59"/>
  <c r="L11" i="59"/>
  <c r="L5" i="59"/>
  <c r="L32" i="59"/>
  <c r="K36" i="59"/>
  <c r="K30" i="59"/>
  <c r="K25" i="59"/>
  <c r="K18" i="59"/>
  <c r="K13" i="59"/>
  <c r="K9" i="59"/>
  <c r="K5" i="59"/>
  <c r="K19" i="59"/>
  <c r="K33" i="59"/>
  <c r="K29" i="59"/>
  <c r="K24" i="59"/>
  <c r="K17" i="59"/>
  <c r="K12" i="59"/>
  <c r="K8" i="59"/>
  <c r="K4" i="59"/>
  <c r="K27" i="59"/>
  <c r="K14" i="59"/>
  <c r="K32" i="59"/>
  <c r="K28" i="59"/>
  <c r="K21" i="59"/>
  <c r="K15" i="59"/>
  <c r="K11" i="59"/>
  <c r="K7" i="59"/>
  <c r="K3" i="59"/>
  <c r="K31" i="59"/>
  <c r="K10" i="59"/>
  <c r="K6" i="59"/>
  <c r="J36" i="59"/>
  <c r="J31" i="59"/>
  <c r="J27" i="59"/>
  <c r="J19" i="59"/>
  <c r="J14" i="59"/>
  <c r="J9" i="59"/>
  <c r="J4" i="59"/>
  <c r="J29" i="59"/>
  <c r="J21" i="59"/>
  <c r="J11" i="59"/>
  <c r="J34" i="59"/>
  <c r="J30" i="59"/>
  <c r="J22" i="59"/>
  <c r="J18" i="59"/>
  <c r="J13" i="59"/>
  <c r="J8" i="59"/>
  <c r="J3" i="59"/>
  <c r="J33" i="59"/>
  <c r="J17" i="59"/>
  <c r="J7" i="59"/>
  <c r="J32" i="59"/>
  <c r="J28" i="59"/>
  <c r="J20" i="59"/>
  <c r="J15" i="59"/>
  <c r="J10" i="59"/>
  <c r="J5" i="59"/>
  <c r="I36" i="59"/>
  <c r="I31" i="59"/>
  <c r="I27" i="59"/>
  <c r="I21" i="59"/>
  <c r="I17" i="59"/>
  <c r="I12" i="59"/>
  <c r="I7" i="59"/>
  <c r="I3" i="59"/>
  <c r="I32" i="59"/>
  <c r="I28" i="59"/>
  <c r="I22" i="59"/>
  <c r="I18" i="59"/>
  <c r="I13" i="59"/>
  <c r="I9" i="59"/>
  <c r="I4" i="59"/>
  <c r="I34" i="59"/>
  <c r="I30" i="59"/>
  <c r="I25" i="59"/>
  <c r="I20" i="59"/>
  <c r="I15" i="59"/>
  <c r="I11" i="59"/>
  <c r="I6" i="59"/>
  <c r="I33" i="59"/>
  <c r="I29" i="59"/>
  <c r="I24" i="59"/>
  <c r="I19" i="59"/>
  <c r="I14" i="59"/>
  <c r="I10" i="59"/>
  <c r="I5" i="59"/>
  <c r="B36" i="59"/>
  <c r="B13" i="59"/>
  <c r="B10" i="59"/>
  <c r="B8" i="59"/>
  <c r="Y2" i="61"/>
  <c r="X2" i="61"/>
  <c r="Q2" i="61"/>
  <c r="P2" i="61"/>
  <c r="O2" i="61"/>
  <c r="L21" i="61"/>
  <c r="L25" i="61"/>
  <c r="L29" i="61"/>
  <c r="L24" i="61"/>
  <c r="L18" i="61"/>
  <c r="L22" i="61"/>
  <c r="L26" i="61"/>
  <c r="L30" i="61"/>
  <c r="L20" i="61"/>
  <c r="L28" i="61"/>
  <c r="L19" i="61"/>
  <c r="L23" i="61"/>
  <c r="L2" i="61"/>
  <c r="K17" i="61"/>
  <c r="K29" i="61"/>
  <c r="K6" i="61"/>
  <c r="K10" i="61"/>
  <c r="K18" i="61"/>
  <c r="K22" i="61"/>
  <c r="K26" i="61"/>
  <c r="K30" i="61"/>
  <c r="K35" i="61"/>
  <c r="K9" i="61"/>
  <c r="K21" i="61"/>
  <c r="K25" i="61"/>
  <c r="K34" i="61"/>
  <c r="K7" i="61"/>
  <c r="K11" i="61"/>
  <c r="K19" i="61"/>
  <c r="K23" i="61"/>
  <c r="K27" i="61"/>
  <c r="K32" i="61"/>
  <c r="K36" i="61"/>
  <c r="K8" i="61"/>
  <c r="K14" i="61"/>
  <c r="K20" i="61"/>
  <c r="K24" i="61"/>
  <c r="K28" i="61"/>
  <c r="K33" i="61"/>
  <c r="K2" i="61"/>
  <c r="G20" i="61"/>
  <c r="G24" i="61"/>
  <c r="G28" i="61"/>
  <c r="G33" i="61"/>
  <c r="G17" i="61"/>
  <c r="G21" i="61"/>
  <c r="G25" i="61"/>
  <c r="G29" i="61"/>
  <c r="G34" i="61"/>
  <c r="G18" i="61"/>
  <c r="G22" i="61"/>
  <c r="G26" i="61"/>
  <c r="G30" i="61"/>
  <c r="G35" i="61"/>
  <c r="G19" i="61"/>
  <c r="G23" i="61"/>
  <c r="G27" i="61"/>
  <c r="G32" i="61"/>
  <c r="E28" i="61"/>
  <c r="E29" i="61"/>
  <c r="E26" i="61"/>
  <c r="E30" i="61"/>
  <c r="E27" i="61"/>
  <c r="E35" i="61"/>
  <c r="E18" i="61"/>
  <c r="E22" i="61"/>
  <c r="E23" i="61"/>
  <c r="E19" i="61"/>
  <c r="E20" i="61"/>
  <c r="E24" i="61"/>
  <c r="E17" i="61"/>
  <c r="E21" i="61"/>
  <c r="E2" i="61"/>
  <c r="D37" i="61"/>
  <c r="D30" i="61"/>
  <c r="D26" i="61"/>
  <c r="D22" i="61"/>
  <c r="D14" i="61"/>
  <c r="D10" i="61"/>
  <c r="D6" i="61"/>
  <c r="D36" i="61"/>
  <c r="D29" i="61"/>
  <c r="D25" i="61"/>
  <c r="D18" i="61"/>
  <c r="D13" i="61"/>
  <c r="D9" i="61"/>
  <c r="D5" i="61"/>
  <c r="D35" i="61"/>
  <c r="D28" i="61"/>
  <c r="D24" i="61"/>
  <c r="D12" i="61"/>
  <c r="D8" i="61"/>
  <c r="D4" i="61"/>
  <c r="D32" i="61"/>
  <c r="D27" i="61"/>
  <c r="D23" i="61"/>
  <c r="D15" i="61"/>
  <c r="D11" i="61"/>
  <c r="D7" i="61"/>
  <c r="D3" i="61"/>
  <c r="D17" i="61"/>
  <c r="C5" i="61"/>
  <c r="B7" i="61"/>
  <c r="B11" i="61"/>
  <c r="B15" i="61"/>
  <c r="B19" i="61"/>
  <c r="B24" i="61"/>
  <c r="B28" i="61"/>
  <c r="B37" i="61"/>
  <c r="B6" i="61"/>
  <c r="B14" i="61"/>
  <c r="B22" i="61"/>
  <c r="B36" i="61"/>
  <c r="B4" i="61"/>
  <c r="B8" i="61"/>
  <c r="B20" i="61"/>
  <c r="B25" i="61"/>
  <c r="B29" i="61"/>
  <c r="B10" i="61"/>
  <c r="B18" i="61"/>
  <c r="B27" i="61"/>
  <c r="B5" i="61"/>
  <c r="B9" i="61"/>
  <c r="B13" i="61"/>
  <c r="B17" i="61"/>
  <c r="B21" i="61"/>
  <c r="B26" i="61"/>
  <c r="B2" i="61"/>
  <c r="B12" i="61" s="1"/>
  <c r="Q37" i="61" l="1"/>
  <c r="Q29" i="61"/>
  <c r="Q25" i="61"/>
  <c r="Q21" i="61"/>
  <c r="Q32" i="61"/>
  <c r="Q22" i="61"/>
  <c r="Q36" i="61"/>
  <c r="Q28" i="61"/>
  <c r="Q24" i="61"/>
  <c r="Q18" i="61"/>
  <c r="Q33" i="61"/>
  <c r="Q27" i="61"/>
  <c r="Q23" i="61"/>
  <c r="Q17" i="61"/>
  <c r="Q26" i="61"/>
  <c r="Y3" i="61"/>
  <c r="Y37" i="61"/>
  <c r="Y32" i="61"/>
  <c r="Y27" i="61"/>
  <c r="Y23" i="61"/>
  <c r="Y19" i="61"/>
  <c r="Y14" i="61"/>
  <c r="Y10" i="61"/>
  <c r="Y6" i="61"/>
  <c r="Y34" i="61"/>
  <c r="Y29" i="61"/>
  <c r="Y21" i="61"/>
  <c r="Y17" i="61"/>
  <c r="Y8" i="61"/>
  <c r="Y35" i="61"/>
  <c r="Y30" i="61"/>
  <c r="Y26" i="61"/>
  <c r="Y22" i="61"/>
  <c r="Y18" i="61"/>
  <c r="Y13" i="61"/>
  <c r="Y9" i="61"/>
  <c r="Y5" i="61"/>
  <c r="Y25" i="61"/>
  <c r="Y12" i="61"/>
  <c r="Y4" i="61"/>
  <c r="Y33" i="61"/>
  <c r="Y28" i="61"/>
  <c r="Y24" i="61"/>
  <c r="Y20" i="61"/>
  <c r="Y15" i="61"/>
  <c r="Y11" i="61"/>
  <c r="Y7" i="61"/>
  <c r="X34" i="61"/>
  <c r="X29" i="61"/>
  <c r="X25" i="61"/>
  <c r="X21" i="61"/>
  <c r="X15" i="61"/>
  <c r="X11" i="61"/>
  <c r="X7" i="61"/>
  <c r="X3" i="61"/>
  <c r="X27" i="61"/>
  <c r="X18" i="61"/>
  <c r="X9" i="61"/>
  <c r="X33" i="61"/>
  <c r="X28" i="61"/>
  <c r="X24" i="61"/>
  <c r="X19" i="61"/>
  <c r="X14" i="61"/>
  <c r="X10" i="61"/>
  <c r="X6" i="61"/>
  <c r="X32" i="61"/>
  <c r="X23" i="61"/>
  <c r="X13" i="61"/>
  <c r="X5" i="61"/>
  <c r="X30" i="61"/>
  <c r="X26" i="61"/>
  <c r="X22" i="61"/>
  <c r="X17" i="61"/>
  <c r="X12" i="61"/>
  <c r="X8" i="61"/>
  <c r="X4" i="61"/>
  <c r="Q11" i="61"/>
  <c r="Q7" i="61"/>
  <c r="Q3" i="61"/>
  <c r="Q10" i="61"/>
  <c r="Q6" i="61"/>
  <c r="Q9" i="61"/>
  <c r="Q5" i="61"/>
  <c r="Q8" i="61"/>
  <c r="Q4" i="61"/>
  <c r="P37" i="61"/>
  <c r="P33" i="61"/>
  <c r="P28" i="61"/>
  <c r="P23" i="61"/>
  <c r="P17" i="61"/>
  <c r="P12" i="61"/>
  <c r="P7" i="61"/>
  <c r="P3" i="61"/>
  <c r="P24" i="61"/>
  <c r="P8" i="61"/>
  <c r="P36" i="61"/>
  <c r="P32" i="61"/>
  <c r="P26" i="61"/>
  <c r="P22" i="61"/>
  <c r="P15" i="61"/>
  <c r="P10" i="61"/>
  <c r="P6" i="61"/>
  <c r="P34" i="61"/>
  <c r="P18" i="61"/>
  <c r="P4" i="61"/>
  <c r="P35" i="61"/>
  <c r="P30" i="61"/>
  <c r="P25" i="61"/>
  <c r="P21" i="61"/>
  <c r="P14" i="61"/>
  <c r="P9" i="61"/>
  <c r="P5" i="61"/>
  <c r="P29" i="61"/>
  <c r="P13" i="61"/>
  <c r="O37" i="61"/>
  <c r="O29" i="61"/>
  <c r="O24" i="61"/>
  <c r="O19" i="61"/>
  <c r="O13" i="61"/>
  <c r="O9" i="61"/>
  <c r="O4" i="61"/>
  <c r="O10" i="61"/>
  <c r="O36" i="61"/>
  <c r="O28" i="61"/>
  <c r="O22" i="61"/>
  <c r="O17" i="61"/>
  <c r="O12" i="61"/>
  <c r="O8" i="61"/>
  <c r="O3" i="61"/>
  <c r="O30" i="61"/>
  <c r="O20" i="61"/>
  <c r="O5" i="61"/>
  <c r="O35" i="61"/>
  <c r="O27" i="61"/>
  <c r="O21" i="61"/>
  <c r="O15" i="61"/>
  <c r="O11" i="61"/>
  <c r="O6" i="61"/>
  <c r="O25" i="61"/>
  <c r="O14" i="61"/>
  <c r="C28" i="61"/>
  <c r="C6" i="61"/>
  <c r="C23" i="61"/>
  <c r="C29" i="61"/>
  <c r="C30" i="61"/>
  <c r="C8" i="61"/>
  <c r="C14" i="61"/>
  <c r="Z55" i="58"/>
  <c r="Z15" i="58"/>
  <c r="Z52" i="58"/>
  <c r="Z84" i="58"/>
  <c r="Z12" i="58"/>
  <c r="Z16" i="58"/>
  <c r="Z45" i="58"/>
  <c r="Z81" i="58"/>
  <c r="Z85" i="58"/>
  <c r="C6" i="55"/>
  <c r="C32" i="55"/>
  <c r="Z2" i="58" s="1"/>
  <c r="Z92" i="58" s="1"/>
  <c r="C12" i="55"/>
  <c r="C13" i="55"/>
  <c r="C14" i="55"/>
  <c r="I2" i="58" s="1"/>
  <c r="I106" i="58" s="1"/>
  <c r="C15" i="55"/>
  <c r="AA2" i="58" s="1"/>
  <c r="C16" i="55"/>
  <c r="AB2" i="58" s="1"/>
  <c r="C17" i="55"/>
  <c r="AC2" i="58" s="1"/>
  <c r="C18" i="55"/>
  <c r="C19" i="55"/>
  <c r="C20" i="55"/>
  <c r="Z98" i="58" l="1"/>
  <c r="Z28" i="58"/>
  <c r="Z66" i="58"/>
  <c r="Z87" i="58"/>
  <c r="Z51" i="58"/>
  <c r="Z67" i="58"/>
  <c r="Z106" i="58"/>
  <c r="Z36" i="58"/>
  <c r="Z22" i="58"/>
  <c r="Z48" i="58"/>
  <c r="Z63" i="58"/>
  <c r="Z101" i="58"/>
  <c r="Z32" i="58"/>
  <c r="Z18" i="58"/>
  <c r="Z49" i="58"/>
  <c r="Z88" i="58"/>
  <c r="Z19" i="58"/>
  <c r="Z33" i="58"/>
  <c r="Z71" i="58"/>
  <c r="Z102" i="58"/>
  <c r="Z82" i="58"/>
  <c r="Z46" i="58"/>
  <c r="Z13" i="58"/>
  <c r="Z103" i="58"/>
  <c r="Z34" i="58"/>
  <c r="Z58" i="58"/>
  <c r="Z77" i="58"/>
  <c r="Z42" i="58"/>
  <c r="Z9" i="58"/>
  <c r="Z68" i="58"/>
  <c r="Z99" i="58"/>
  <c r="Z73" i="58"/>
  <c r="Z38" i="58"/>
  <c r="Z5" i="58"/>
  <c r="Z25" i="58"/>
  <c r="Z64" i="58"/>
  <c r="Z95" i="58"/>
  <c r="Z29" i="58"/>
  <c r="Z91" i="58"/>
  <c r="Z54" i="58"/>
  <c r="Z21" i="58"/>
  <c r="Z86" i="58"/>
  <c r="Z50" i="58"/>
  <c r="Z17" i="58"/>
  <c r="Z76" i="58"/>
  <c r="Z41" i="58"/>
  <c r="Z8" i="58"/>
  <c r="Z80" i="58"/>
  <c r="Z44" i="58"/>
  <c r="Z11" i="58"/>
  <c r="Z83" i="58"/>
  <c r="Z47" i="58"/>
  <c r="Z14" i="58"/>
  <c r="Z72" i="58"/>
  <c r="Z37" i="58"/>
  <c r="Z4" i="58"/>
  <c r="Z75" i="58"/>
  <c r="Z40" i="58"/>
  <c r="Z7" i="58"/>
  <c r="Z79" i="58"/>
  <c r="Z43" i="58"/>
  <c r="Z10" i="58"/>
  <c r="Z3" i="58"/>
  <c r="Z74" i="58"/>
  <c r="Z39" i="58"/>
  <c r="Z6" i="58"/>
  <c r="Z104" i="58"/>
  <c r="Z69" i="58"/>
  <c r="Z35" i="58"/>
  <c r="Z94" i="58"/>
  <c r="Z57" i="58"/>
  <c r="Z24" i="58"/>
  <c r="Z97" i="58"/>
  <c r="Z61" i="58"/>
  <c r="Z27" i="58"/>
  <c r="Z100" i="58"/>
  <c r="Z65" i="58"/>
  <c r="Z31" i="58"/>
  <c r="Z90" i="58"/>
  <c r="Z53" i="58"/>
  <c r="Z20" i="58"/>
  <c r="Z93" i="58"/>
  <c r="Z56" i="58"/>
  <c r="Z23" i="58"/>
  <c r="Z96" i="58"/>
  <c r="Z60" i="58"/>
  <c r="Z26" i="58"/>
  <c r="AE2" i="58"/>
  <c r="AE73" i="58"/>
  <c r="I14" i="58"/>
  <c r="I23" i="58"/>
  <c r="I35" i="58"/>
  <c r="I47" i="58"/>
  <c r="I63" i="58"/>
  <c r="I71" i="58"/>
  <c r="I86" i="58"/>
  <c r="I103" i="58"/>
  <c r="AB105" i="58"/>
  <c r="AB101" i="58"/>
  <c r="AB93" i="58"/>
  <c r="AB88" i="58"/>
  <c r="AB84" i="58"/>
  <c r="AB80" i="58"/>
  <c r="AB74" i="58"/>
  <c r="AB69" i="58"/>
  <c r="AB65" i="58"/>
  <c r="AB60" i="58"/>
  <c r="AB55" i="58"/>
  <c r="AB51" i="58"/>
  <c r="AB47" i="58"/>
  <c r="AB43" i="58"/>
  <c r="AB104" i="58"/>
  <c r="AB100" i="58"/>
  <c r="AB92" i="58"/>
  <c r="AB87" i="58"/>
  <c r="AB83" i="58"/>
  <c r="AB79" i="58"/>
  <c r="AB72" i="58"/>
  <c r="AB68" i="58"/>
  <c r="AB64" i="58"/>
  <c r="AB58" i="58"/>
  <c r="AB54" i="58"/>
  <c r="AB50" i="58"/>
  <c r="AB42" i="58"/>
  <c r="AB103" i="58"/>
  <c r="AB96" i="58"/>
  <c r="AB91" i="58"/>
  <c r="AB86" i="58"/>
  <c r="AB82" i="58"/>
  <c r="AB78" i="58"/>
  <c r="AB71" i="58"/>
  <c r="AB67" i="58"/>
  <c r="AB63" i="58"/>
  <c r="AB57" i="58"/>
  <c r="AB53" i="58"/>
  <c r="AB49" i="58"/>
  <c r="AB45" i="58"/>
  <c r="AB90" i="58"/>
  <c r="AB70" i="58"/>
  <c r="AB52" i="58"/>
  <c r="AB106" i="58"/>
  <c r="AB85" i="58"/>
  <c r="AB66" i="58"/>
  <c r="AB48" i="58"/>
  <c r="AB56" i="58"/>
  <c r="AB102" i="58"/>
  <c r="AB81" i="58"/>
  <c r="AB61" i="58"/>
  <c r="AB44" i="58"/>
  <c r="AB95" i="58"/>
  <c r="AB77" i="58"/>
  <c r="I3" i="58"/>
  <c r="I7" i="58"/>
  <c r="I11" i="58"/>
  <c r="I15" i="58"/>
  <c r="I19" i="58"/>
  <c r="I24" i="58"/>
  <c r="I28" i="58"/>
  <c r="I32" i="58"/>
  <c r="I36" i="58"/>
  <c r="I40" i="58"/>
  <c r="I44" i="58"/>
  <c r="I48" i="58"/>
  <c r="I52" i="58"/>
  <c r="I56" i="58"/>
  <c r="I64" i="58"/>
  <c r="I68" i="58"/>
  <c r="I72" i="58"/>
  <c r="I76" i="58"/>
  <c r="I83" i="58"/>
  <c r="I87" i="58"/>
  <c r="I92" i="58"/>
  <c r="I96" i="58"/>
  <c r="I100" i="58"/>
  <c r="I104" i="58"/>
  <c r="I6" i="58"/>
  <c r="I18" i="58"/>
  <c r="I31" i="58"/>
  <c r="I43" i="58"/>
  <c r="I55" i="58"/>
  <c r="I75" i="58"/>
  <c r="I91" i="58"/>
  <c r="I99" i="58"/>
  <c r="AA103" i="58"/>
  <c r="AA99" i="58"/>
  <c r="AA95" i="58"/>
  <c r="AA91" i="58"/>
  <c r="AA86" i="58"/>
  <c r="AA102" i="58"/>
  <c r="AA98" i="58"/>
  <c r="AA94" i="58"/>
  <c r="AA90" i="58"/>
  <c r="AA105" i="58"/>
  <c r="AA101" i="58"/>
  <c r="AA97" i="58"/>
  <c r="AA93" i="58"/>
  <c r="AA88" i="58"/>
  <c r="AA100" i="58"/>
  <c r="AA96" i="58"/>
  <c r="AA104" i="58"/>
  <c r="AA92" i="58"/>
  <c r="AA87" i="58"/>
  <c r="I4" i="58"/>
  <c r="I8" i="58"/>
  <c r="I12" i="58"/>
  <c r="I16" i="58"/>
  <c r="I20" i="58"/>
  <c r="I25" i="58"/>
  <c r="I29" i="58"/>
  <c r="I33" i="58"/>
  <c r="I37" i="58"/>
  <c r="I41" i="58"/>
  <c r="I45" i="58"/>
  <c r="I49" i="58"/>
  <c r="I53" i="58"/>
  <c r="I57" i="58"/>
  <c r="I65" i="58"/>
  <c r="I69" i="58"/>
  <c r="I73" i="58"/>
  <c r="I77" i="58"/>
  <c r="I84" i="58"/>
  <c r="I88" i="58"/>
  <c r="I93" i="58"/>
  <c r="I97" i="58"/>
  <c r="I101" i="58"/>
  <c r="I105" i="58"/>
  <c r="AC106" i="58"/>
  <c r="AC102" i="58"/>
  <c r="AC98" i="58"/>
  <c r="AC94" i="58"/>
  <c r="AC90" i="58"/>
  <c r="AC85" i="58"/>
  <c r="AC81" i="58"/>
  <c r="AC77" i="58"/>
  <c r="AC73" i="58"/>
  <c r="AC69" i="58"/>
  <c r="AC65" i="58"/>
  <c r="AC60" i="58"/>
  <c r="AC55" i="58"/>
  <c r="AC105" i="58"/>
  <c r="AC101" i="58"/>
  <c r="AC97" i="58"/>
  <c r="AC93" i="58"/>
  <c r="AC88" i="58"/>
  <c r="AC84" i="58"/>
  <c r="AC80" i="58"/>
  <c r="AC76" i="58"/>
  <c r="AC72" i="58"/>
  <c r="AC68" i="58"/>
  <c r="AC64" i="58"/>
  <c r="AC58" i="58"/>
  <c r="AC54" i="58"/>
  <c r="AC104" i="58"/>
  <c r="AC100" i="58"/>
  <c r="AC96" i="58"/>
  <c r="AC92" i="58"/>
  <c r="AC87" i="58"/>
  <c r="AC83" i="58"/>
  <c r="AC79" i="58"/>
  <c r="AC75" i="58"/>
  <c r="AC71" i="58"/>
  <c r="AC67" i="58"/>
  <c r="AC63" i="58"/>
  <c r="AC57" i="58"/>
  <c r="AC53" i="58"/>
  <c r="AC91" i="58"/>
  <c r="AC74" i="58"/>
  <c r="AC56" i="58"/>
  <c r="AC103" i="58"/>
  <c r="AC86" i="58"/>
  <c r="AC70" i="58"/>
  <c r="AC95" i="58"/>
  <c r="AC61" i="58"/>
  <c r="AC99" i="58"/>
  <c r="AC82" i="58"/>
  <c r="AC66" i="58"/>
  <c r="AC78" i="58"/>
  <c r="I10" i="58"/>
  <c r="I27" i="58"/>
  <c r="I39" i="58"/>
  <c r="I51" i="58"/>
  <c r="I67" i="58"/>
  <c r="I79" i="58"/>
  <c r="I95" i="58"/>
  <c r="I5" i="58"/>
  <c r="I9" i="58"/>
  <c r="I13" i="58"/>
  <c r="I17" i="58"/>
  <c r="I22" i="58"/>
  <c r="I26" i="58"/>
  <c r="I30" i="58"/>
  <c r="I34" i="58"/>
  <c r="I38" i="58"/>
  <c r="I42" i="58"/>
  <c r="I46" i="58"/>
  <c r="I50" i="58"/>
  <c r="I54" i="58"/>
  <c r="I58" i="58"/>
  <c r="I66" i="58"/>
  <c r="I70" i="58"/>
  <c r="I74" i="58"/>
  <c r="I78" i="58"/>
  <c r="I85" i="58"/>
  <c r="I90" i="58"/>
  <c r="I94" i="58"/>
  <c r="I98" i="58"/>
  <c r="I102" i="58"/>
  <c r="AD2" i="58"/>
  <c r="AD47" i="58"/>
  <c r="AC52" i="58"/>
  <c r="AC48" i="58"/>
  <c r="AC44" i="58"/>
  <c r="AC40" i="58"/>
  <c r="AC36" i="58"/>
  <c r="AC32" i="58"/>
  <c r="AC27" i="58"/>
  <c r="AC23" i="58"/>
  <c r="AC19" i="58"/>
  <c r="AC15" i="58"/>
  <c r="AC11" i="58"/>
  <c r="AC7" i="58"/>
  <c r="AC3" i="58"/>
  <c r="AC51" i="58"/>
  <c r="AC47" i="58"/>
  <c r="AC43" i="58"/>
  <c r="AC39" i="58"/>
  <c r="AC35" i="58"/>
  <c r="AC31" i="58"/>
  <c r="AC26" i="58"/>
  <c r="AC22" i="58"/>
  <c r="AC18" i="58"/>
  <c r="AC14" i="58"/>
  <c r="AC10" i="58"/>
  <c r="AC6" i="58"/>
  <c r="AC50" i="58"/>
  <c r="AC46" i="58"/>
  <c r="AC42" i="58"/>
  <c r="AC38" i="58"/>
  <c r="AC34" i="58"/>
  <c r="AC30" i="58"/>
  <c r="AC25" i="58"/>
  <c r="AC21" i="58"/>
  <c r="AC17" i="58"/>
  <c r="AC13" i="58"/>
  <c r="AC9" i="58"/>
  <c r="AC5" i="58"/>
  <c r="AC49" i="58"/>
  <c r="AC45" i="58"/>
  <c r="AC41" i="58"/>
  <c r="AC37" i="58"/>
  <c r="AC33" i="58"/>
  <c r="AC28" i="58"/>
  <c r="AC24" i="58"/>
  <c r="AC20" i="58"/>
  <c r="AC16" i="58"/>
  <c r="AC12" i="58"/>
  <c r="AC8" i="58"/>
  <c r="AC4" i="58"/>
  <c r="AC29" i="58"/>
  <c r="AB32" i="58"/>
  <c r="AB28" i="58"/>
  <c r="AB19" i="58"/>
  <c r="AB15" i="58"/>
  <c r="AB11" i="58"/>
  <c r="AB7" i="58"/>
  <c r="AB3" i="58"/>
  <c r="AB31" i="58"/>
  <c r="AB27" i="58"/>
  <c r="AB18" i="58"/>
  <c r="AB14" i="58"/>
  <c r="AB10" i="58"/>
  <c r="AB6" i="58"/>
  <c r="AB30" i="58"/>
  <c r="AB21" i="58"/>
  <c r="AB17" i="58"/>
  <c r="AB13" i="58"/>
  <c r="AB9" i="58"/>
  <c r="AB5" i="58"/>
  <c r="AB29" i="58"/>
  <c r="AB20" i="58"/>
  <c r="AB16" i="58"/>
  <c r="AB12" i="58"/>
  <c r="AB8" i="58"/>
  <c r="AB4" i="58"/>
  <c r="AB22" i="58"/>
  <c r="AB46" i="58" s="1"/>
  <c r="AA85" i="58"/>
  <c r="AA81" i="58"/>
  <c r="AA77" i="58"/>
  <c r="AA71" i="58"/>
  <c r="AA67" i="58"/>
  <c r="AA63" i="58"/>
  <c r="AA57" i="58"/>
  <c r="AA53" i="58"/>
  <c r="AA49" i="58"/>
  <c r="AA45" i="58"/>
  <c r="AA30" i="58"/>
  <c r="AA26" i="58"/>
  <c r="AA22" i="58"/>
  <c r="AA18" i="58"/>
  <c r="AA14" i="58"/>
  <c r="AA10" i="58"/>
  <c r="AA6" i="58"/>
  <c r="AA69" i="58"/>
  <c r="AA28" i="58"/>
  <c r="AA20" i="58"/>
  <c r="AA12" i="58"/>
  <c r="AA4" i="58"/>
  <c r="AA78" i="58"/>
  <c r="AA68" i="58"/>
  <c r="AA58" i="58"/>
  <c r="AA46" i="58"/>
  <c r="AA42" i="58"/>
  <c r="AA23" i="58"/>
  <c r="AA11" i="58"/>
  <c r="AA3" i="58"/>
  <c r="AA84" i="58"/>
  <c r="AA80" i="58"/>
  <c r="AA74" i="58"/>
  <c r="AA70" i="58"/>
  <c r="AA66" i="58"/>
  <c r="AA61" i="58"/>
  <c r="AA56" i="58"/>
  <c r="AA52" i="58"/>
  <c r="AA48" i="58"/>
  <c r="AA44" i="58"/>
  <c r="AA29" i="58"/>
  <c r="AA25" i="58"/>
  <c r="AA21" i="58"/>
  <c r="AA17" i="58"/>
  <c r="AA13" i="58"/>
  <c r="AA9" i="58"/>
  <c r="AA5" i="58"/>
  <c r="AA83" i="58"/>
  <c r="AA79" i="58"/>
  <c r="AA73" i="58"/>
  <c r="AA65" i="58"/>
  <c r="AA60" i="58"/>
  <c r="AA55" i="58"/>
  <c r="AA51" i="58"/>
  <c r="AA47" i="58"/>
  <c r="AA43" i="58"/>
  <c r="AA24" i="58"/>
  <c r="AA16" i="58"/>
  <c r="AA8" i="58"/>
  <c r="AA82" i="58"/>
  <c r="AA72" i="58"/>
  <c r="AA64" i="58"/>
  <c r="AA54" i="58"/>
  <c r="AA50" i="58"/>
  <c r="AA27" i="58"/>
  <c r="AA19" i="58"/>
  <c r="AA15" i="58"/>
  <c r="AA7" i="58"/>
  <c r="AA31" i="58"/>
  <c r="Z30" i="58"/>
  <c r="T7" i="58"/>
  <c r="T2" i="58"/>
  <c r="Q2" i="58"/>
  <c r="Q11" i="58"/>
  <c r="P2" i="58"/>
  <c r="P7" i="58"/>
  <c r="M2" i="58"/>
  <c r="M7" i="58"/>
  <c r="I21" i="58"/>
  <c r="N4" i="45"/>
  <c r="N6" i="45"/>
  <c r="N8" i="45"/>
  <c r="N10" i="45"/>
  <c r="N11" i="45"/>
  <c r="N12" i="45"/>
  <c r="C7" i="48"/>
  <c r="L5" i="45" s="1"/>
  <c r="C8" i="48"/>
  <c r="K2" i="45" s="1"/>
  <c r="C16" i="48"/>
  <c r="M3" i="45" s="1"/>
  <c r="C12" i="48"/>
  <c r="J7" i="45" s="1"/>
  <c r="C13" i="48"/>
  <c r="I2" i="45" s="1"/>
  <c r="AE102" i="58" l="1"/>
  <c r="AE106" i="58"/>
  <c r="AE101" i="58"/>
  <c r="AE100" i="58"/>
  <c r="AE105" i="58"/>
  <c r="AE104" i="58"/>
  <c r="AE103" i="58"/>
  <c r="AE96" i="58"/>
  <c r="AE88" i="58"/>
  <c r="AE84" i="58"/>
  <c r="AE79" i="58"/>
  <c r="AE74" i="58"/>
  <c r="AE69" i="58"/>
  <c r="AE65" i="58"/>
  <c r="AE60" i="58"/>
  <c r="AE55" i="58"/>
  <c r="AE51" i="58"/>
  <c r="AE47" i="58"/>
  <c r="AE43" i="58"/>
  <c r="AE39" i="58"/>
  <c r="AE35" i="58"/>
  <c r="AE31" i="58"/>
  <c r="AE27" i="58"/>
  <c r="AE23" i="58"/>
  <c r="AE19" i="58"/>
  <c r="AE15" i="58"/>
  <c r="AE11" i="58"/>
  <c r="AE7" i="58"/>
  <c r="AE3" i="58"/>
  <c r="AE90" i="58"/>
  <c r="AE85" i="58"/>
  <c r="AE80" i="58"/>
  <c r="AE75" i="58"/>
  <c r="AE70" i="58"/>
  <c r="AE66" i="58"/>
  <c r="AE61" i="58"/>
  <c r="AE56" i="58"/>
  <c r="AE52" i="58"/>
  <c r="AE48" i="58"/>
  <c r="AE44" i="58"/>
  <c r="AE40" i="58"/>
  <c r="AE36" i="58"/>
  <c r="AE24" i="58"/>
  <c r="AE8" i="58"/>
  <c r="AE95" i="58"/>
  <c r="AE87" i="58"/>
  <c r="AE83" i="58"/>
  <c r="AE78" i="58"/>
  <c r="AE72" i="58"/>
  <c r="AE68" i="58"/>
  <c r="AE64" i="58"/>
  <c r="AE58" i="58"/>
  <c r="AE54" i="58"/>
  <c r="AE50" i="58"/>
  <c r="AE46" i="58"/>
  <c r="AE42" i="58"/>
  <c r="AE38" i="58"/>
  <c r="AE34" i="58"/>
  <c r="AE30" i="58"/>
  <c r="AE26" i="58"/>
  <c r="AE22" i="58"/>
  <c r="AE18" i="58"/>
  <c r="AE14" i="58"/>
  <c r="AE10" i="58"/>
  <c r="AE6" i="58"/>
  <c r="AE28" i="58"/>
  <c r="AE20" i="58"/>
  <c r="AE4" i="58"/>
  <c r="AE93" i="58"/>
  <c r="AE86" i="58"/>
  <c r="AE82" i="58"/>
  <c r="AE76" i="58"/>
  <c r="AE71" i="58"/>
  <c r="AE67" i="58"/>
  <c r="AE63" i="58"/>
  <c r="AE57" i="58"/>
  <c r="AE53" i="58"/>
  <c r="AE49" i="58"/>
  <c r="AE45" i="58"/>
  <c r="AE41" i="58"/>
  <c r="AE37" i="58"/>
  <c r="AE33" i="58"/>
  <c r="AE29" i="58"/>
  <c r="AE25" i="58"/>
  <c r="AE21" i="58"/>
  <c r="AE17" i="58"/>
  <c r="AE13" i="58"/>
  <c r="AE9" i="58"/>
  <c r="AE5" i="58"/>
  <c r="AE32" i="58"/>
  <c r="AE16" i="58"/>
  <c r="AE12" i="58"/>
  <c r="P106" i="58"/>
  <c r="P92" i="58"/>
  <c r="P79" i="58"/>
  <c r="P75" i="58"/>
  <c r="P70" i="58"/>
  <c r="P56" i="58"/>
  <c r="P52" i="58"/>
  <c r="P43" i="58"/>
  <c r="P39" i="58"/>
  <c r="P35" i="58"/>
  <c r="P31" i="58"/>
  <c r="P21" i="58"/>
  <c r="P16" i="58"/>
  <c r="P12" i="58"/>
  <c r="P4" i="58"/>
  <c r="P104" i="58"/>
  <c r="P91" i="58"/>
  <c r="P78" i="58"/>
  <c r="P73" i="58"/>
  <c r="P69" i="58"/>
  <c r="P55" i="58"/>
  <c r="P51" i="58"/>
  <c r="P42" i="58"/>
  <c r="P38" i="58"/>
  <c r="P34" i="58"/>
  <c r="P30" i="58"/>
  <c r="P20" i="58"/>
  <c r="P15" i="58"/>
  <c r="P11" i="58"/>
  <c r="P3" i="58"/>
  <c r="P103" i="58"/>
  <c r="P88" i="58"/>
  <c r="P77" i="58"/>
  <c r="P72" i="58"/>
  <c r="P58" i="58"/>
  <c r="P54" i="58"/>
  <c r="P46" i="58"/>
  <c r="P41" i="58"/>
  <c r="P37" i="58"/>
  <c r="P33" i="58"/>
  <c r="P28" i="58"/>
  <c r="P19" i="58"/>
  <c r="P14" i="58"/>
  <c r="P6" i="58"/>
  <c r="P82" i="58"/>
  <c r="P53" i="58"/>
  <c r="P32" i="58"/>
  <c r="P5" i="58"/>
  <c r="P36" i="58"/>
  <c r="P76" i="58"/>
  <c r="P45" i="58"/>
  <c r="P27" i="58"/>
  <c r="P102" i="58"/>
  <c r="P13" i="58"/>
  <c r="P71" i="58"/>
  <c r="P40" i="58"/>
  <c r="P18" i="58"/>
  <c r="P57" i="58"/>
  <c r="T105" i="58"/>
  <c r="T101" i="58"/>
  <c r="T97" i="58"/>
  <c r="T90" i="58"/>
  <c r="T85" i="58"/>
  <c r="T81" i="58"/>
  <c r="T77" i="58"/>
  <c r="T73" i="58"/>
  <c r="T65" i="58"/>
  <c r="T60" i="58"/>
  <c r="T55" i="58"/>
  <c r="T51" i="58"/>
  <c r="T47" i="58"/>
  <c r="T104" i="58"/>
  <c r="T100" i="58"/>
  <c r="T95" i="58"/>
  <c r="T88" i="58"/>
  <c r="T84" i="58"/>
  <c r="T80" i="58"/>
  <c r="T76" i="58"/>
  <c r="T68" i="58"/>
  <c r="T64" i="58"/>
  <c r="T58" i="58"/>
  <c r="T54" i="58"/>
  <c r="T50" i="58"/>
  <c r="T46" i="58"/>
  <c r="T42" i="58"/>
  <c r="T38" i="58"/>
  <c r="T34" i="58"/>
  <c r="T99" i="58"/>
  <c r="T87" i="58"/>
  <c r="T79" i="58"/>
  <c r="T67" i="58"/>
  <c r="T57" i="58"/>
  <c r="T49" i="58"/>
  <c r="T43" i="58"/>
  <c r="T37" i="58"/>
  <c r="T32" i="58"/>
  <c r="T28" i="58"/>
  <c r="T24" i="58"/>
  <c r="T20" i="58"/>
  <c r="T16" i="58"/>
  <c r="T12" i="58"/>
  <c r="T8" i="58"/>
  <c r="T102" i="58"/>
  <c r="T74" i="58"/>
  <c r="T39" i="58"/>
  <c r="T106" i="58"/>
  <c r="T98" i="58"/>
  <c r="T86" i="58"/>
  <c r="T78" i="58"/>
  <c r="T66" i="58"/>
  <c r="T56" i="58"/>
  <c r="T48" i="58"/>
  <c r="T41" i="58"/>
  <c r="T36" i="58"/>
  <c r="T31" i="58"/>
  <c r="T27" i="58"/>
  <c r="T23" i="58"/>
  <c r="T19" i="58"/>
  <c r="T15" i="58"/>
  <c r="T11" i="58"/>
  <c r="T82" i="58"/>
  <c r="T61" i="58"/>
  <c r="T44" i="58"/>
  <c r="T103" i="58"/>
  <c r="T94" i="58"/>
  <c r="T83" i="58"/>
  <c r="T75" i="58"/>
  <c r="T63" i="58"/>
  <c r="T53" i="58"/>
  <c r="T45" i="58"/>
  <c r="T40" i="58"/>
  <c r="T35" i="58"/>
  <c r="T30" i="58"/>
  <c r="T26" i="58"/>
  <c r="T22" i="58"/>
  <c r="T18" i="58"/>
  <c r="T14" i="58"/>
  <c r="T10" i="58"/>
  <c r="T93" i="58"/>
  <c r="T52" i="58"/>
  <c r="T21" i="58"/>
  <c r="T25" i="58"/>
  <c r="T33" i="58"/>
  <c r="T17" i="58"/>
  <c r="T9" i="58"/>
  <c r="T29" i="58"/>
  <c r="T13" i="58"/>
  <c r="AD106" i="58"/>
  <c r="AD102" i="58"/>
  <c r="AD98" i="58"/>
  <c r="AD94" i="58"/>
  <c r="AD90" i="58"/>
  <c r="AD85" i="58"/>
  <c r="AD81" i="58"/>
  <c r="AD77" i="58"/>
  <c r="AD73" i="58"/>
  <c r="AD69" i="58"/>
  <c r="AD64" i="58"/>
  <c r="AD58" i="58"/>
  <c r="AD54" i="58"/>
  <c r="AD105" i="58"/>
  <c r="AD101" i="58"/>
  <c r="AD97" i="58"/>
  <c r="AD93" i="58"/>
  <c r="AD88" i="58"/>
  <c r="AD84" i="58"/>
  <c r="AD80" i="58"/>
  <c r="AD76" i="58"/>
  <c r="AD72" i="58"/>
  <c r="AD68" i="58"/>
  <c r="AD63" i="58"/>
  <c r="AD57" i="58"/>
  <c r="AD53" i="58"/>
  <c r="AD104" i="58"/>
  <c r="AD100" i="58"/>
  <c r="AD96" i="58"/>
  <c r="AD92" i="58"/>
  <c r="AD87" i="58"/>
  <c r="AD83" i="58"/>
  <c r="AD79" i="58"/>
  <c r="AD75" i="58"/>
  <c r="AD71" i="58"/>
  <c r="AD67" i="58"/>
  <c r="AD61" i="58"/>
  <c r="AD56" i="58"/>
  <c r="AD52" i="58"/>
  <c r="AD103" i="58"/>
  <c r="AD86" i="58"/>
  <c r="AD70" i="58"/>
  <c r="AD51" i="58"/>
  <c r="AD55" i="58"/>
  <c r="AD99" i="58"/>
  <c r="AD82" i="58"/>
  <c r="AD66" i="58"/>
  <c r="AD74" i="58"/>
  <c r="AD95" i="58"/>
  <c r="AD78" i="58"/>
  <c r="AD60" i="58"/>
  <c r="AD91" i="58"/>
  <c r="M104" i="58"/>
  <c r="M100" i="58"/>
  <c r="M96" i="58"/>
  <c r="M88" i="58"/>
  <c r="M78" i="58"/>
  <c r="M73" i="58"/>
  <c r="M69" i="58"/>
  <c r="M64" i="58"/>
  <c r="M55" i="58"/>
  <c r="M51" i="58"/>
  <c r="M47" i="58"/>
  <c r="M30" i="58"/>
  <c r="M16" i="58"/>
  <c r="M12" i="58"/>
  <c r="M4" i="58"/>
  <c r="M103" i="58"/>
  <c r="M99" i="58"/>
  <c r="M92" i="58"/>
  <c r="M85" i="58"/>
  <c r="M77" i="58"/>
  <c r="M72" i="58"/>
  <c r="M67" i="58"/>
  <c r="M63" i="58"/>
  <c r="M54" i="58"/>
  <c r="M50" i="58"/>
  <c r="M46" i="58"/>
  <c r="M29" i="58"/>
  <c r="M15" i="58"/>
  <c r="M11" i="58"/>
  <c r="M3" i="58"/>
  <c r="M106" i="58"/>
  <c r="M102" i="58"/>
  <c r="M98" i="58"/>
  <c r="M91" i="58"/>
  <c r="M81" i="58"/>
  <c r="M75" i="58"/>
  <c r="M71" i="58"/>
  <c r="M66" i="58"/>
  <c r="M61" i="58"/>
  <c r="M53" i="58"/>
  <c r="M49" i="58"/>
  <c r="M45" i="58"/>
  <c r="M21" i="58"/>
  <c r="M14" i="58"/>
  <c r="M6" i="58"/>
  <c r="M90" i="58"/>
  <c r="M65" i="58"/>
  <c r="M42" i="58"/>
  <c r="M80" i="58"/>
  <c r="M17" i="58"/>
  <c r="M13" i="58"/>
  <c r="M70" i="58"/>
  <c r="M105" i="58"/>
  <c r="M60" i="58"/>
  <c r="M52" i="58"/>
  <c r="M48" i="58"/>
  <c r="M101" i="58"/>
  <c r="M74" i="58"/>
  <c r="M97" i="58"/>
  <c r="M5" i="58"/>
  <c r="Q102" i="58"/>
  <c r="Q97" i="58"/>
  <c r="Q93" i="58"/>
  <c r="Q88" i="58"/>
  <c r="Q84" i="58"/>
  <c r="Q80" i="58"/>
  <c r="Q76" i="58"/>
  <c r="Q72" i="58"/>
  <c r="Q68" i="58"/>
  <c r="Q64" i="58"/>
  <c r="Q58" i="58"/>
  <c r="Q54" i="58"/>
  <c r="Q50" i="58"/>
  <c r="Q46" i="58"/>
  <c r="Q41" i="58"/>
  <c r="Q37" i="58"/>
  <c r="Q33" i="58"/>
  <c r="Q28" i="58"/>
  <c r="Q24" i="58"/>
  <c r="Q20" i="58"/>
  <c r="Q10" i="58"/>
  <c r="Q6" i="58"/>
  <c r="Q106" i="58"/>
  <c r="Q101" i="58"/>
  <c r="Q96" i="58"/>
  <c r="Q92" i="58"/>
  <c r="Q87" i="58"/>
  <c r="Q83" i="58"/>
  <c r="Q79" i="58"/>
  <c r="Q75" i="58"/>
  <c r="Q71" i="58"/>
  <c r="Q67" i="58"/>
  <c r="Q63" i="58"/>
  <c r="Q57" i="58"/>
  <c r="Q53" i="58"/>
  <c r="Q49" i="58"/>
  <c r="Q44" i="58"/>
  <c r="Q40" i="58"/>
  <c r="Q36" i="58"/>
  <c r="Q32" i="58"/>
  <c r="Q27" i="58"/>
  <c r="Q23" i="58"/>
  <c r="Q19" i="58"/>
  <c r="Q9" i="58"/>
  <c r="Q5" i="58"/>
  <c r="Q104" i="58"/>
  <c r="Q99" i="58"/>
  <c r="Q95" i="58"/>
  <c r="Q91" i="58"/>
  <c r="Q86" i="58"/>
  <c r="Q82" i="58"/>
  <c r="Q78" i="58"/>
  <c r="Q74" i="58"/>
  <c r="Q70" i="58"/>
  <c r="Q66" i="58"/>
  <c r="Q61" i="58"/>
  <c r="Q56" i="58"/>
  <c r="Q52" i="58"/>
  <c r="Q48" i="58"/>
  <c r="Q43" i="58"/>
  <c r="Q39" i="58"/>
  <c r="Q35" i="58"/>
  <c r="Q31" i="58"/>
  <c r="Q26" i="58"/>
  <c r="Q22" i="58"/>
  <c r="Q18" i="58"/>
  <c r="Q8" i="58"/>
  <c r="Q4" i="58"/>
  <c r="Q103" i="58"/>
  <c r="Q85" i="58"/>
  <c r="Q69" i="58"/>
  <c r="Q51" i="58"/>
  <c r="Q34" i="58"/>
  <c r="Q17" i="58"/>
  <c r="Q73" i="58"/>
  <c r="Q21" i="58"/>
  <c r="Q98" i="58"/>
  <c r="Q81" i="58"/>
  <c r="Q65" i="58"/>
  <c r="Q47" i="58"/>
  <c r="Q29" i="58"/>
  <c r="Q7" i="58"/>
  <c r="Q55" i="58"/>
  <c r="Q94" i="58"/>
  <c r="Q77" i="58"/>
  <c r="Q60" i="58"/>
  <c r="Q42" i="58"/>
  <c r="Q25" i="58"/>
  <c r="Q3" i="58"/>
  <c r="Q90" i="58"/>
  <c r="Q38" i="58"/>
  <c r="AD46" i="58"/>
  <c r="AD42" i="58"/>
  <c r="AD38" i="58"/>
  <c r="AD34" i="58"/>
  <c r="AD30" i="58"/>
  <c r="AD26" i="58"/>
  <c r="AD22" i="58"/>
  <c r="AD18" i="58"/>
  <c r="AD14" i="58"/>
  <c r="AD10" i="58"/>
  <c r="AD6" i="58"/>
  <c r="AD35" i="58"/>
  <c r="AD7" i="58"/>
  <c r="AD45" i="58"/>
  <c r="AD41" i="58"/>
  <c r="AD37" i="58"/>
  <c r="AD33" i="58"/>
  <c r="AD29" i="58"/>
  <c r="AD25" i="58"/>
  <c r="AD21" i="58"/>
  <c r="AD17" i="58"/>
  <c r="AD13" i="58"/>
  <c r="AD9" i="58"/>
  <c r="AD5" i="58"/>
  <c r="AD39" i="58"/>
  <c r="AD31" i="58"/>
  <c r="AD23" i="58"/>
  <c r="AD15" i="58"/>
  <c r="AD3" i="58"/>
  <c r="AD44" i="58"/>
  <c r="AD40" i="58"/>
  <c r="AD36" i="58"/>
  <c r="AD32" i="58"/>
  <c r="AD28" i="58"/>
  <c r="AD24" i="58"/>
  <c r="AD20" i="58"/>
  <c r="AD16" i="58"/>
  <c r="AD12" i="58"/>
  <c r="AD8" i="58"/>
  <c r="AD4" i="58"/>
  <c r="AD43" i="58"/>
  <c r="AD27" i="58"/>
  <c r="AD19" i="58"/>
  <c r="AD11" i="58"/>
  <c r="M7" i="45"/>
  <c r="M5" i="45"/>
  <c r="Q11" i="41"/>
  <c r="Q20" i="41"/>
  <c r="Q22" i="41"/>
  <c r="Q23" i="41"/>
  <c r="Q24" i="41"/>
  <c r="C2" i="41"/>
  <c r="C9" i="41" s="1"/>
  <c r="H2" i="41"/>
  <c r="C3" i="47"/>
  <c r="C5" i="47"/>
  <c r="B4" i="41" s="1"/>
  <c r="B13" i="41" s="1"/>
  <c r="C7" i="47"/>
  <c r="F2" i="41" s="1"/>
  <c r="F10" i="41" s="1"/>
  <c r="C8" i="47"/>
  <c r="G3" i="41" s="1"/>
  <c r="C9" i="47"/>
  <c r="C10" i="47"/>
  <c r="L3" i="41" s="1"/>
  <c r="C11" i="47"/>
  <c r="K2" i="41" s="1"/>
  <c r="C12" i="47"/>
  <c r="I3" i="41" s="1"/>
  <c r="I21" i="41" s="1"/>
  <c r="C13" i="47"/>
  <c r="J21" i="41" s="1"/>
  <c r="C14" i="47"/>
  <c r="M2" i="41" s="1"/>
  <c r="M19" i="41" s="1"/>
  <c r="C15" i="47"/>
  <c r="C16" i="47"/>
  <c r="O2" i="41" s="1"/>
  <c r="O21" i="41" s="1"/>
  <c r="N2" i="41" l="1"/>
  <c r="N18" i="41" s="1"/>
  <c r="N6" i="41"/>
  <c r="B12" i="41"/>
  <c r="B5" i="41"/>
  <c r="C7" i="41"/>
  <c r="C17" i="41"/>
  <c r="C8" i="41"/>
  <c r="C19" i="41"/>
  <c r="C6" i="41"/>
  <c r="C10" i="41"/>
  <c r="C3" i="41"/>
  <c r="F6" i="41"/>
  <c r="F12" i="41"/>
  <c r="F7" i="41"/>
  <c r="F13" i="41"/>
  <c r="F3" i="41"/>
  <c r="F8" i="41"/>
  <c r="F21" i="41"/>
  <c r="F4" i="41"/>
  <c r="F5" i="41"/>
  <c r="I14" i="41"/>
  <c r="I18" i="41"/>
  <c r="I5" i="41"/>
  <c r="I17" i="41"/>
  <c r="I7" i="41"/>
  <c r="I10" i="41"/>
  <c r="I15" i="41"/>
  <c r="I19" i="41"/>
  <c r="I13" i="41"/>
  <c r="I4" i="41"/>
  <c r="I12" i="41"/>
  <c r="I16" i="41"/>
  <c r="I2" i="41"/>
  <c r="J2" i="41"/>
  <c r="M9" i="41"/>
  <c r="M17" i="41"/>
  <c r="M4" i="41"/>
  <c r="M14" i="41"/>
  <c r="M18" i="41"/>
  <c r="M16" i="41"/>
  <c r="M10" i="41"/>
  <c r="M3" i="41"/>
  <c r="M15" i="41"/>
  <c r="O3" i="41"/>
  <c r="O10" i="41"/>
  <c r="O14" i="41"/>
  <c r="O18" i="41"/>
  <c r="O17" i="41"/>
  <c r="O4" i="41"/>
  <c r="O9" i="41"/>
  <c r="O15" i="41"/>
  <c r="O19" i="41"/>
  <c r="O6" i="41"/>
  <c r="O13" i="41"/>
  <c r="O5" i="41"/>
  <c r="O12" i="41"/>
  <c r="O16" i="41"/>
  <c r="O7" i="41"/>
  <c r="L8" i="44"/>
  <c r="L12" i="44"/>
  <c r="L19" i="44"/>
  <c r="L23" i="44"/>
  <c r="L24" i="44"/>
  <c r="L25" i="44"/>
  <c r="L26" i="44"/>
  <c r="C3" i="46"/>
  <c r="C9" i="46"/>
  <c r="C10" i="46"/>
  <c r="C11" i="46"/>
  <c r="C12" i="46"/>
  <c r="C13" i="46"/>
  <c r="C14" i="46"/>
  <c r="C8" i="46"/>
  <c r="C8" i="40"/>
  <c r="M2" i="43" s="1"/>
  <c r="M19" i="43" s="1"/>
  <c r="C6" i="40"/>
  <c r="L4" i="43" s="1"/>
  <c r="L16" i="43" s="1"/>
  <c r="C7" i="40"/>
  <c r="K3" i="43" s="1"/>
  <c r="K19" i="43" s="1"/>
  <c r="C18" i="40"/>
  <c r="C10" i="40"/>
  <c r="C5" i="40"/>
  <c r="H2" i="43" s="1"/>
  <c r="C4" i="40"/>
  <c r="I3" i="43" s="1"/>
  <c r="C16" i="40"/>
  <c r="C15" i="40"/>
  <c r="C14" i="40"/>
  <c r="B2" i="43" s="1"/>
  <c r="C3" i="40"/>
  <c r="C6" i="43" s="1"/>
  <c r="N17" i="41" l="1"/>
  <c r="N16" i="41"/>
  <c r="N19" i="41"/>
  <c r="N13" i="41"/>
  <c r="N15" i="41"/>
  <c r="N14" i="41"/>
  <c r="N12" i="41"/>
  <c r="N4" i="41"/>
  <c r="N7" i="41"/>
  <c r="N8" i="41"/>
  <c r="N3" i="41"/>
  <c r="N5" i="41"/>
  <c r="N10" i="41"/>
  <c r="N21" i="41"/>
  <c r="N9" i="41"/>
  <c r="G5" i="44"/>
  <c r="E9" i="44"/>
  <c r="I2" i="44"/>
  <c r="H3" i="44"/>
  <c r="F7" i="44"/>
  <c r="J5" i="43"/>
  <c r="J12" i="43" s="1"/>
  <c r="M12" i="43"/>
  <c r="M16" i="43"/>
  <c r="M9" i="43"/>
  <c r="M6" i="43"/>
  <c r="M13" i="43"/>
  <c r="M18" i="43"/>
  <c r="M15" i="43"/>
  <c r="M3" i="43"/>
  <c r="M7" i="43"/>
  <c r="M14" i="43"/>
  <c r="M4" i="43"/>
  <c r="L7" i="43"/>
  <c r="L11" i="43"/>
  <c r="L15" i="43"/>
  <c r="L6" i="43"/>
  <c r="L2" i="43"/>
  <c r="K15" i="43"/>
  <c r="K7" i="43"/>
  <c r="K16" i="43"/>
  <c r="K6" i="43"/>
  <c r="K9" i="43"/>
  <c r="K18" i="43"/>
  <c r="K11" i="43"/>
  <c r="K12" i="43"/>
  <c r="K13" i="43"/>
  <c r="K4" i="43"/>
  <c r="K10" i="43"/>
  <c r="K14" i="43"/>
  <c r="K2" i="43"/>
  <c r="D14" i="43"/>
  <c r="S17" i="23"/>
  <c r="S35" i="23"/>
  <c r="S47" i="23"/>
  <c r="S56" i="23"/>
  <c r="S77" i="23"/>
  <c r="S89" i="23"/>
  <c r="S90" i="23"/>
  <c r="S91" i="23"/>
  <c r="S92" i="23"/>
  <c r="S93" i="23"/>
  <c r="S94" i="23"/>
  <c r="S95" i="23"/>
  <c r="S96" i="23"/>
  <c r="S97" i="23"/>
  <c r="S98" i="23"/>
  <c r="S99" i="23"/>
  <c r="C11" i="24"/>
  <c r="R2" i="23" s="1"/>
  <c r="R88" i="23" s="1"/>
  <c r="C17" i="24"/>
  <c r="Q5" i="23" s="1"/>
  <c r="C16" i="24"/>
  <c r="P2" i="23" s="1"/>
  <c r="C15" i="24"/>
  <c r="O11" i="23" s="1"/>
  <c r="C12" i="24"/>
  <c r="N7" i="23" s="1"/>
  <c r="N19" i="23" s="1"/>
  <c r="C9" i="24"/>
  <c r="J2" i="23" s="1"/>
  <c r="C19" i="24"/>
  <c r="H45" i="23" s="1"/>
  <c r="H76" i="23" s="1"/>
  <c r="C7" i="24"/>
  <c r="C8" i="24"/>
  <c r="C6" i="24"/>
  <c r="B25" i="23"/>
  <c r="O2" i="23" l="1"/>
  <c r="O10" i="23" s="1"/>
  <c r="N2" i="23"/>
  <c r="G2" i="23"/>
  <c r="P3" i="23"/>
  <c r="J10" i="43"/>
  <c r="E7" i="23"/>
  <c r="F4" i="23"/>
  <c r="R25" i="23"/>
  <c r="R39" i="23"/>
  <c r="R43" i="23"/>
  <c r="R52" i="23"/>
  <c r="R57" i="23"/>
  <c r="R61" i="23"/>
  <c r="R65" i="23"/>
  <c r="R69" i="23"/>
  <c r="R73" i="23"/>
  <c r="R78" i="23"/>
  <c r="R82" i="23"/>
  <c r="R86" i="23"/>
  <c r="R33" i="23"/>
  <c r="R46" i="23"/>
  <c r="R64" i="23"/>
  <c r="R72" i="23"/>
  <c r="R81" i="23"/>
  <c r="R26" i="23"/>
  <c r="R31" i="23"/>
  <c r="R36" i="23"/>
  <c r="R40" i="23"/>
  <c r="R44" i="23"/>
  <c r="R53" i="23"/>
  <c r="R58" i="23"/>
  <c r="R62" i="23"/>
  <c r="R66" i="23"/>
  <c r="R74" i="23"/>
  <c r="R83" i="23"/>
  <c r="R87" i="23"/>
  <c r="R24" i="23"/>
  <c r="R29" i="23"/>
  <c r="R38" i="23"/>
  <c r="R42" i="23"/>
  <c r="R50" i="23"/>
  <c r="R60" i="23"/>
  <c r="R68" i="23"/>
  <c r="R76" i="23"/>
  <c r="R85" i="23"/>
  <c r="R27" i="23"/>
  <c r="R32" i="23"/>
  <c r="R37" i="23"/>
  <c r="R41" i="23"/>
  <c r="R45" i="23"/>
  <c r="R51" i="23"/>
  <c r="R59" i="23"/>
  <c r="R63" i="23"/>
  <c r="R67" i="23"/>
  <c r="R75" i="23"/>
  <c r="R80" i="23"/>
  <c r="R84" i="23"/>
  <c r="R21" i="23"/>
  <c r="R16" i="23"/>
  <c r="R12" i="23"/>
  <c r="R8" i="23"/>
  <c r="R4" i="23"/>
  <c r="R13" i="23"/>
  <c r="R5" i="23"/>
  <c r="R20" i="23"/>
  <c r="R15" i="23"/>
  <c r="R11" i="23"/>
  <c r="R7" i="23"/>
  <c r="R3" i="23"/>
  <c r="R18" i="23"/>
  <c r="R9" i="23"/>
  <c r="R19" i="23"/>
  <c r="R14" i="23"/>
  <c r="R10" i="23"/>
  <c r="R6" i="23"/>
  <c r="R22" i="23"/>
  <c r="P14" i="23"/>
  <c r="Q88" i="23"/>
  <c r="Q27" i="23"/>
  <c r="Q23" i="23"/>
  <c r="Q18" i="23"/>
  <c r="Q2" i="23"/>
  <c r="Q19" i="23"/>
  <c r="Q24" i="23"/>
  <c r="Q28" i="23"/>
  <c r="Q32" i="23"/>
  <c r="Q39" i="23"/>
  <c r="Q45" i="23"/>
  <c r="Q57" i="23"/>
  <c r="Q64" i="23"/>
  <c r="Q72" i="23"/>
  <c r="Q76" i="23"/>
  <c r="Q81" i="23"/>
  <c r="Q86" i="23"/>
  <c r="Q44" i="23"/>
  <c r="Q21" i="23"/>
  <c r="Q25" i="23"/>
  <c r="Q29" i="23"/>
  <c r="Q34" i="23"/>
  <c r="Q40" i="23"/>
  <c r="Q46" i="23"/>
  <c r="Q61" i="23"/>
  <c r="Q67" i="23"/>
  <c r="Q73" i="23"/>
  <c r="Q78" i="23"/>
  <c r="Q82" i="23"/>
  <c r="Q87" i="23"/>
  <c r="Q31" i="23"/>
  <c r="Q37" i="23"/>
  <c r="Q55" i="23"/>
  <c r="Q63" i="23"/>
  <c r="Q69" i="23"/>
  <c r="Q75" i="23"/>
  <c r="Q80" i="23"/>
  <c r="Q85" i="23"/>
  <c r="Q10" i="23"/>
  <c r="Q22" i="23"/>
  <c r="Q26" i="23"/>
  <c r="Q30" i="23"/>
  <c r="Q36" i="23"/>
  <c r="Q42" i="23"/>
  <c r="Q54" i="23"/>
  <c r="Q62" i="23"/>
  <c r="Q68" i="23"/>
  <c r="Q74" i="23"/>
  <c r="Q79" i="23"/>
  <c r="Q84" i="23"/>
  <c r="P15" i="23"/>
  <c r="P20" i="23"/>
  <c r="P24" i="23"/>
  <c r="P28" i="23"/>
  <c r="P32" i="23"/>
  <c r="P37" i="23"/>
  <c r="P41" i="23"/>
  <c r="P45" i="23"/>
  <c r="P50" i="23"/>
  <c r="P54" i="23"/>
  <c r="P63" i="23"/>
  <c r="P69" i="23"/>
  <c r="P75" i="23"/>
  <c r="P16" i="23"/>
  <c r="P21" i="23"/>
  <c r="P25" i="23"/>
  <c r="P29" i="23"/>
  <c r="P33" i="23"/>
  <c r="P38" i="23"/>
  <c r="P42" i="23"/>
  <c r="P46" i="23"/>
  <c r="P51" i="23"/>
  <c r="P55" i="23"/>
  <c r="P64" i="23"/>
  <c r="P72" i="23"/>
  <c r="P76" i="23"/>
  <c r="P27" i="23"/>
  <c r="P31" i="23"/>
  <c r="P36" i="23"/>
  <c r="P40" i="23"/>
  <c r="P44" i="23"/>
  <c r="P49" i="23"/>
  <c r="P53" i="23"/>
  <c r="P62" i="23"/>
  <c r="P68" i="23"/>
  <c r="P74" i="23"/>
  <c r="P13" i="23"/>
  <c r="P18" i="23"/>
  <c r="P22" i="23"/>
  <c r="P26" i="23"/>
  <c r="P30" i="23"/>
  <c r="P34" i="23"/>
  <c r="P39" i="23"/>
  <c r="P43" i="23"/>
  <c r="P48" i="23"/>
  <c r="P52" i="23"/>
  <c r="P57" i="23"/>
  <c r="P67" i="23"/>
  <c r="P73" i="23"/>
  <c r="P82" i="23"/>
  <c r="P7" i="23"/>
  <c r="P4" i="23"/>
  <c r="P8" i="23"/>
  <c r="P5" i="23"/>
  <c r="P9" i="23"/>
  <c r="P6" i="23"/>
  <c r="O7" i="23"/>
  <c r="O37" i="23"/>
  <c r="O13" i="23"/>
  <c r="O20" i="23"/>
  <c r="O31" i="23"/>
  <c r="O38" i="23"/>
  <c r="O42" i="23"/>
  <c r="O46" i="23"/>
  <c r="O51" i="23"/>
  <c r="O55" i="23"/>
  <c r="O60" i="23"/>
  <c r="O65" i="23"/>
  <c r="O69" i="23"/>
  <c r="O75" i="23"/>
  <c r="O14" i="23"/>
  <c r="O21" i="23"/>
  <c r="O34" i="23"/>
  <c r="O39" i="23"/>
  <c r="O43" i="23"/>
  <c r="O48" i="23"/>
  <c r="O52" i="23"/>
  <c r="O57" i="23"/>
  <c r="O61" i="23"/>
  <c r="O66" i="23"/>
  <c r="O72" i="23"/>
  <c r="O76" i="23"/>
  <c r="O18" i="23"/>
  <c r="O26" i="23"/>
  <c r="O41" i="23"/>
  <c r="O45" i="23"/>
  <c r="O50" i="23"/>
  <c r="O54" i="23"/>
  <c r="O59" i="23"/>
  <c r="O64" i="23"/>
  <c r="O68" i="23"/>
  <c r="O74" i="23"/>
  <c r="O3" i="23"/>
  <c r="O16" i="23"/>
  <c r="O24" i="23"/>
  <c r="O36" i="23"/>
  <c r="O40" i="23"/>
  <c r="O44" i="23"/>
  <c r="O49" i="23"/>
  <c r="O53" i="23"/>
  <c r="O58" i="23"/>
  <c r="O62" i="23"/>
  <c r="O67" i="23"/>
  <c r="O73" i="23"/>
  <c r="O88" i="23"/>
  <c r="O4" i="23"/>
  <c r="O8" i="23"/>
  <c r="O5" i="23"/>
  <c r="O9" i="23"/>
  <c r="O6" i="23"/>
  <c r="N31" i="23"/>
  <c r="N43" i="23"/>
  <c r="N58" i="23"/>
  <c r="N66" i="23"/>
  <c r="N74" i="23"/>
  <c r="N84" i="23"/>
  <c r="N22" i="23"/>
  <c r="N28" i="23"/>
  <c r="N32" i="23"/>
  <c r="N39" i="23"/>
  <c r="N44" i="23"/>
  <c r="N54" i="23"/>
  <c r="N59" i="23"/>
  <c r="N63" i="23"/>
  <c r="N67" i="23"/>
  <c r="N71" i="23"/>
  <c r="N75" i="23"/>
  <c r="N81" i="23"/>
  <c r="N85" i="23"/>
  <c r="N27" i="23"/>
  <c r="N38" i="23"/>
  <c r="N49" i="23"/>
  <c r="N62" i="23"/>
  <c r="N70" i="23"/>
  <c r="N80" i="23"/>
  <c r="N23" i="23"/>
  <c r="N29" i="23"/>
  <c r="N33" i="23"/>
  <c r="N40" i="23"/>
  <c r="N45" i="23"/>
  <c r="N55" i="23"/>
  <c r="N60" i="23"/>
  <c r="N64" i="23"/>
  <c r="N68" i="23"/>
  <c r="N72" i="23"/>
  <c r="N76" i="23"/>
  <c r="N82" i="23"/>
  <c r="N86" i="23"/>
  <c r="N26" i="23"/>
  <c r="N30" i="23"/>
  <c r="N34" i="23"/>
  <c r="N42" i="23"/>
  <c r="N46" i="23"/>
  <c r="N57" i="23"/>
  <c r="N61" i="23"/>
  <c r="N65" i="23"/>
  <c r="N69" i="23"/>
  <c r="N73" i="23"/>
  <c r="N78" i="23"/>
  <c r="N83" i="23"/>
  <c r="N87" i="23"/>
  <c r="N15" i="23"/>
  <c r="N8" i="23"/>
  <c r="N16" i="23"/>
  <c r="N13" i="23"/>
  <c r="N18" i="23"/>
  <c r="N14" i="23"/>
  <c r="J10" i="23"/>
  <c r="H54" i="23"/>
  <c r="H55" i="23"/>
  <c r="C4" i="19"/>
  <c r="F9" i="20" s="1"/>
  <c r="C5" i="19"/>
  <c r="C3" i="19"/>
  <c r="C11" i="37"/>
  <c r="C12" i="37"/>
  <c r="C7" i="37"/>
  <c r="C6" i="37"/>
  <c r="C3" i="37"/>
  <c r="C6" i="35"/>
  <c r="C7" i="35"/>
  <c r="G5" i="32" s="1"/>
  <c r="G15" i="32" s="1"/>
  <c r="C5" i="35"/>
  <c r="P10" i="23" l="1"/>
  <c r="P19" i="23"/>
  <c r="P23" i="23"/>
  <c r="R71" i="23"/>
  <c r="R54" i="23"/>
  <c r="R28" i="23"/>
  <c r="R79" i="23"/>
  <c r="R70" i="23"/>
  <c r="R49" i="23"/>
  <c r="R23" i="23"/>
  <c r="R55" i="23"/>
  <c r="R48" i="23"/>
  <c r="R34" i="23"/>
  <c r="R30" i="23"/>
  <c r="J88" i="23"/>
  <c r="J52" i="23"/>
  <c r="J45" i="23"/>
  <c r="J55" i="23"/>
  <c r="J51" i="23"/>
  <c r="J44" i="23"/>
  <c r="J46" i="23"/>
  <c r="J54" i="23"/>
  <c r="J48" i="23"/>
  <c r="J42" i="23"/>
  <c r="J53" i="23"/>
  <c r="J41" i="23"/>
  <c r="F8" i="32"/>
  <c r="F9" i="32" s="1"/>
  <c r="G12" i="32"/>
  <c r="C12" i="39"/>
  <c r="C13" i="39"/>
  <c r="C14" i="39"/>
  <c r="C11" i="39"/>
  <c r="C15" i="39"/>
  <c r="F3" i="38" s="1"/>
  <c r="F10" i="32" l="1"/>
  <c r="F11" i="32"/>
  <c r="F16" i="32"/>
  <c r="G17" i="32"/>
  <c r="G13" i="32"/>
  <c r="F91" i="38"/>
  <c r="F86" i="38"/>
  <c r="F81" i="38"/>
  <c r="F75" i="38"/>
  <c r="F69" i="38"/>
  <c r="F64" i="38"/>
  <c r="F59" i="38"/>
  <c r="F31" i="38"/>
  <c r="F27" i="38"/>
  <c r="F22" i="38"/>
  <c r="F16" i="38"/>
  <c r="F12" i="38"/>
  <c r="F5" i="38"/>
  <c r="F11" i="38"/>
  <c r="F4" i="38"/>
  <c r="F77" i="38"/>
  <c r="F60" i="38"/>
  <c r="F23" i="38"/>
  <c r="F90" i="38"/>
  <c r="F84" i="38"/>
  <c r="F80" i="38"/>
  <c r="F74" i="38"/>
  <c r="F68" i="38"/>
  <c r="F63" i="38"/>
  <c r="F58" i="38"/>
  <c r="F30" i="38"/>
  <c r="F26" i="38"/>
  <c r="F21" i="38"/>
  <c r="F15" i="38"/>
  <c r="F66" i="38"/>
  <c r="F28" i="38"/>
  <c r="F13" i="38"/>
  <c r="F89" i="38"/>
  <c r="F83" i="38"/>
  <c r="F78" i="38"/>
  <c r="F71" i="38"/>
  <c r="F67" i="38"/>
  <c r="F62" i="38"/>
  <c r="F51" i="38"/>
  <c r="F29" i="38"/>
  <c r="F25" i="38"/>
  <c r="F20" i="38"/>
  <c r="F14" i="38"/>
  <c r="F10" i="38"/>
  <c r="F88" i="38"/>
  <c r="F82" i="38"/>
  <c r="F70" i="38"/>
  <c r="F45" i="38"/>
  <c r="F17" i="38"/>
  <c r="F8" i="38"/>
  <c r="C8" i="36"/>
  <c r="C9" i="36"/>
  <c r="C10" i="36"/>
  <c r="C11" i="36"/>
  <c r="C7" i="36"/>
  <c r="D19" i="34"/>
  <c r="D20" i="34" s="1"/>
  <c r="C19" i="34"/>
  <c r="C20" i="34" s="1"/>
  <c r="B5" i="34"/>
  <c r="G8" i="34" l="1"/>
  <c r="H4" i="34"/>
  <c r="C14" i="16"/>
  <c r="S2" i="15" s="1"/>
  <c r="S86" i="15" s="1"/>
  <c r="C10" i="16"/>
  <c r="Q2" i="15" s="1"/>
  <c r="Q86" i="15" s="1"/>
  <c r="C7" i="16"/>
  <c r="I11" i="15" s="1"/>
  <c r="C16" i="16"/>
  <c r="C17" i="16"/>
  <c r="C15" i="16"/>
  <c r="F23" i="15" l="1"/>
  <c r="S4" i="15"/>
  <c r="G20" i="15"/>
  <c r="S14" i="15"/>
  <c r="S9" i="15"/>
  <c r="S18" i="15"/>
  <c r="S6" i="15"/>
  <c r="S11" i="15"/>
  <c r="S16" i="15"/>
  <c r="S20" i="15"/>
  <c r="S24" i="15"/>
  <c r="S29" i="15"/>
  <c r="S34" i="15"/>
  <c r="S39" i="15"/>
  <c r="S46" i="15"/>
  <c r="S51" i="15"/>
  <c r="S56" i="15"/>
  <c r="S61" i="15"/>
  <c r="S66" i="15"/>
  <c r="S71" i="15"/>
  <c r="S75" i="15"/>
  <c r="S79" i="15"/>
  <c r="S84" i="15"/>
  <c r="S22" i="15"/>
  <c r="S27" i="15"/>
  <c r="S32" i="15"/>
  <c r="S36" i="15"/>
  <c r="S41" i="15"/>
  <c r="S48" i="15"/>
  <c r="S53" i="15"/>
  <c r="S58" i="15"/>
  <c r="S63" i="15"/>
  <c r="S68" i="15"/>
  <c r="S73" i="15"/>
  <c r="S77" i="15"/>
  <c r="S81" i="15"/>
  <c r="S5" i="15"/>
  <c r="S10" i="15"/>
  <c r="S15" i="15"/>
  <c r="S19" i="15"/>
  <c r="S23" i="15"/>
  <c r="S28" i="15"/>
  <c r="S33" i="15"/>
  <c r="S38" i="15"/>
  <c r="S45" i="15"/>
  <c r="S49" i="15"/>
  <c r="S55" i="15"/>
  <c r="S60" i="15"/>
  <c r="S65" i="15"/>
  <c r="S69" i="15"/>
  <c r="S74" i="15"/>
  <c r="S78" i="15"/>
  <c r="S82" i="15"/>
  <c r="S3" i="15"/>
  <c r="S7" i="15"/>
  <c r="S13" i="15"/>
  <c r="S17" i="15"/>
  <c r="S21" i="15"/>
  <c r="S25" i="15"/>
  <c r="S30" i="15"/>
  <c r="S35" i="15"/>
  <c r="S40" i="15"/>
  <c r="S47" i="15"/>
  <c r="S52" i="15"/>
  <c r="S57" i="15"/>
  <c r="S62" i="15"/>
  <c r="S67" i="15"/>
  <c r="S72" i="15"/>
  <c r="S76" i="15"/>
  <c r="S80" i="15"/>
  <c r="R12" i="15"/>
  <c r="P9" i="15"/>
  <c r="Q5" i="15"/>
  <c r="Q11" i="15"/>
  <c r="Q15" i="15"/>
  <c r="Q21" i="15"/>
  <c r="Q25" i="15"/>
  <c r="Q30" i="15"/>
  <c r="Q34" i="15"/>
  <c r="Q40" i="15"/>
  <c r="Q45" i="15"/>
  <c r="Q49" i="15"/>
  <c r="Q55" i="15"/>
  <c r="Q60" i="15"/>
  <c r="Q65" i="15"/>
  <c r="Q69" i="15"/>
  <c r="Q74" i="15"/>
  <c r="Q78" i="15"/>
  <c r="Q82" i="15"/>
  <c r="Q6" i="15"/>
  <c r="Q12" i="15"/>
  <c r="Q17" i="15"/>
  <c r="Q22" i="15"/>
  <c r="Q27" i="15"/>
  <c r="Q31" i="15"/>
  <c r="Q36" i="15"/>
  <c r="Q41" i="15"/>
  <c r="Q46" i="15"/>
  <c r="Q51" i="15"/>
  <c r="Q56" i="15"/>
  <c r="Q61" i="15"/>
  <c r="Q66" i="15"/>
  <c r="Q71" i="15"/>
  <c r="Q75" i="15"/>
  <c r="Q79" i="15"/>
  <c r="Q84" i="15"/>
  <c r="Q4" i="15"/>
  <c r="Q10" i="15"/>
  <c r="Q14" i="15"/>
  <c r="Q20" i="15"/>
  <c r="Q24" i="15"/>
  <c r="Q29" i="15"/>
  <c r="Q33" i="15"/>
  <c r="Q39" i="15"/>
  <c r="Q44" i="15"/>
  <c r="Q48" i="15"/>
  <c r="Q53" i="15"/>
  <c r="Q58" i="15"/>
  <c r="Q63" i="15"/>
  <c r="Q68" i="15"/>
  <c r="Q73" i="15"/>
  <c r="Q77" i="15"/>
  <c r="Q81" i="15"/>
  <c r="Q3" i="15"/>
  <c r="Q7" i="15"/>
  <c r="Q13" i="15"/>
  <c r="Q19" i="15"/>
  <c r="Q23" i="15"/>
  <c r="Q28" i="15"/>
  <c r="Q32" i="15"/>
  <c r="Q38" i="15"/>
  <c r="Q43" i="15"/>
  <c r="Q47" i="15"/>
  <c r="Q52" i="15"/>
  <c r="Q57" i="15"/>
  <c r="Q62" i="15"/>
  <c r="Q67" i="15"/>
  <c r="Q72" i="15"/>
  <c r="Q76" i="15"/>
  <c r="Q80" i="15"/>
  <c r="J2" i="15"/>
  <c r="J39" i="15" s="1"/>
  <c r="J17" i="15"/>
  <c r="J69" i="15"/>
  <c r="J18" i="15"/>
  <c r="J71" i="15"/>
  <c r="C4" i="16"/>
  <c r="C5" i="16"/>
  <c r="H2" i="15" s="1"/>
  <c r="C6" i="16"/>
  <c r="N2" i="15" s="1"/>
  <c r="C3" i="16"/>
  <c r="Z79" i="13"/>
  <c r="J34" i="15" l="1"/>
  <c r="J72" i="15"/>
  <c r="J19" i="15"/>
  <c r="J10" i="15"/>
  <c r="J9" i="15"/>
  <c r="J7" i="15"/>
  <c r="J5" i="15"/>
  <c r="J4" i="15"/>
  <c r="J3" i="15"/>
  <c r="J67" i="15"/>
  <c r="J65" i="15"/>
  <c r="J57" i="15"/>
  <c r="J56" i="15"/>
  <c r="J49" i="15"/>
  <c r="J47" i="15"/>
  <c r="J46" i="15"/>
  <c r="J45" i="15"/>
  <c r="J66" i="15"/>
  <c r="J23" i="15"/>
  <c r="J22" i="15"/>
  <c r="J21" i="15"/>
  <c r="J43" i="15"/>
  <c r="J86" i="15"/>
  <c r="J41" i="15"/>
  <c r="J84" i="15"/>
  <c r="J40" i="15"/>
  <c r="J6" i="15"/>
  <c r="J81" i="15"/>
  <c r="J38" i="15"/>
  <c r="J79" i="15"/>
  <c r="J36" i="15"/>
  <c r="J78" i="15"/>
  <c r="J35" i="15"/>
  <c r="J24" i="15"/>
  <c r="J76" i="15"/>
  <c r="J33" i="15"/>
  <c r="J75" i="15"/>
  <c r="J31" i="15"/>
  <c r="J74" i="15"/>
  <c r="J27" i="15"/>
  <c r="J48" i="15"/>
  <c r="J62" i="15"/>
  <c r="J15" i="15"/>
  <c r="J61" i="15"/>
  <c r="J14" i="15"/>
  <c r="J60" i="15"/>
  <c r="J13" i="15"/>
  <c r="O84" i="15"/>
  <c r="H86" i="15"/>
  <c r="J68" i="15"/>
  <c r="J73" i="15"/>
  <c r="J20" i="15"/>
  <c r="J77" i="15"/>
  <c r="N86" i="15"/>
  <c r="N78" i="15"/>
  <c r="N67" i="15"/>
  <c r="N62" i="15"/>
  <c r="N57" i="15"/>
  <c r="N52" i="15"/>
  <c r="N47" i="15"/>
  <c r="N43" i="15"/>
  <c r="N38" i="15"/>
  <c r="N33" i="15"/>
  <c r="N29" i="15"/>
  <c r="N24" i="15"/>
  <c r="N20" i="15"/>
  <c r="N16" i="15"/>
  <c r="N12" i="15"/>
  <c r="N4" i="15"/>
  <c r="N69" i="15"/>
  <c r="N55" i="15"/>
  <c r="N45" i="15"/>
  <c r="N35" i="15"/>
  <c r="N22" i="15"/>
  <c r="N14" i="15"/>
  <c r="N84" i="15"/>
  <c r="N71" i="15"/>
  <c r="N66" i="15"/>
  <c r="N61" i="15"/>
  <c r="N56" i="15"/>
  <c r="N51" i="15"/>
  <c r="N46" i="15"/>
  <c r="N41" i="15"/>
  <c r="N36" i="15"/>
  <c r="N32" i="15"/>
  <c r="N28" i="15"/>
  <c r="N23" i="15"/>
  <c r="N19" i="15"/>
  <c r="N15" i="15"/>
  <c r="N11" i="15"/>
  <c r="N3" i="15"/>
  <c r="N80" i="15"/>
  <c r="N65" i="15"/>
  <c r="N60" i="15"/>
  <c r="N49" i="15"/>
  <c r="N40" i="15"/>
  <c r="N31" i="15"/>
  <c r="N27" i="15"/>
  <c r="N18" i="15"/>
  <c r="N10" i="15"/>
  <c r="N79" i="15"/>
  <c r="N68" i="15"/>
  <c r="N63" i="15"/>
  <c r="N58" i="15"/>
  <c r="N53" i="15"/>
  <c r="N48" i="15"/>
  <c r="N44" i="15"/>
  <c r="N39" i="15"/>
  <c r="N34" i="15"/>
  <c r="N30" i="15"/>
  <c r="N25" i="15"/>
  <c r="N21" i="15"/>
  <c r="N17" i="15"/>
  <c r="N13" i="15"/>
  <c r="N9" i="15"/>
  <c r="J63" i="15"/>
  <c r="J58" i="15"/>
  <c r="J82" i="15"/>
  <c r="J44" i="15"/>
  <c r="J12" i="15"/>
  <c r="J16" i="15"/>
  <c r="C19" i="14"/>
  <c r="C20" i="14"/>
  <c r="C21" i="14"/>
  <c r="C22" i="14"/>
  <c r="Y5" i="13" s="1"/>
  <c r="C23" i="14"/>
  <c r="C18" i="14"/>
  <c r="W67" i="13" l="1"/>
  <c r="U2" i="13"/>
  <c r="X75" i="13"/>
  <c r="M87" i="13"/>
  <c r="AB86" i="13"/>
  <c r="O19" i="13"/>
  <c r="AA85" i="13"/>
  <c r="N20" i="13"/>
  <c r="AE124" i="13"/>
  <c r="AE125" i="13"/>
  <c r="AE126" i="13"/>
  <c r="AE127" i="13"/>
  <c r="AE128" i="13"/>
  <c r="AE129" i="13"/>
  <c r="D2" i="13"/>
  <c r="D72" i="13" l="1"/>
  <c r="D4" i="13"/>
  <c r="D55" i="13"/>
  <c r="D65" i="13"/>
  <c r="D77" i="13"/>
  <c r="D111" i="13"/>
  <c r="D104" i="13"/>
  <c r="D60" i="13"/>
  <c r="D121" i="13"/>
  <c r="D5" i="13"/>
  <c r="D56" i="13"/>
  <c r="D67" i="13"/>
  <c r="D83" i="13"/>
  <c r="D113" i="13"/>
  <c r="D45" i="13"/>
  <c r="D97" i="13"/>
  <c r="D43" i="13"/>
  <c r="D59" i="13"/>
  <c r="D71" i="13"/>
  <c r="D86" i="13"/>
  <c r="D119" i="13"/>
  <c r="D3" i="13"/>
  <c r="D42" i="13"/>
  <c r="D54" i="13"/>
  <c r="D58" i="13"/>
  <c r="D64" i="13"/>
  <c r="D69" i="13"/>
  <c r="D75" i="13"/>
  <c r="D85" i="13"/>
  <c r="D102" i="13"/>
  <c r="D117" i="13"/>
  <c r="D7" i="13"/>
  <c r="D46" i="13"/>
  <c r="D57" i="13"/>
  <c r="D61" i="13"/>
  <c r="D68" i="13"/>
  <c r="D73" i="13"/>
  <c r="D84" i="13"/>
  <c r="D99" i="13"/>
  <c r="D114" i="13"/>
  <c r="D122" i="13"/>
  <c r="D105" i="13"/>
  <c r="C28" i="14" l="1"/>
  <c r="C29" i="14"/>
  <c r="J7" i="13" s="1"/>
  <c r="J114" i="13" s="1"/>
  <c r="C30" i="14"/>
  <c r="I2" i="13" s="1"/>
  <c r="I32" i="13" s="1"/>
  <c r="C31" i="14"/>
  <c r="C27" i="14"/>
  <c r="F2" i="13" l="1"/>
  <c r="F120" i="13" s="1"/>
  <c r="I30" i="13"/>
  <c r="I5" i="13"/>
  <c r="I54" i="13"/>
  <c r="I80" i="13"/>
  <c r="I97" i="13"/>
  <c r="I79" i="13"/>
  <c r="I84" i="13"/>
  <c r="I56" i="13"/>
  <c r="I111" i="13"/>
  <c r="I49" i="13"/>
  <c r="I61" i="13"/>
  <c r="I57" i="13"/>
  <c r="I93" i="13"/>
  <c r="I85" i="13"/>
  <c r="I34" i="13"/>
  <c r="I37" i="13"/>
  <c r="I59" i="13"/>
  <c r="I64" i="13"/>
  <c r="F80" i="13"/>
  <c r="F99" i="13"/>
  <c r="F77" i="13"/>
  <c r="F11" i="13"/>
  <c r="F32" i="13"/>
  <c r="F59" i="13"/>
  <c r="F49" i="13"/>
  <c r="F30" i="13"/>
  <c r="I102" i="13"/>
  <c r="I62" i="13"/>
  <c r="I43" i="13"/>
  <c r="I94" i="13"/>
  <c r="I52" i="13"/>
  <c r="I24" i="13"/>
  <c r="I42" i="13"/>
  <c r="F72" i="13"/>
  <c r="F62" i="13"/>
  <c r="F17" i="13"/>
  <c r="F35" i="13"/>
  <c r="F65" i="13"/>
  <c r="I91" i="13"/>
  <c r="I39" i="13"/>
  <c r="I87" i="13"/>
  <c r="I36" i="13"/>
  <c r="F48" i="13"/>
  <c r="I40" i="13"/>
  <c r="I55" i="13"/>
  <c r="I117" i="13"/>
  <c r="I45" i="13"/>
  <c r="I3" i="13"/>
  <c r="F33" i="13"/>
  <c r="F108" i="13"/>
  <c r="F31" i="13"/>
  <c r="F52" i="13"/>
  <c r="F121" i="13"/>
  <c r="F57" i="13"/>
  <c r="I116" i="13"/>
  <c r="I50" i="13"/>
  <c r="I105" i="13"/>
  <c r="I46" i="13"/>
  <c r="F73" i="13"/>
  <c r="I60" i="13"/>
  <c r="I86" i="13"/>
  <c r="F67" i="13"/>
  <c r="I104" i="13"/>
  <c r="I83" i="13"/>
  <c r="I90" i="13"/>
  <c r="I58" i="13"/>
  <c r="I38" i="13"/>
  <c r="I88" i="13"/>
  <c r="I48" i="13"/>
  <c r="I110" i="13"/>
  <c r="I33" i="13"/>
  <c r="F22" i="13"/>
  <c r="F75" i="13"/>
  <c r="F19" i="13"/>
  <c r="F45" i="13"/>
  <c r="F39" i="13"/>
  <c r="I81" i="13"/>
  <c r="I31" i="13"/>
  <c r="I65" i="13"/>
  <c r="I4" i="13"/>
  <c r="I35" i="13"/>
  <c r="I51" i="13"/>
  <c r="J19" i="13"/>
  <c r="J121" i="13"/>
  <c r="J9" i="13"/>
  <c r="J68" i="13"/>
  <c r="J99" i="13"/>
  <c r="J108" i="13"/>
  <c r="J72" i="13"/>
  <c r="J14" i="13"/>
  <c r="J77" i="13"/>
  <c r="J12" i="13"/>
  <c r="J100" i="13"/>
  <c r="J109" i="13"/>
  <c r="J22" i="13"/>
  <c r="J28" i="13"/>
  <c r="J27" i="13"/>
  <c r="J92" i="13"/>
  <c r="J17" i="13"/>
  <c r="J113" i="13"/>
  <c r="J71" i="13"/>
  <c r="J95" i="13"/>
  <c r="J67" i="13"/>
  <c r="J10" i="13"/>
  <c r="J69" i="13"/>
  <c r="J73" i="13"/>
  <c r="J98" i="13"/>
  <c r="J119" i="13"/>
  <c r="J16" i="13"/>
  <c r="J15" i="13"/>
  <c r="J13" i="13"/>
  <c r="J120" i="13"/>
  <c r="J23" i="13"/>
  <c r="J107" i="13"/>
  <c r="J26" i="13"/>
  <c r="J21" i="13"/>
  <c r="J20" i="13"/>
  <c r="J75" i="13"/>
  <c r="J11" i="13"/>
  <c r="J112" i="13"/>
  <c r="J122" i="13"/>
  <c r="G3" i="13"/>
  <c r="H34" i="13"/>
  <c r="G23" i="11"/>
  <c r="G31" i="11" s="1"/>
  <c r="F5" i="13" l="1"/>
  <c r="F98" i="13"/>
  <c r="F26" i="13"/>
  <c r="F109" i="13"/>
  <c r="F81" i="13"/>
  <c r="F107" i="13"/>
  <c r="F122" i="13"/>
  <c r="F56" i="13"/>
  <c r="F114" i="13"/>
  <c r="F46" i="13"/>
  <c r="F68" i="13"/>
  <c r="F4" i="13"/>
  <c r="F27" i="13"/>
  <c r="F95" i="13"/>
  <c r="F112" i="13"/>
  <c r="F24" i="13"/>
  <c r="F111" i="13"/>
  <c r="F38" i="13"/>
  <c r="F21" i="13"/>
  <c r="F71" i="13"/>
  <c r="F28" i="13"/>
  <c r="F58" i="13"/>
  <c r="F79" i="13"/>
  <c r="F91" i="13"/>
  <c r="F113" i="13"/>
  <c r="F50" i="13"/>
  <c r="F51" i="13"/>
  <c r="F100" i="13"/>
  <c r="F69" i="13"/>
  <c r="F20" i="13"/>
  <c r="F102" i="13"/>
  <c r="F119" i="13"/>
  <c r="F40" i="13"/>
  <c r="H87" i="13"/>
  <c r="H84" i="13"/>
  <c r="H97" i="13"/>
  <c r="H83" i="13"/>
  <c r="H88" i="13"/>
  <c r="H94" i="13"/>
  <c r="H85" i="13"/>
  <c r="H37" i="13"/>
  <c r="H86" i="13"/>
  <c r="H90" i="13"/>
  <c r="H93" i="13"/>
  <c r="G116" i="13"/>
  <c r="G117" i="13"/>
  <c r="G14" i="13"/>
  <c r="G36" i="13"/>
  <c r="G43" i="13"/>
  <c r="G42" i="13"/>
  <c r="G23" i="13"/>
  <c r="G105" i="13"/>
  <c r="G7" i="13"/>
  <c r="G13" i="13"/>
  <c r="G104" i="13"/>
  <c r="G16" i="13"/>
  <c r="G10" i="13"/>
  <c r="G64" i="13"/>
  <c r="G9" i="13"/>
  <c r="G92" i="13"/>
  <c r="G61" i="13"/>
  <c r="G55" i="13"/>
  <c r="G110" i="13"/>
  <c r="G12" i="13"/>
  <c r="G60" i="13"/>
  <c r="G54" i="13"/>
  <c r="G15" i="13"/>
  <c r="G24" i="11"/>
  <c r="G28" i="11"/>
  <c r="G25" i="11"/>
  <c r="G29" i="11"/>
  <c r="G26" i="11"/>
  <c r="G30" i="11"/>
  <c r="G27" i="11"/>
  <c r="N6" i="11"/>
  <c r="N20" i="11" s="1"/>
  <c r="M7" i="11"/>
  <c r="M9" i="11" s="1"/>
  <c r="L65" i="11"/>
  <c r="K22" i="11"/>
  <c r="K63" i="11" s="1"/>
  <c r="J2" i="11"/>
  <c r="J33" i="11" s="1"/>
  <c r="I37" i="11"/>
  <c r="H4" i="11"/>
  <c r="D2" i="11"/>
  <c r="D15" i="11" s="1"/>
  <c r="C4" i="11"/>
  <c r="B25" i="11"/>
  <c r="N35" i="11" l="1"/>
  <c r="D63" i="11"/>
  <c r="M8" i="11"/>
  <c r="M10" i="11"/>
  <c r="M34" i="11"/>
  <c r="C5" i="11"/>
  <c r="C9" i="11"/>
  <c r="C14" i="11"/>
  <c r="C18" i="11"/>
  <c r="C23" i="11"/>
  <c r="C28" i="11"/>
  <c r="C34" i="11"/>
  <c r="C39" i="11"/>
  <c r="C43" i="11"/>
  <c r="C48" i="11"/>
  <c r="C52" i="11"/>
  <c r="C57" i="11"/>
  <c r="C6" i="11"/>
  <c r="C10" i="11"/>
  <c r="C15" i="11"/>
  <c r="C19" i="11"/>
  <c r="C24" i="11"/>
  <c r="C29" i="11"/>
  <c r="C35" i="11"/>
  <c r="C40" i="11"/>
  <c r="C44" i="11"/>
  <c r="C49" i="11"/>
  <c r="C53" i="11"/>
  <c r="C59" i="11"/>
  <c r="C7" i="11"/>
  <c r="C12" i="11"/>
  <c r="C16" i="11"/>
  <c r="C20" i="11"/>
  <c r="C25" i="11"/>
  <c r="C30" i="11"/>
  <c r="C37" i="11"/>
  <c r="C41" i="11"/>
  <c r="C45" i="11"/>
  <c r="C50" i="11"/>
  <c r="C55" i="11"/>
  <c r="C8" i="11"/>
  <c r="C13" i="11"/>
  <c r="C17" i="11"/>
  <c r="C22" i="11"/>
  <c r="C27" i="11"/>
  <c r="C31" i="11"/>
  <c r="C38" i="11"/>
  <c r="C42" i="11"/>
  <c r="C47" i="11"/>
  <c r="C51" i="11"/>
  <c r="C56" i="11"/>
  <c r="D23" i="11"/>
  <c r="D12" i="11"/>
  <c r="D24" i="11"/>
  <c r="D14" i="11"/>
  <c r="D61" i="11"/>
  <c r="B65" i="11"/>
  <c r="B33" i="11"/>
  <c r="B26" i="11"/>
  <c r="G41" i="8"/>
  <c r="G72" i="8" s="1"/>
  <c r="F2" i="8"/>
  <c r="F49" i="8" s="1"/>
  <c r="F9" i="8" l="1"/>
  <c r="F26" i="8"/>
  <c r="F38" i="8"/>
  <c r="F12" i="8"/>
  <c r="F29" i="8"/>
  <c r="F54" i="8"/>
  <c r="F5" i="8"/>
  <c r="F13" i="8"/>
  <c r="F22" i="8"/>
  <c r="F31" i="8"/>
  <c r="F40" i="8"/>
  <c r="F18" i="8"/>
  <c r="F51" i="8"/>
  <c r="F10" i="8"/>
  <c r="F19" i="8"/>
  <c r="F37" i="8"/>
  <c r="F52" i="8"/>
  <c r="F3" i="8"/>
  <c r="F20" i="8"/>
  <c r="F28" i="8"/>
  <c r="F53" i="8"/>
  <c r="F4" i="8"/>
  <c r="F21" i="8"/>
  <c r="F39" i="8"/>
  <c r="F6" i="8"/>
  <c r="F14" i="8"/>
  <c r="F23" i="8"/>
  <c r="F32" i="8"/>
  <c r="F47" i="8"/>
  <c r="F36" i="8"/>
  <c r="F27" i="8"/>
  <c r="F11" i="8"/>
  <c r="F7" i="8"/>
  <c r="F16" i="8"/>
  <c r="F24" i="8"/>
  <c r="F33" i="8"/>
  <c r="F48" i="8"/>
  <c r="F8" i="8"/>
  <c r="F17" i="8"/>
  <c r="F25" i="8"/>
  <c r="F34" i="8"/>
  <c r="G61" i="8"/>
  <c r="G69" i="8"/>
  <c r="G43" i="8"/>
  <c r="G57" i="8"/>
  <c r="G62" i="8"/>
  <c r="G66" i="8"/>
  <c r="G70" i="8"/>
  <c r="G44" i="8"/>
  <c r="G58" i="8"/>
  <c r="G63" i="8"/>
  <c r="G67" i="8"/>
  <c r="G71" i="8"/>
  <c r="G56" i="8"/>
  <c r="G65" i="8"/>
  <c r="G73" i="8"/>
  <c r="G45" i="8"/>
  <c r="G59" i="8"/>
  <c r="G64" i="8"/>
  <c r="G68" i="8"/>
  <c r="B2" i="8"/>
  <c r="B70" i="8" l="1"/>
  <c r="B5" i="8"/>
  <c r="B9" i="8"/>
  <c r="B19" i="8"/>
  <c r="B24" i="8"/>
  <c r="B33" i="8"/>
  <c r="B41" i="8"/>
  <c r="B52" i="8"/>
  <c r="B68" i="8"/>
  <c r="B11" i="8"/>
  <c r="B25" i="8"/>
  <c r="B45" i="8"/>
  <c r="B71" i="8"/>
  <c r="B3" i="8"/>
  <c r="B7" i="8"/>
  <c r="B16" i="8"/>
  <c r="B21" i="8"/>
  <c r="B31" i="8"/>
  <c r="B37" i="8"/>
  <c r="B47" i="8"/>
  <c r="B61" i="8"/>
  <c r="B72" i="8"/>
  <c r="B56" i="8"/>
  <c r="B66" i="8"/>
  <c r="B59" i="8"/>
  <c r="B6" i="8"/>
  <c r="B20" i="8"/>
  <c r="B36" i="8"/>
  <c r="B57" i="8"/>
  <c r="B62" i="8"/>
  <c r="B4" i="8"/>
  <c r="B8" i="8"/>
  <c r="B17" i="8"/>
  <c r="B23" i="8"/>
  <c r="B32" i="8"/>
  <c r="B40" i="8"/>
  <c r="B51" i="8"/>
  <c r="B65" i="8"/>
  <c r="B58" i="8"/>
  <c r="B67" i="8"/>
  <c r="B38" i="8"/>
  <c r="B43" i="8"/>
  <c r="B48" i="8"/>
  <c r="B53" i="8"/>
  <c r="B63" i="8"/>
  <c r="B69" i="8"/>
  <c r="B73" i="8"/>
  <c r="B10" i="8"/>
  <c r="B18" i="8"/>
  <c r="B22" i="8"/>
  <c r="B26" i="8"/>
  <c r="B34" i="8"/>
  <c r="B39" i="8"/>
  <c r="B44" i="8"/>
  <c r="B49" i="8"/>
  <c r="B54" i="8"/>
  <c r="B64" i="8"/>
  <c r="M45" i="5"/>
  <c r="R69" i="5"/>
  <c r="O57" i="5"/>
  <c r="N18" i="5"/>
  <c r="M68" i="5"/>
  <c r="C29" i="4"/>
  <c r="H18" i="5" s="1"/>
  <c r="H66" i="5" s="1"/>
  <c r="C28" i="4"/>
  <c r="I2" i="5" s="1"/>
  <c r="I47" i="5" s="1"/>
  <c r="J66" i="5"/>
  <c r="J32" i="5"/>
  <c r="C23" i="4"/>
  <c r="D2" i="5" s="1"/>
  <c r="D38" i="5" s="1"/>
  <c r="C24" i="4"/>
  <c r="C25" i="4"/>
  <c r="C22" i="4"/>
  <c r="G32" i="5" s="1"/>
  <c r="G68" i="5" s="1"/>
  <c r="B2" i="5"/>
  <c r="B66" i="5" s="1"/>
  <c r="C13" i="1"/>
  <c r="N143" i="3" s="1"/>
  <c r="E9" i="5" l="1"/>
  <c r="E53" i="5" s="1"/>
  <c r="B6" i="5"/>
  <c r="F57" i="5"/>
  <c r="F66" i="5" s="1"/>
  <c r="B40" i="5"/>
  <c r="B13" i="5"/>
  <c r="B61" i="5"/>
  <c r="B15" i="5"/>
  <c r="B27" i="5"/>
  <c r="I5" i="5"/>
  <c r="I37" i="5"/>
  <c r="H42" i="5"/>
  <c r="B8" i="5"/>
  <c r="B20" i="5"/>
  <c r="B47" i="5"/>
  <c r="E18" i="5"/>
  <c r="I9" i="5"/>
  <c r="I68" i="5"/>
  <c r="H24" i="5"/>
  <c r="H51" i="5"/>
  <c r="E54" i="5"/>
  <c r="B11" i="5"/>
  <c r="B22" i="5"/>
  <c r="B53" i="5"/>
  <c r="E47" i="5"/>
  <c r="F61" i="5"/>
  <c r="I14" i="5"/>
  <c r="H28" i="5"/>
  <c r="H55" i="5"/>
  <c r="E50" i="5"/>
  <c r="I20" i="5"/>
  <c r="H32" i="5"/>
  <c r="H69" i="5"/>
  <c r="D6" i="5"/>
  <c r="D22" i="5"/>
  <c r="D31" i="5"/>
  <c r="B7" i="5"/>
  <c r="B12" i="5"/>
  <c r="B18" i="5"/>
  <c r="B24" i="5"/>
  <c r="B28" i="5"/>
  <c r="B42" i="5"/>
  <c r="B49" i="5"/>
  <c r="B54" i="5"/>
  <c r="B63" i="5"/>
  <c r="D3" i="5"/>
  <c r="D7" i="5"/>
  <c r="D13" i="5"/>
  <c r="D17" i="5"/>
  <c r="D24" i="5"/>
  <c r="D28" i="5"/>
  <c r="D36" i="5"/>
  <c r="D42" i="5"/>
  <c r="E45" i="5"/>
  <c r="E51" i="5"/>
  <c r="E55" i="5"/>
  <c r="F63" i="5"/>
  <c r="G33" i="5"/>
  <c r="G71" i="5"/>
  <c r="I6" i="5"/>
  <c r="I11" i="5"/>
  <c r="I15" i="5"/>
  <c r="I21" i="5"/>
  <c r="I38" i="5"/>
  <c r="H25" i="5"/>
  <c r="H29" i="5"/>
  <c r="H33" i="5"/>
  <c r="H43" i="5"/>
  <c r="H52" i="5"/>
  <c r="H63" i="5"/>
  <c r="H71" i="5"/>
  <c r="D12" i="5"/>
  <c r="D40" i="5"/>
  <c r="B25" i="5"/>
  <c r="B36" i="5"/>
  <c r="B43" i="5"/>
  <c r="B50" i="5"/>
  <c r="B55" i="5"/>
  <c r="B65" i="5"/>
  <c r="D4" i="5"/>
  <c r="D8" i="5"/>
  <c r="D14" i="5"/>
  <c r="D20" i="5"/>
  <c r="D25" i="5"/>
  <c r="D29" i="5"/>
  <c r="D37" i="5"/>
  <c r="D43" i="5"/>
  <c r="E52" i="5"/>
  <c r="F65" i="5"/>
  <c r="G34" i="5"/>
  <c r="I3" i="5"/>
  <c r="I7" i="5"/>
  <c r="I12" i="5"/>
  <c r="I16" i="5"/>
  <c r="I22" i="5"/>
  <c r="I45" i="5"/>
  <c r="H26" i="5"/>
  <c r="H30" i="5"/>
  <c r="H34" i="5"/>
  <c r="H49" i="5"/>
  <c r="H53" i="5"/>
  <c r="H65" i="5"/>
  <c r="D16" i="5"/>
  <c r="D27" i="5"/>
  <c r="G69" i="5"/>
  <c r="B3" i="5"/>
  <c r="B9" i="5"/>
  <c r="B14" i="5"/>
  <c r="B21" i="5"/>
  <c r="B26" i="5"/>
  <c r="B38" i="5"/>
  <c r="B45" i="5"/>
  <c r="B52" i="5"/>
  <c r="B57" i="5"/>
  <c r="D5" i="5"/>
  <c r="D11" i="5"/>
  <c r="D15" i="5"/>
  <c r="D21" i="5"/>
  <c r="D26" i="5"/>
  <c r="D30" i="5"/>
  <c r="E49" i="5"/>
  <c r="F59" i="5"/>
  <c r="I4" i="5"/>
  <c r="I8" i="5"/>
  <c r="I13" i="5"/>
  <c r="I17" i="5"/>
  <c r="I36" i="5"/>
  <c r="H27" i="5"/>
  <c r="H31" i="5"/>
  <c r="H40" i="5"/>
  <c r="H50" i="5"/>
  <c r="H54" i="5"/>
  <c r="O143" i="3"/>
  <c r="O156" i="3" s="1"/>
  <c r="O152" i="3"/>
  <c r="O147" i="3"/>
  <c r="O146" i="3"/>
  <c r="N158" i="3"/>
  <c r="N157" i="3"/>
  <c r="N155" i="3"/>
  <c r="N153" i="3"/>
  <c r="N147" i="3"/>
  <c r="N146" i="3"/>
  <c r="J18" i="3"/>
  <c r="J85" i="3" s="1"/>
  <c r="C25" i="1"/>
  <c r="C26" i="1"/>
  <c r="C24" i="1"/>
  <c r="F57" i="3" s="1"/>
  <c r="F58" i="3" l="1"/>
  <c r="F59" i="3"/>
  <c r="E2" i="3"/>
  <c r="O151" i="3"/>
  <c r="J84" i="3"/>
  <c r="J142" i="3"/>
  <c r="J130" i="3"/>
  <c r="J126" i="3"/>
  <c r="J119" i="3"/>
  <c r="J83" i="3"/>
  <c r="J70" i="3"/>
  <c r="J40" i="3"/>
  <c r="J133" i="3"/>
  <c r="J129" i="3"/>
  <c r="J125" i="3"/>
  <c r="J89" i="3"/>
  <c r="J82" i="3"/>
  <c r="J63" i="3"/>
  <c r="J21" i="3"/>
  <c r="J132" i="3"/>
  <c r="J128" i="3"/>
  <c r="J121" i="3"/>
  <c r="J88" i="3"/>
  <c r="J81" i="3"/>
  <c r="J42" i="3"/>
  <c r="J20" i="3"/>
  <c r="J120" i="3"/>
  <c r="J41" i="3"/>
  <c r="J127" i="3"/>
  <c r="J80" i="3"/>
  <c r="J131" i="3"/>
  <c r="F60" i="3"/>
  <c r="F61" i="3"/>
  <c r="O149" i="3"/>
  <c r="O154" i="3"/>
  <c r="O145" i="3"/>
  <c r="O150" i="3"/>
  <c r="B2" i="3"/>
  <c r="B22" i="3" s="1"/>
  <c r="E155" i="3" l="1"/>
  <c r="E158" i="3"/>
  <c r="E51" i="3"/>
  <c r="E150" i="3"/>
  <c r="P150" i="3" s="1"/>
  <c r="E7" i="3"/>
  <c r="E67" i="3"/>
  <c r="E24" i="3"/>
  <c r="E149" i="3"/>
  <c r="P149" i="3" s="1"/>
  <c r="E3" i="3"/>
  <c r="E156" i="3"/>
  <c r="P156" i="3" s="1"/>
  <c r="E152" i="3"/>
  <c r="E151" i="3"/>
  <c r="E23" i="3"/>
  <c r="E71" i="3"/>
  <c r="E157" i="3"/>
  <c r="E45" i="3"/>
  <c r="E48" i="3"/>
  <c r="E92" i="3"/>
  <c r="E140" i="3"/>
  <c r="E47" i="3"/>
  <c r="E145" i="3"/>
  <c r="P145" i="3" s="1"/>
  <c r="E62" i="3"/>
  <c r="E18" i="3"/>
  <c r="E43" i="3"/>
  <c r="E78" i="3"/>
  <c r="E49" i="3"/>
  <c r="E146" i="3"/>
  <c r="P146" i="3" s="1"/>
  <c r="E4" i="3"/>
  <c r="E64" i="3"/>
  <c r="E153" i="3"/>
  <c r="E14" i="3"/>
  <c r="E117" i="3"/>
  <c r="E9" i="3"/>
  <c r="E50" i="3"/>
  <c r="E6" i="3"/>
  <c r="E73" i="3"/>
  <c r="E72" i="3"/>
  <c r="E46" i="3"/>
  <c r="E93" i="3"/>
  <c r="E147" i="3"/>
  <c r="P147" i="3" s="1"/>
  <c r="E65" i="3"/>
  <c r="E154" i="3"/>
  <c r="P154" i="3" s="1"/>
  <c r="E35" i="3"/>
  <c r="E75" i="3"/>
  <c r="E44" i="3"/>
  <c r="E116" i="3"/>
  <c r="E17" i="3"/>
  <c r="E124" i="3"/>
  <c r="E22" i="3"/>
  <c r="E143" i="3"/>
  <c r="P143" i="3" s="1"/>
  <c r="E25" i="3"/>
  <c r="E52" i="3"/>
  <c r="E5" i="3"/>
  <c r="E86" i="3"/>
  <c r="E8" i="3"/>
  <c r="E115" i="3"/>
  <c r="E16" i="3"/>
  <c r="E118" i="3"/>
  <c r="E19" i="3"/>
  <c r="E66" i="3"/>
  <c r="E141" i="3"/>
  <c r="B60" i="3"/>
  <c r="B68" i="3"/>
  <c r="B81" i="3"/>
  <c r="B89" i="3"/>
  <c r="B112" i="3"/>
  <c r="B121" i="3"/>
  <c r="B135" i="3"/>
  <c r="B147" i="3"/>
  <c r="B35" i="3"/>
  <c r="B40" i="3"/>
  <c r="B46" i="3"/>
  <c r="B50" i="3"/>
  <c r="B61" i="3"/>
  <c r="B65" i="3"/>
  <c r="B69" i="3"/>
  <c r="B73" i="3"/>
  <c r="B77" i="3"/>
  <c r="B82" i="3"/>
  <c r="B86" i="3"/>
  <c r="B90" i="3"/>
  <c r="B105" i="3"/>
  <c r="B109" i="3"/>
  <c r="B113" i="3"/>
  <c r="B118" i="3"/>
  <c r="B124" i="3"/>
  <c r="B128" i="3"/>
  <c r="B132" i="3"/>
  <c r="B139" i="3"/>
  <c r="B143" i="3"/>
  <c r="B149" i="3"/>
  <c r="B153" i="3"/>
  <c r="B157" i="3"/>
  <c r="B45" i="3"/>
  <c r="B64" i="3"/>
  <c r="B76" i="3"/>
  <c r="B93" i="3"/>
  <c r="B117" i="3"/>
  <c r="B127" i="3"/>
  <c r="B142" i="3"/>
  <c r="B152" i="3"/>
  <c r="B37" i="3"/>
  <c r="B41" i="3"/>
  <c r="B43" i="3"/>
  <c r="B47" i="3"/>
  <c r="B51" i="3"/>
  <c r="B62" i="3"/>
  <c r="B66" i="3"/>
  <c r="B70" i="3"/>
  <c r="B74" i="3"/>
  <c r="B78" i="3"/>
  <c r="B83" i="3"/>
  <c r="B87" i="3"/>
  <c r="B91" i="3"/>
  <c r="B106" i="3"/>
  <c r="B110" i="3"/>
  <c r="B115" i="3"/>
  <c r="B119" i="3"/>
  <c r="B125" i="3"/>
  <c r="B129" i="3"/>
  <c r="B133" i="3"/>
  <c r="B140" i="3"/>
  <c r="B145" i="3"/>
  <c r="B150" i="3"/>
  <c r="B154" i="3"/>
  <c r="B158" i="3"/>
  <c r="B39" i="3"/>
  <c r="B49" i="3"/>
  <c r="B72" i="3"/>
  <c r="B85" i="3"/>
  <c r="B108" i="3"/>
  <c r="B131" i="3"/>
  <c r="B156" i="3"/>
  <c r="B38" i="3"/>
  <c r="B42" i="3"/>
  <c r="B44" i="3"/>
  <c r="B48" i="3"/>
  <c r="B52" i="3"/>
  <c r="B63" i="3"/>
  <c r="B67" i="3"/>
  <c r="B71" i="3"/>
  <c r="B75" i="3"/>
  <c r="B80" i="3"/>
  <c r="B84" i="3"/>
  <c r="B88" i="3"/>
  <c r="B92" i="3"/>
  <c r="B107" i="3"/>
  <c r="B111" i="3"/>
  <c r="B116" i="3"/>
  <c r="B120" i="3"/>
  <c r="B126" i="3"/>
  <c r="B130" i="3"/>
  <c r="B134" i="3"/>
  <c r="B141" i="3"/>
  <c r="B146" i="3"/>
  <c r="B151" i="3"/>
  <c r="B155" i="3"/>
  <c r="B6" i="3"/>
  <c r="B20" i="3"/>
  <c r="B24" i="3"/>
  <c r="B5" i="3"/>
  <c r="B3" i="3"/>
  <c r="B7" i="3"/>
  <c r="B16" i="3"/>
  <c r="B21" i="3"/>
  <c r="B25" i="3"/>
  <c r="B9" i="3"/>
  <c r="B19" i="3"/>
  <c r="B23" i="3"/>
  <c r="B4" i="3"/>
  <c r="B8" i="3"/>
  <c r="B18" i="3"/>
  <c r="H17" i="6"/>
  <c r="G17" i="6"/>
  <c r="C12" i="9"/>
  <c r="I21" i="6"/>
  <c r="I22" i="6"/>
  <c r="N27" i="50" l="1"/>
  <c r="A32" i="60" l="1"/>
  <c r="A42" i="60"/>
  <c r="A57" i="60"/>
  <c r="A83" i="60"/>
  <c r="A109" i="60"/>
  <c r="A128" i="60"/>
  <c r="A129" i="60"/>
  <c r="A130" i="60"/>
  <c r="A131" i="60"/>
  <c r="A132" i="60"/>
  <c r="AB30" i="60"/>
  <c r="AB85" i="60" s="1"/>
  <c r="AA25" i="60"/>
  <c r="AA85" i="60" s="1"/>
  <c r="Z25" i="60"/>
  <c r="Z125" i="60" s="1"/>
  <c r="Y25" i="60"/>
  <c r="Y124" i="60" s="1"/>
  <c r="X25" i="60"/>
  <c r="W27" i="60"/>
  <c r="W118" i="60" s="1"/>
  <c r="AB94" i="60" l="1"/>
  <c r="AB126" i="60"/>
  <c r="W34" i="60"/>
  <c r="W39" i="60"/>
  <c r="W78" i="60"/>
  <c r="W33" i="60"/>
  <c r="W72" i="60"/>
  <c r="W86" i="60"/>
  <c r="W93" i="60"/>
  <c r="W121" i="60"/>
  <c r="AA94" i="60"/>
  <c r="W96" i="60"/>
  <c r="W122" i="60"/>
  <c r="AA126" i="60"/>
  <c r="W40" i="60"/>
  <c r="W88" i="60"/>
  <c r="W35" i="60"/>
  <c r="W41" i="60"/>
  <c r="W81" i="60"/>
  <c r="W91" i="60"/>
  <c r="W117" i="60"/>
  <c r="X123" i="60"/>
  <c r="AA71" i="60"/>
  <c r="W36" i="60"/>
  <c r="W68" i="60"/>
  <c r="W84" i="60"/>
  <c r="W92" i="60"/>
  <c r="X31" i="60"/>
  <c r="X36" i="60"/>
  <c r="X68" i="60"/>
  <c r="X84" i="60"/>
  <c r="X89" i="60"/>
  <c r="X96" i="60"/>
  <c r="X100" i="60"/>
  <c r="X120" i="60"/>
  <c r="X124" i="60"/>
  <c r="X26" i="60"/>
  <c r="X33" i="60"/>
  <c r="X39" i="60"/>
  <c r="X72" i="60"/>
  <c r="X86" i="60"/>
  <c r="X90" i="60"/>
  <c r="X97" i="60"/>
  <c r="X116" i="60"/>
  <c r="X121" i="60"/>
  <c r="X125" i="60"/>
  <c r="X28" i="60"/>
  <c r="X34" i="60"/>
  <c r="X40" i="60"/>
  <c r="X78" i="60"/>
  <c r="X87" i="60"/>
  <c r="X91" i="60"/>
  <c r="X98" i="60"/>
  <c r="X117" i="60"/>
  <c r="X122" i="60"/>
  <c r="X127" i="60"/>
  <c r="X29" i="60"/>
  <c r="X35" i="60"/>
  <c r="X41" i="60"/>
  <c r="X81" i="60"/>
  <c r="X88" i="60"/>
  <c r="X93" i="60"/>
  <c r="X99" i="60"/>
  <c r="X118" i="60"/>
  <c r="Z29" i="60"/>
  <c r="Z35" i="60"/>
  <c r="Z70" i="60"/>
  <c r="Z87" i="60"/>
  <c r="Z91" i="60"/>
  <c r="Z98" i="60"/>
  <c r="Z117" i="60"/>
  <c r="Z122" i="60"/>
  <c r="Z127" i="60"/>
  <c r="Z31" i="60"/>
  <c r="Z36" i="60"/>
  <c r="Z80" i="60"/>
  <c r="Z88" i="60"/>
  <c r="Z93" i="60"/>
  <c r="Z99" i="60"/>
  <c r="Z118" i="60"/>
  <c r="Z123" i="60"/>
  <c r="Z33" i="60"/>
  <c r="Z39" i="60"/>
  <c r="Z84" i="60"/>
  <c r="Z89" i="60"/>
  <c r="Z96" i="60"/>
  <c r="Z100" i="60"/>
  <c r="Z120" i="60"/>
  <c r="Z124" i="60"/>
  <c r="Z26" i="60"/>
  <c r="Z34" i="60"/>
  <c r="Z40" i="60"/>
  <c r="Z86" i="60"/>
  <c r="Z90" i="60"/>
  <c r="Z97" i="60"/>
  <c r="Z116" i="60"/>
  <c r="Z121" i="60"/>
  <c r="Y36" i="60"/>
  <c r="Y89" i="60"/>
  <c r="Y125" i="60"/>
  <c r="Y26" i="60"/>
  <c r="Y33" i="60"/>
  <c r="Y39" i="60"/>
  <c r="Y73" i="60"/>
  <c r="Y86" i="60"/>
  <c r="Y90" i="60"/>
  <c r="Y98" i="60"/>
  <c r="Y117" i="60"/>
  <c r="Y122" i="60"/>
  <c r="Y127" i="60"/>
  <c r="Y69" i="60"/>
  <c r="Y97" i="60"/>
  <c r="Y121" i="60"/>
  <c r="Y28" i="60"/>
  <c r="Y34" i="60"/>
  <c r="Y40" i="60"/>
  <c r="Y79" i="60"/>
  <c r="Y87" i="60"/>
  <c r="Y93" i="60"/>
  <c r="Y99" i="60"/>
  <c r="Y118" i="60"/>
  <c r="Y123" i="60"/>
  <c r="Y31" i="60"/>
  <c r="Y84" i="60"/>
  <c r="Y116" i="60"/>
  <c r="Y29" i="60"/>
  <c r="Y35" i="60"/>
  <c r="Y41" i="60"/>
  <c r="Y82" i="60"/>
  <c r="Y88" i="60"/>
  <c r="Y96" i="60"/>
  <c r="Y100" i="60"/>
  <c r="Y120" i="60"/>
  <c r="G11" i="60" l="1"/>
  <c r="E2" i="60"/>
  <c r="E124" i="60" s="1"/>
  <c r="C16" i="57"/>
  <c r="C17" i="57"/>
  <c r="C18" i="57"/>
  <c r="C19" i="57"/>
  <c r="C20" i="57"/>
  <c r="C21" i="57"/>
  <c r="U2" i="60" s="1"/>
  <c r="U104" i="60" s="1"/>
  <c r="C22" i="57"/>
  <c r="V3" i="60" s="1"/>
  <c r="C12" i="57"/>
  <c r="C13" i="57"/>
  <c r="C14" i="57"/>
  <c r="C15" i="57"/>
  <c r="C11" i="57"/>
  <c r="F7" i="60"/>
  <c r="F127" i="60" s="1"/>
  <c r="C4" i="57"/>
  <c r="C13" i="60" s="1"/>
  <c r="C3" i="57"/>
  <c r="K4" i="60" l="1"/>
  <c r="K113" i="60" s="1"/>
  <c r="S7" i="60"/>
  <c r="S115" i="60" s="1"/>
  <c r="L2" i="60"/>
  <c r="L59" i="60" s="1"/>
  <c r="U11" i="60"/>
  <c r="U44" i="60"/>
  <c r="U49" i="60"/>
  <c r="U55" i="60"/>
  <c r="U77" i="60"/>
  <c r="U43" i="60"/>
  <c r="U54" i="60"/>
  <c r="U63" i="60"/>
  <c r="U76" i="60"/>
  <c r="U6" i="60"/>
  <c r="U12" i="60"/>
  <c r="U65" i="60"/>
  <c r="U9" i="60"/>
  <c r="U47" i="60"/>
  <c r="U45" i="60"/>
  <c r="U52" i="60"/>
  <c r="U60" i="60"/>
  <c r="U67" i="60"/>
  <c r="U5" i="60"/>
  <c r="V108" i="60"/>
  <c r="V75" i="60"/>
  <c r="V59" i="60"/>
  <c r="V52" i="60"/>
  <c r="V48" i="60"/>
  <c r="V43" i="60"/>
  <c r="V107" i="60"/>
  <c r="V66" i="60"/>
  <c r="V56" i="60"/>
  <c r="V51" i="60"/>
  <c r="V47" i="60"/>
  <c r="V10" i="60"/>
  <c r="V106" i="60"/>
  <c r="V64" i="60"/>
  <c r="V55" i="60"/>
  <c r="V50" i="60"/>
  <c r="V46" i="60"/>
  <c r="V8" i="60"/>
  <c r="V105" i="60"/>
  <c r="V62" i="60"/>
  <c r="V53" i="60"/>
  <c r="V49" i="60"/>
  <c r="V44" i="60"/>
  <c r="V4" i="60"/>
  <c r="S77" i="60"/>
  <c r="S40" i="60"/>
  <c r="S118" i="60"/>
  <c r="S80" i="60"/>
  <c r="S55" i="60"/>
  <c r="S113" i="60"/>
  <c r="S36" i="60"/>
  <c r="S27" i="60"/>
  <c r="S64" i="60"/>
  <c r="S78" i="60"/>
  <c r="S79" i="60"/>
  <c r="S71" i="60"/>
  <c r="S34" i="60"/>
  <c r="S114" i="60"/>
  <c r="S76" i="60"/>
  <c r="S39" i="60"/>
  <c r="S84" i="60"/>
  <c r="S18" i="60"/>
  <c r="S94" i="60"/>
  <c r="S35" i="60"/>
  <c r="S41" i="60"/>
  <c r="S69" i="60"/>
  <c r="S86" i="60"/>
  <c r="S67" i="60"/>
  <c r="S25" i="60"/>
  <c r="S91" i="60"/>
  <c r="S70" i="60"/>
  <c r="S33" i="60"/>
  <c r="S73" i="60"/>
  <c r="S88" i="60"/>
  <c r="S82" i="60"/>
  <c r="S17" i="60"/>
  <c r="S117" i="60"/>
  <c r="S54" i="60"/>
  <c r="S92" i="60"/>
  <c r="S81" i="60"/>
  <c r="S56" i="60"/>
  <c r="S10" i="60"/>
  <c r="S85" i="60"/>
  <c r="S66" i="60"/>
  <c r="S22" i="60"/>
  <c r="S65" i="60"/>
  <c r="S68" i="60"/>
  <c r="S72" i="60"/>
  <c r="S116" i="60"/>
  <c r="S89" i="60"/>
  <c r="S30" i="60"/>
  <c r="M37" i="60"/>
  <c r="M103" i="60" s="1"/>
  <c r="N13" i="60"/>
  <c r="J17" i="60"/>
  <c r="J120" i="60" s="1"/>
  <c r="D2" i="60"/>
  <c r="B25" i="60"/>
  <c r="O25" i="60"/>
  <c r="O127" i="60" s="1"/>
  <c r="T26" i="60"/>
  <c r="P13" i="60"/>
  <c r="R6" i="60"/>
  <c r="Q2" i="60"/>
  <c r="C121" i="60"/>
  <c r="C40" i="60"/>
  <c r="C14" i="60"/>
  <c r="C101" i="60"/>
  <c r="C22" i="60"/>
  <c r="C15" i="60"/>
  <c r="C102" i="60"/>
  <c r="C38" i="60"/>
  <c r="C119" i="60"/>
  <c r="C39" i="60"/>
  <c r="C37" i="60"/>
  <c r="C103" i="60"/>
  <c r="C23" i="60"/>
  <c r="C120" i="60"/>
  <c r="C96" i="60"/>
  <c r="C16" i="60"/>
  <c r="C122" i="60"/>
  <c r="C24" i="60"/>
  <c r="E15" i="60"/>
  <c r="E29" i="60"/>
  <c r="E45" i="60"/>
  <c r="E59" i="60"/>
  <c r="E71" i="60"/>
  <c r="E81" i="60"/>
  <c r="E92" i="60"/>
  <c r="E101" i="60"/>
  <c r="E105" i="60"/>
  <c r="E110" i="60"/>
  <c r="E114" i="60"/>
  <c r="E120" i="60"/>
  <c r="E125" i="60"/>
  <c r="F31" i="60"/>
  <c r="F73" i="60"/>
  <c r="F115" i="60"/>
  <c r="K6" i="60"/>
  <c r="K10" i="60"/>
  <c r="K47" i="60"/>
  <c r="K51" i="60"/>
  <c r="K55" i="60"/>
  <c r="K63" i="60"/>
  <c r="K67" i="60"/>
  <c r="K104" i="60"/>
  <c r="K108" i="60"/>
  <c r="K114" i="60"/>
  <c r="L44" i="60"/>
  <c r="L60" i="60"/>
  <c r="O31" i="60"/>
  <c r="O90" i="60"/>
  <c r="E6" i="60"/>
  <c r="E20" i="60"/>
  <c r="E35" i="60"/>
  <c r="E49" i="60"/>
  <c r="E63" i="60"/>
  <c r="E77" i="60"/>
  <c r="E96" i="60"/>
  <c r="E3" i="60"/>
  <c r="E8" i="60"/>
  <c r="E12" i="60"/>
  <c r="E16" i="60"/>
  <c r="E21" i="60"/>
  <c r="E25" i="60"/>
  <c r="E30" i="60"/>
  <c r="E37" i="60"/>
  <c r="E41" i="60"/>
  <c r="E46" i="60"/>
  <c r="E50" i="60"/>
  <c r="E54" i="60"/>
  <c r="E60" i="60"/>
  <c r="E64" i="60"/>
  <c r="E68" i="60"/>
  <c r="E74" i="60"/>
  <c r="E78" i="60"/>
  <c r="E82" i="60"/>
  <c r="E88" i="60"/>
  <c r="E93" i="60"/>
  <c r="E97" i="60"/>
  <c r="E102" i="60"/>
  <c r="E106" i="60"/>
  <c r="E111" i="60"/>
  <c r="E116" i="60"/>
  <c r="E121" i="60"/>
  <c r="E126" i="60"/>
  <c r="F36" i="60"/>
  <c r="F87" i="60"/>
  <c r="F118" i="60"/>
  <c r="G10" i="60"/>
  <c r="J80" i="60"/>
  <c r="K7" i="60"/>
  <c r="K11" i="60"/>
  <c r="K48" i="60"/>
  <c r="K52" i="60"/>
  <c r="K56" i="60"/>
  <c r="K64" i="60"/>
  <c r="K75" i="60"/>
  <c r="K105" i="60"/>
  <c r="K111" i="60"/>
  <c r="K115" i="60"/>
  <c r="L45" i="60"/>
  <c r="L74" i="60"/>
  <c r="O41" i="60"/>
  <c r="O91" i="60"/>
  <c r="E11" i="60"/>
  <c r="E24" i="60"/>
  <c r="E40" i="60"/>
  <c r="E53" i="60"/>
  <c r="E67" i="60"/>
  <c r="E86" i="60"/>
  <c r="E4" i="60"/>
  <c r="E9" i="60"/>
  <c r="E13" i="60"/>
  <c r="E18" i="60"/>
  <c r="E22" i="60"/>
  <c r="E27" i="60"/>
  <c r="E33" i="60"/>
  <c r="E38" i="60"/>
  <c r="E43" i="60"/>
  <c r="E47" i="60"/>
  <c r="E51" i="60"/>
  <c r="E55" i="60"/>
  <c r="E61" i="60"/>
  <c r="E65" i="60"/>
  <c r="E69" i="60"/>
  <c r="E75" i="60"/>
  <c r="E79" i="60"/>
  <c r="E84" i="60"/>
  <c r="E89" i="60"/>
  <c r="E94" i="60"/>
  <c r="E99" i="60"/>
  <c r="E103" i="60"/>
  <c r="E107" i="60"/>
  <c r="E112" i="60"/>
  <c r="E117" i="60"/>
  <c r="E123" i="60"/>
  <c r="F17" i="60"/>
  <c r="F56" i="60"/>
  <c r="F90" i="60"/>
  <c r="F122" i="60"/>
  <c r="J118" i="60"/>
  <c r="K8" i="60"/>
  <c r="K12" i="60"/>
  <c r="K49" i="60"/>
  <c r="K53" i="60"/>
  <c r="K61" i="60"/>
  <c r="K65" i="60"/>
  <c r="K76" i="60"/>
  <c r="K106" i="60"/>
  <c r="K112" i="60"/>
  <c r="L3" i="60"/>
  <c r="L58" i="60"/>
  <c r="L110" i="60"/>
  <c r="O29" i="60"/>
  <c r="O88" i="60"/>
  <c r="O126" i="60"/>
  <c r="E5" i="60"/>
  <c r="E10" i="60"/>
  <c r="E14" i="60"/>
  <c r="E19" i="60"/>
  <c r="E23" i="60"/>
  <c r="E28" i="60"/>
  <c r="E34" i="60"/>
  <c r="E39" i="60"/>
  <c r="E44" i="60"/>
  <c r="E48" i="60"/>
  <c r="E52" i="60"/>
  <c r="E58" i="60"/>
  <c r="E62" i="60"/>
  <c r="E66" i="60"/>
  <c r="E70" i="60"/>
  <c r="E76" i="60"/>
  <c r="E80" i="60"/>
  <c r="E85" i="60"/>
  <c r="E91" i="60"/>
  <c r="E95" i="60"/>
  <c r="E100" i="60"/>
  <c r="E104" i="60"/>
  <c r="E108" i="60"/>
  <c r="E113" i="60"/>
  <c r="E119" i="60"/>
  <c r="F26" i="60"/>
  <c r="F72" i="60"/>
  <c r="F98" i="60"/>
  <c r="K5" i="60"/>
  <c r="K9" i="60"/>
  <c r="K46" i="60"/>
  <c r="K50" i="60"/>
  <c r="K54" i="60"/>
  <c r="K62" i="60"/>
  <c r="K66" i="60"/>
  <c r="K77" i="60"/>
  <c r="K107" i="60"/>
  <c r="L43" i="60"/>
  <c r="O26" i="60"/>
  <c r="O85" i="60"/>
  <c r="O123" i="60"/>
  <c r="AD26" i="59"/>
  <c r="AD38" i="59"/>
  <c r="AD37" i="59"/>
  <c r="AD16" i="59"/>
  <c r="AB15" i="59"/>
  <c r="AD23" i="59"/>
  <c r="AD35" i="59"/>
  <c r="AD39" i="59"/>
  <c r="W14" i="59"/>
  <c r="W11" i="59"/>
  <c r="V24" i="59"/>
  <c r="V19" i="59"/>
  <c r="U25" i="59"/>
  <c r="U24" i="59"/>
  <c r="U21" i="59"/>
  <c r="U20" i="59"/>
  <c r="U19" i="59"/>
  <c r="U18" i="59"/>
  <c r="U17" i="59"/>
  <c r="U15" i="59"/>
  <c r="U14" i="59"/>
  <c r="U11" i="59"/>
  <c r="T33" i="59"/>
  <c r="T32" i="59"/>
  <c r="S13" i="59"/>
  <c r="R22" i="59"/>
  <c r="R20" i="59"/>
  <c r="R4" i="59"/>
  <c r="Q22" i="59"/>
  <c r="Q21" i="59"/>
  <c r="Q20" i="59"/>
  <c r="Q18" i="59"/>
  <c r="Q17" i="59"/>
  <c r="Q15" i="59"/>
  <c r="Q14" i="59"/>
  <c r="Q11" i="59"/>
  <c r="Q6" i="59"/>
  <c r="Q5" i="59"/>
  <c r="Q4" i="59"/>
  <c r="Q3" i="59"/>
  <c r="P33" i="59"/>
  <c r="P32" i="59"/>
  <c r="P31" i="59"/>
  <c r="P4" i="59"/>
  <c r="P3" i="59"/>
  <c r="O33" i="59"/>
  <c r="O32" i="59"/>
  <c r="O31" i="59"/>
  <c r="O6" i="59"/>
  <c r="O4" i="59"/>
  <c r="O3" i="59"/>
  <c r="N33" i="59"/>
  <c r="N32" i="59"/>
  <c r="N31" i="59"/>
  <c r="N30" i="59"/>
  <c r="N29" i="59"/>
  <c r="N25" i="59"/>
  <c r="N24" i="59"/>
  <c r="N22" i="59"/>
  <c r="N21" i="59"/>
  <c r="N20" i="59"/>
  <c r="N19" i="59"/>
  <c r="N18" i="59"/>
  <c r="N17" i="59"/>
  <c r="N15" i="59"/>
  <c r="N14" i="59"/>
  <c r="N12" i="59"/>
  <c r="N11" i="59"/>
  <c r="N10" i="59"/>
  <c r="N7" i="59"/>
  <c r="N6" i="59"/>
  <c r="N5" i="59"/>
  <c r="N4" i="59"/>
  <c r="N3" i="59"/>
  <c r="M12" i="59"/>
  <c r="L34" i="59"/>
  <c r="L30" i="59"/>
  <c r="L29" i="59"/>
  <c r="L20" i="59"/>
  <c r="L19" i="59"/>
  <c r="L17" i="59"/>
  <c r="L13" i="59"/>
  <c r="L12" i="59"/>
  <c r="L8" i="59"/>
  <c r="L7" i="59"/>
  <c r="K34" i="59"/>
  <c r="K22" i="59"/>
  <c r="J25" i="59"/>
  <c r="J24" i="59"/>
  <c r="J12" i="59"/>
  <c r="D58" i="60" l="1"/>
  <c r="AC2" i="60"/>
  <c r="J39" i="60"/>
  <c r="AC39" i="60" s="1"/>
  <c r="A39" i="60" s="1"/>
  <c r="J19" i="60"/>
  <c r="J73" i="60"/>
  <c r="J69" i="60"/>
  <c r="J93" i="60"/>
  <c r="J100" i="60"/>
  <c r="J70" i="60"/>
  <c r="J33" i="60"/>
  <c r="J99" i="60"/>
  <c r="J96" i="60"/>
  <c r="J98" i="60"/>
  <c r="J82" i="60"/>
  <c r="J24" i="60"/>
  <c r="J95" i="60"/>
  <c r="J35" i="60"/>
  <c r="J68" i="60"/>
  <c r="D46" i="60"/>
  <c r="J78" i="60"/>
  <c r="J20" i="60"/>
  <c r="J36" i="60"/>
  <c r="J81" i="60"/>
  <c r="J23" i="60"/>
  <c r="J122" i="60"/>
  <c r="AC122" i="60" s="1"/>
  <c r="A122" i="60" s="1"/>
  <c r="J22" i="60"/>
  <c r="D104" i="60"/>
  <c r="D34" i="60"/>
  <c r="D52" i="60"/>
  <c r="AC13" i="60"/>
  <c r="A13" i="60" s="1"/>
  <c r="D51" i="60"/>
  <c r="D105" i="60"/>
  <c r="D72" i="60"/>
  <c r="AC120" i="60"/>
  <c r="A120" i="60" s="1"/>
  <c r="A2" i="60"/>
  <c r="AC25" i="60"/>
  <c r="A25" i="60" s="1"/>
  <c r="D18" i="60"/>
  <c r="D68" i="60"/>
  <c r="AC68" i="60" s="1"/>
  <c r="A68" i="60" s="1"/>
  <c r="D11" i="60"/>
  <c r="D4" i="60"/>
  <c r="D59" i="60"/>
  <c r="D55" i="60"/>
  <c r="AC55" i="60" s="1"/>
  <c r="A55" i="60" s="1"/>
  <c r="D9" i="60"/>
  <c r="D67" i="60"/>
  <c r="AC67" i="60" s="1"/>
  <c r="J71" i="60"/>
  <c r="J116" i="60"/>
  <c r="O30" i="60"/>
  <c r="O84" i="60"/>
  <c r="O125" i="60"/>
  <c r="O28" i="60"/>
  <c r="O124" i="60"/>
  <c r="O27" i="60"/>
  <c r="O89" i="60"/>
  <c r="O92" i="60"/>
  <c r="O87" i="60"/>
  <c r="O86" i="60"/>
  <c r="D33" i="60"/>
  <c r="AC33" i="60" s="1"/>
  <c r="A33" i="60" s="1"/>
  <c r="D61" i="60"/>
  <c r="D75" i="60"/>
  <c r="D111" i="60"/>
  <c r="D108" i="60"/>
  <c r="D19" i="60"/>
  <c r="D114" i="60"/>
  <c r="AC114" i="60" s="1"/>
  <c r="A114" i="60" s="1"/>
  <c r="D12" i="60"/>
  <c r="D5" i="60"/>
  <c r="D6" i="60"/>
  <c r="AC6" i="60" s="1"/>
  <c r="A6" i="60" s="1"/>
  <c r="D43" i="60"/>
  <c r="D60" i="60"/>
  <c r="D76" i="60"/>
  <c r="AC76" i="60" s="1"/>
  <c r="A76" i="60" s="1"/>
  <c r="D113" i="60"/>
  <c r="AC113" i="60" s="1"/>
  <c r="A113" i="60" s="1"/>
  <c r="D3" i="60"/>
  <c r="D35" i="60"/>
  <c r="D69" i="60"/>
  <c r="D17" i="60"/>
  <c r="AC17" i="60" s="1"/>
  <c r="A17" i="60" s="1"/>
  <c r="D97" i="60"/>
  <c r="D36" i="60"/>
  <c r="D74" i="60"/>
  <c r="D66" i="60"/>
  <c r="AC66" i="60" s="1"/>
  <c r="A66" i="60" s="1"/>
  <c r="D21" i="60"/>
  <c r="D10" i="60"/>
  <c r="AC10" i="60" s="1"/>
  <c r="A10" i="60" s="1"/>
  <c r="D47" i="60"/>
  <c r="D64" i="60"/>
  <c r="AC64" i="60" s="1"/>
  <c r="A64" i="60" s="1"/>
  <c r="D80" i="60"/>
  <c r="AC80" i="60" s="1"/>
  <c r="A80" i="60" s="1"/>
  <c r="D117" i="60"/>
  <c r="D7" i="60"/>
  <c r="AC7" i="60" s="1"/>
  <c r="A7" i="60" s="1"/>
  <c r="D44" i="60"/>
  <c r="D77" i="60"/>
  <c r="AC77" i="60" s="1"/>
  <c r="A77" i="60" s="1"/>
  <c r="D54" i="60"/>
  <c r="D112" i="60"/>
  <c r="D49" i="60"/>
  <c r="D82" i="60"/>
  <c r="D56" i="60"/>
  <c r="D73" i="60"/>
  <c r="AC73" i="60" s="1"/>
  <c r="A73" i="60" s="1"/>
  <c r="D110" i="60"/>
  <c r="D50" i="60"/>
  <c r="D71" i="60"/>
  <c r="D107" i="60"/>
  <c r="D8" i="60"/>
  <c r="D45" i="60"/>
  <c r="D62" i="60"/>
  <c r="D78" i="60"/>
  <c r="AC78" i="60" s="1"/>
  <c r="A78" i="60" s="1"/>
  <c r="D115" i="60"/>
  <c r="AC115" i="60" s="1"/>
  <c r="A115" i="60" s="1"/>
  <c r="D48" i="60"/>
  <c r="D65" i="60"/>
  <c r="D81" i="60"/>
  <c r="D118" i="60"/>
  <c r="AC118" i="60" s="1"/>
  <c r="A118" i="60" s="1"/>
  <c r="D63" i="60"/>
  <c r="D79" i="60"/>
  <c r="D116" i="60"/>
  <c r="D20" i="60"/>
  <c r="D53" i="60"/>
  <c r="D70" i="60"/>
  <c r="D106" i="60"/>
  <c r="AC22" i="60"/>
  <c r="A22" i="60" s="1"/>
  <c r="J94" i="60"/>
  <c r="J34" i="60"/>
  <c r="AC34" i="60" s="1"/>
  <c r="A34" i="60" s="1"/>
  <c r="J97" i="60"/>
  <c r="J40" i="60"/>
  <c r="AC40" i="60" s="1"/>
  <c r="A40" i="60" s="1"/>
  <c r="J117" i="60"/>
  <c r="J72" i="60"/>
  <c r="J18" i="60"/>
  <c r="J121" i="60"/>
  <c r="AC121" i="60" s="1"/>
  <c r="A121" i="60" s="1"/>
  <c r="J79" i="60"/>
  <c r="J21" i="60"/>
  <c r="N119" i="60"/>
  <c r="AC119" i="60" s="1"/>
  <c r="A119" i="60" s="1"/>
  <c r="N16" i="60"/>
  <c r="N102" i="60"/>
  <c r="N15" i="60"/>
  <c r="N101" i="60"/>
  <c r="N14" i="60"/>
  <c r="N38" i="60"/>
  <c r="A67" i="60"/>
  <c r="B125" i="60"/>
  <c r="B27" i="60"/>
  <c r="AC27" i="60" s="1"/>
  <c r="A27" i="60" s="1"/>
  <c r="B88" i="60"/>
  <c r="AC88" i="60" s="1"/>
  <c r="A88" i="60" s="1"/>
  <c r="B90" i="60"/>
  <c r="B28" i="60"/>
  <c r="B95" i="60"/>
  <c r="B30" i="60"/>
  <c r="B99" i="60"/>
  <c r="B29" i="60"/>
  <c r="B100" i="60"/>
  <c r="B127" i="60"/>
  <c r="B31" i="60"/>
  <c r="B126" i="60"/>
  <c r="AC126" i="60" s="1"/>
  <c r="A126" i="60" s="1"/>
  <c r="B26" i="60"/>
  <c r="AC26" i="60" s="1"/>
  <c r="A26" i="60" s="1"/>
  <c r="B86" i="60"/>
  <c r="AC86" i="60" s="1"/>
  <c r="A86" i="60" s="1"/>
  <c r="B92" i="60"/>
  <c r="B94" i="60"/>
  <c r="B41" i="60"/>
  <c r="AC41" i="60" s="1"/>
  <c r="A41" i="60" s="1"/>
  <c r="B123" i="60"/>
  <c r="B85" i="60"/>
  <c r="B98" i="60"/>
  <c r="B87" i="60"/>
  <c r="B89" i="60"/>
  <c r="B84" i="60"/>
  <c r="B124" i="60"/>
  <c r="B91" i="60"/>
  <c r="B93" i="60"/>
  <c r="Q106" i="60"/>
  <c r="Q60" i="60"/>
  <c r="Q45" i="60"/>
  <c r="Q15" i="60"/>
  <c r="Q4" i="60"/>
  <c r="AC4" i="60" s="1"/>
  <c r="Q111" i="60"/>
  <c r="Q46" i="60"/>
  <c r="Q5" i="60"/>
  <c r="Q101" i="60"/>
  <c r="Q59" i="60"/>
  <c r="Q44" i="60"/>
  <c r="Q14" i="60"/>
  <c r="Q3" i="60"/>
  <c r="Q74" i="60"/>
  <c r="Q47" i="60"/>
  <c r="Q37" i="60"/>
  <c r="AC37" i="60" s="1"/>
  <c r="Q12" i="60"/>
  <c r="AC12" i="60" s="1"/>
  <c r="Q61" i="60"/>
  <c r="Q19" i="60"/>
  <c r="P108" i="60"/>
  <c r="P58" i="60"/>
  <c r="P43" i="60"/>
  <c r="P103" i="60"/>
  <c r="AC103" i="60" s="1"/>
  <c r="A103" i="60" s="1"/>
  <c r="P110" i="60"/>
  <c r="R105" i="60"/>
  <c r="R97" i="60"/>
  <c r="R75" i="60"/>
  <c r="R52" i="60"/>
  <c r="R48" i="60"/>
  <c r="R21" i="60"/>
  <c r="R9" i="60"/>
  <c r="R112" i="60"/>
  <c r="R95" i="60"/>
  <c r="R24" i="60"/>
  <c r="R107" i="60"/>
  <c r="R100" i="60"/>
  <c r="R53" i="60"/>
  <c r="R23" i="60"/>
  <c r="R104" i="60"/>
  <c r="AC104" i="60" s="1"/>
  <c r="A104" i="60" s="1"/>
  <c r="R96" i="60"/>
  <c r="AC96" i="60" s="1"/>
  <c r="A96" i="60" s="1"/>
  <c r="R63" i="60"/>
  <c r="R51" i="60"/>
  <c r="R38" i="60"/>
  <c r="R20" i="60"/>
  <c r="R8" i="60"/>
  <c r="R102" i="60"/>
  <c r="R62" i="60"/>
  <c r="R50" i="60"/>
  <c r="R16" i="60"/>
  <c r="R93" i="60"/>
  <c r="R49" i="60"/>
  <c r="R11" i="60"/>
  <c r="T90" i="60"/>
  <c r="T98" i="60"/>
  <c r="T87" i="60"/>
  <c r="T99" i="60"/>
  <c r="T31" i="60"/>
  <c r="T29" i="60"/>
  <c r="C8" i="62"/>
  <c r="B34" i="59"/>
  <c r="C5" i="62"/>
  <c r="C6" i="62"/>
  <c r="C7" i="62"/>
  <c r="E10" i="59" l="1"/>
  <c r="D9" i="59"/>
  <c r="C2" i="59"/>
  <c r="C17" i="59" s="1"/>
  <c r="F36" i="59"/>
  <c r="AC23" i="60"/>
  <c r="A23" i="60" s="1"/>
  <c r="AC82" i="60"/>
  <c r="A82" i="60" s="1"/>
  <c r="AC24" i="60"/>
  <c r="A24" i="60" s="1"/>
  <c r="AC81" i="60"/>
  <c r="A81" i="60" s="1"/>
  <c r="AC69" i="60"/>
  <c r="A69" i="60" s="1"/>
  <c r="AC14" i="60"/>
  <c r="A14" i="60" s="1"/>
  <c r="AC72" i="60"/>
  <c r="A72" i="60" s="1"/>
  <c r="AC28" i="60"/>
  <c r="A28" i="60" s="1"/>
  <c r="AC52" i="60"/>
  <c r="A52" i="60" s="1"/>
  <c r="AC35" i="60"/>
  <c r="A35" i="60" s="1"/>
  <c r="AC8" i="60"/>
  <c r="A8" i="60" s="1"/>
  <c r="AC116" i="60"/>
  <c r="A116" i="60" s="1"/>
  <c r="AC20" i="60"/>
  <c r="A20" i="60" s="1"/>
  <c r="AC19" i="60"/>
  <c r="A19" i="60" s="1"/>
  <c r="AC89" i="60"/>
  <c r="A89" i="60" s="1"/>
  <c r="AC101" i="60"/>
  <c r="A101" i="60" s="1"/>
  <c r="AC38" i="60"/>
  <c r="A38" i="60" s="1"/>
  <c r="AC102" i="60"/>
  <c r="A102" i="60" s="1"/>
  <c r="AC107" i="60"/>
  <c r="A107" i="60" s="1"/>
  <c r="AC112" i="60"/>
  <c r="A112" i="60" s="1"/>
  <c r="AC47" i="60"/>
  <c r="A47" i="60" s="1"/>
  <c r="AC74" i="60"/>
  <c r="A74" i="60" s="1"/>
  <c r="AC108" i="60"/>
  <c r="A108" i="60" s="1"/>
  <c r="AC59" i="60"/>
  <c r="A59" i="60" s="1"/>
  <c r="AC93" i="60"/>
  <c r="A93" i="60" s="1"/>
  <c r="AC30" i="60"/>
  <c r="A30" i="60" s="1"/>
  <c r="AC123" i="60"/>
  <c r="A123" i="60" s="1"/>
  <c r="AC84" i="60"/>
  <c r="A84" i="60" s="1"/>
  <c r="AC85" i="60"/>
  <c r="A85" i="60" s="1"/>
  <c r="AC92" i="60"/>
  <c r="A92" i="60" s="1"/>
  <c r="AC99" i="60"/>
  <c r="A99" i="60" s="1"/>
  <c r="AC90" i="60"/>
  <c r="A90" i="60" s="1"/>
  <c r="AC110" i="60"/>
  <c r="A110" i="60" s="1"/>
  <c r="AC49" i="60"/>
  <c r="A49" i="60" s="1"/>
  <c r="AC44" i="60"/>
  <c r="A44" i="60" s="1"/>
  <c r="AC61" i="60"/>
  <c r="A61" i="60" s="1"/>
  <c r="AC51" i="60"/>
  <c r="A51" i="60" s="1"/>
  <c r="AC127" i="60"/>
  <c r="A127" i="60" s="1"/>
  <c r="A37" i="60"/>
  <c r="AC5" i="60"/>
  <c r="A5" i="60" s="1"/>
  <c r="AC91" i="60"/>
  <c r="A91" i="60" s="1"/>
  <c r="AC87" i="60"/>
  <c r="A87" i="60" s="1"/>
  <c r="AC100" i="60"/>
  <c r="A100" i="60" s="1"/>
  <c r="AC95" i="60"/>
  <c r="A95" i="60" s="1"/>
  <c r="AC70" i="60"/>
  <c r="A70" i="60" s="1"/>
  <c r="AC79" i="60"/>
  <c r="A79" i="60" s="1"/>
  <c r="AC65" i="60"/>
  <c r="A65" i="60" s="1"/>
  <c r="AC62" i="60"/>
  <c r="A62" i="60" s="1"/>
  <c r="AC71" i="60"/>
  <c r="A71" i="60" s="1"/>
  <c r="AC56" i="60"/>
  <c r="A56" i="60" s="1"/>
  <c r="AC54" i="60"/>
  <c r="A54" i="60" s="1"/>
  <c r="AC117" i="60"/>
  <c r="A117" i="60" s="1"/>
  <c r="AC36" i="60"/>
  <c r="A36" i="60" s="1"/>
  <c r="AC60" i="60"/>
  <c r="A60" i="60" s="1"/>
  <c r="AC111" i="60"/>
  <c r="A111" i="60" s="1"/>
  <c r="AC58" i="60"/>
  <c r="A58" i="60" s="1"/>
  <c r="AC106" i="60"/>
  <c r="A106" i="60" s="1"/>
  <c r="AC124" i="60"/>
  <c r="A124" i="60" s="1"/>
  <c r="AC98" i="60"/>
  <c r="A98" i="60" s="1"/>
  <c r="AC94" i="60"/>
  <c r="A94" i="60" s="1"/>
  <c r="AC125" i="60"/>
  <c r="A125" i="60" s="1"/>
  <c r="AC18" i="60"/>
  <c r="A18" i="60" s="1"/>
  <c r="AC53" i="60"/>
  <c r="A53" i="60" s="1"/>
  <c r="AC63" i="60"/>
  <c r="A63" i="60" s="1"/>
  <c r="AC48" i="60"/>
  <c r="A48" i="60" s="1"/>
  <c r="AC45" i="60"/>
  <c r="A45" i="60" s="1"/>
  <c r="AC50" i="60"/>
  <c r="A50" i="60" s="1"/>
  <c r="AC97" i="60"/>
  <c r="A97" i="60" s="1"/>
  <c r="AC43" i="60"/>
  <c r="A43" i="60" s="1"/>
  <c r="AC75" i="60"/>
  <c r="A75" i="60" s="1"/>
  <c r="AC105" i="60"/>
  <c r="A105" i="60" s="1"/>
  <c r="AC46" i="60"/>
  <c r="A46" i="60" s="1"/>
  <c r="AC3" i="60"/>
  <c r="A3" i="60" s="1"/>
  <c r="AC31" i="60"/>
  <c r="A31" i="60" s="1"/>
  <c r="AC15" i="60"/>
  <c r="A15" i="60" s="1"/>
  <c r="AC21" i="60"/>
  <c r="A21" i="60" s="1"/>
  <c r="AC16" i="60"/>
  <c r="A16" i="60" s="1"/>
  <c r="AC11" i="60"/>
  <c r="A11" i="60" s="1"/>
  <c r="A12" i="60"/>
  <c r="A4" i="60"/>
  <c r="AC29" i="60"/>
  <c r="A29" i="60" s="1"/>
  <c r="AC9" i="60"/>
  <c r="A9" i="60" s="1"/>
  <c r="C6" i="59"/>
  <c r="C12" i="59"/>
  <c r="C21" i="59"/>
  <c r="C27" i="59"/>
  <c r="C31" i="59"/>
  <c r="C3" i="59"/>
  <c r="C7" i="59"/>
  <c r="C13" i="59"/>
  <c r="C18" i="59"/>
  <c r="C22" i="59"/>
  <c r="C28" i="59"/>
  <c r="C32" i="59"/>
  <c r="C4" i="59"/>
  <c r="C8" i="59"/>
  <c r="C14" i="59"/>
  <c r="C19" i="59"/>
  <c r="C24" i="59"/>
  <c r="C29" i="59"/>
  <c r="C33" i="59"/>
  <c r="C5" i="59"/>
  <c r="C11" i="59"/>
  <c r="C15" i="59"/>
  <c r="C20" i="59"/>
  <c r="C25" i="59"/>
  <c r="C30" i="59"/>
  <c r="B4" i="59"/>
  <c r="B11" i="59"/>
  <c r="B17" i="59"/>
  <c r="B21" i="59"/>
  <c r="B27" i="59"/>
  <c r="B31" i="59"/>
  <c r="B6" i="59"/>
  <c r="B12" i="59"/>
  <c r="B18" i="59"/>
  <c r="B22" i="59"/>
  <c r="B28" i="59"/>
  <c r="B32" i="59"/>
  <c r="B7" i="59"/>
  <c r="B19" i="59"/>
  <c r="B24" i="59"/>
  <c r="B29" i="59"/>
  <c r="B33" i="59"/>
  <c r="B14" i="59"/>
  <c r="B3" i="59"/>
  <c r="B9" i="59"/>
  <c r="B15" i="59"/>
  <c r="B20" i="59"/>
  <c r="B25" i="59"/>
  <c r="B30" i="59"/>
  <c r="Z16" i="61"/>
  <c r="A16" i="61" s="1"/>
  <c r="Z31" i="61"/>
  <c r="A31" i="61" s="1"/>
  <c r="Z38" i="61"/>
  <c r="A38" i="61" s="1"/>
  <c r="Z39" i="61"/>
  <c r="A39" i="61" s="1"/>
  <c r="Z40" i="61"/>
  <c r="A40" i="61" s="1"/>
  <c r="C23" i="56"/>
  <c r="U35" i="61" s="1"/>
  <c r="C24" i="56"/>
  <c r="C22" i="56"/>
  <c r="X37" i="61"/>
  <c r="Q34" i="61"/>
  <c r="P27" i="61"/>
  <c r="O34" i="61"/>
  <c r="C15" i="56"/>
  <c r="C14" i="56"/>
  <c r="L37" i="61"/>
  <c r="K15" i="61"/>
  <c r="C10" i="56"/>
  <c r="C9" i="56"/>
  <c r="G14" i="61"/>
  <c r="C11" i="56"/>
  <c r="F2" i="61" s="1"/>
  <c r="C7" i="56"/>
  <c r="J10" i="61" s="1"/>
  <c r="J37" i="61" s="1"/>
  <c r="E37" i="61"/>
  <c r="E36" i="61"/>
  <c r="E34" i="61"/>
  <c r="E33" i="61"/>
  <c r="E32" i="61"/>
  <c r="E15" i="61"/>
  <c r="E14" i="61"/>
  <c r="E13" i="61"/>
  <c r="E12" i="61"/>
  <c r="E11" i="61"/>
  <c r="E10" i="61"/>
  <c r="E8" i="61"/>
  <c r="E7" i="61"/>
  <c r="E6" i="61"/>
  <c r="E5" i="61"/>
  <c r="E4" i="61"/>
  <c r="E3" i="61"/>
  <c r="D34" i="61"/>
  <c r="D33" i="61"/>
  <c r="D21" i="61"/>
  <c r="D20" i="61"/>
  <c r="D19" i="61"/>
  <c r="C37" i="61"/>
  <c r="C36" i="61"/>
  <c r="C35" i="61"/>
  <c r="C34" i="61"/>
  <c r="C33" i="61"/>
  <c r="C32" i="61"/>
  <c r="C27" i="61"/>
  <c r="C26" i="61"/>
  <c r="C25" i="61"/>
  <c r="C24" i="61"/>
  <c r="C22" i="61"/>
  <c r="C21" i="61"/>
  <c r="C20" i="61"/>
  <c r="C19" i="61"/>
  <c r="C18" i="61"/>
  <c r="C17" i="61"/>
  <c r="C15" i="61"/>
  <c r="C13" i="61"/>
  <c r="C12" i="61"/>
  <c r="C11" i="61"/>
  <c r="C10" i="61"/>
  <c r="C7" i="61"/>
  <c r="C4" i="61"/>
  <c r="C3" i="61"/>
  <c r="B35" i="61"/>
  <c r="B34" i="61"/>
  <c r="B33" i="61"/>
  <c r="B32" i="61"/>
  <c r="B23" i="61"/>
  <c r="C20" i="56"/>
  <c r="C21" i="56"/>
  <c r="C19" i="56"/>
  <c r="S12" i="61" s="1"/>
  <c r="C34" i="59" l="1"/>
  <c r="R2" i="61"/>
  <c r="R33" i="61" s="1"/>
  <c r="F34" i="61"/>
  <c r="N15" i="61"/>
  <c r="N34" i="61" s="1"/>
  <c r="N2" i="61"/>
  <c r="M6" i="61"/>
  <c r="M29" i="61" s="1"/>
  <c r="M2" i="61"/>
  <c r="O26" i="61"/>
  <c r="K4" i="61"/>
  <c r="I2" i="61"/>
  <c r="I9" i="61"/>
  <c r="I24" i="61" s="1"/>
  <c r="H2" i="61"/>
  <c r="H8" i="61"/>
  <c r="H32" i="61" s="1"/>
  <c r="S34" i="61"/>
  <c r="S14" i="61"/>
  <c r="R32" i="61"/>
  <c r="R7" i="61"/>
  <c r="R27" i="61"/>
  <c r="R3" i="61"/>
  <c r="R22" i="61"/>
  <c r="R11" i="61"/>
  <c r="T15" i="61"/>
  <c r="T25" i="61" s="1"/>
  <c r="J22" i="61"/>
  <c r="J25" i="61"/>
  <c r="O18" i="61"/>
  <c r="X35" i="61"/>
  <c r="G6" i="61"/>
  <c r="G15" i="61"/>
  <c r="L10" i="61"/>
  <c r="L34" i="61"/>
  <c r="Q35" i="61"/>
  <c r="J24" i="61"/>
  <c r="G3" i="61"/>
  <c r="G7" i="61"/>
  <c r="G12" i="61"/>
  <c r="K12" i="61"/>
  <c r="L3" i="61"/>
  <c r="L7" i="61"/>
  <c r="L11" i="61"/>
  <c r="L15" i="61"/>
  <c r="L35" i="61"/>
  <c r="O32" i="61"/>
  <c r="P19" i="61"/>
  <c r="Q13" i="61"/>
  <c r="Q20" i="61"/>
  <c r="R4" i="61"/>
  <c r="R8" i="61"/>
  <c r="R17" i="61"/>
  <c r="R23" i="61"/>
  <c r="R28" i="61"/>
  <c r="R36" i="61"/>
  <c r="S19" i="61"/>
  <c r="X36" i="61"/>
  <c r="L6" i="61"/>
  <c r="L14" i="61"/>
  <c r="G4" i="61"/>
  <c r="G8" i="61"/>
  <c r="G13" i="61"/>
  <c r="G36" i="61"/>
  <c r="K13" i="61"/>
  <c r="L4" i="61"/>
  <c r="L8" i="61"/>
  <c r="L12" i="61"/>
  <c r="L32" i="61"/>
  <c r="L36" i="61"/>
  <c r="O33" i="61"/>
  <c r="P20" i="61"/>
  <c r="Q14" i="61"/>
  <c r="Q30" i="61"/>
  <c r="R5" i="61"/>
  <c r="R9" i="61"/>
  <c r="R18" i="61"/>
  <c r="R24" i="61"/>
  <c r="R29" i="61"/>
  <c r="R37" i="61"/>
  <c r="S30" i="61"/>
  <c r="G11" i="61"/>
  <c r="Q19" i="61"/>
  <c r="G5" i="61"/>
  <c r="G9" i="61"/>
  <c r="K3" i="61"/>
  <c r="L5" i="61"/>
  <c r="L9" i="61"/>
  <c r="L13" i="61"/>
  <c r="L33" i="61"/>
  <c r="O23" i="61"/>
  <c r="Q15" i="61"/>
  <c r="R6" i="61"/>
  <c r="R10" i="61"/>
  <c r="R21" i="61"/>
  <c r="R26" i="61"/>
  <c r="S13" i="61"/>
  <c r="I26" i="61"/>
  <c r="W29" i="61"/>
  <c r="W33" i="61"/>
  <c r="W22" i="61"/>
  <c r="W19" i="61"/>
  <c r="W34" i="61"/>
  <c r="W8" i="61"/>
  <c r="W13" i="61"/>
  <c r="W28" i="61"/>
  <c r="W17" i="61"/>
  <c r="U5" i="61"/>
  <c r="U10" i="61"/>
  <c r="U15" i="61"/>
  <c r="U23" i="61"/>
  <c r="U28" i="61"/>
  <c r="U37" i="61"/>
  <c r="U3" i="61"/>
  <c r="U9" i="61"/>
  <c r="U14" i="61"/>
  <c r="U20" i="61"/>
  <c r="U27" i="61"/>
  <c r="U36" i="61"/>
  <c r="U6" i="61"/>
  <c r="U11" i="61"/>
  <c r="U18" i="61"/>
  <c r="U24" i="61"/>
  <c r="U32" i="61"/>
  <c r="U7" i="61"/>
  <c r="U13" i="61"/>
  <c r="U19" i="61"/>
  <c r="U25" i="61"/>
  <c r="U33" i="61"/>
  <c r="U29" i="61"/>
  <c r="U34" i="61"/>
  <c r="U4" i="61"/>
  <c r="U8" i="61"/>
  <c r="U12" i="61"/>
  <c r="U17" i="61"/>
  <c r="U21" i="61"/>
  <c r="U26" i="61"/>
  <c r="U30" i="61"/>
  <c r="F6" i="61"/>
  <c r="F15" i="61"/>
  <c r="F26" i="61"/>
  <c r="F35" i="61"/>
  <c r="F7" i="61"/>
  <c r="F27" i="61"/>
  <c r="F36" i="61"/>
  <c r="F4" i="61"/>
  <c r="F8" i="61"/>
  <c r="F13" i="61"/>
  <c r="F17" i="61"/>
  <c r="F21" i="61"/>
  <c r="F28" i="61"/>
  <c r="F33" i="61"/>
  <c r="F11" i="61"/>
  <c r="F19" i="61"/>
  <c r="F30" i="61"/>
  <c r="F3" i="61"/>
  <c r="F12" i="61"/>
  <c r="F20" i="61"/>
  <c r="F32" i="61"/>
  <c r="F5" i="61"/>
  <c r="F9" i="61"/>
  <c r="F14" i="61"/>
  <c r="F18" i="61"/>
  <c r="F23" i="61"/>
  <c r="F29" i="61"/>
  <c r="A16" i="59"/>
  <c r="A23" i="59"/>
  <c r="A26" i="59"/>
  <c r="A35" i="59"/>
  <c r="A37" i="59"/>
  <c r="A38" i="59"/>
  <c r="A39" i="59"/>
  <c r="Z2" i="61" l="1"/>
  <c r="A2" i="61" s="1"/>
  <c r="N33" i="61"/>
  <c r="N26" i="61"/>
  <c r="N22" i="61"/>
  <c r="N18" i="61"/>
  <c r="N17" i="61"/>
  <c r="N37" i="61"/>
  <c r="N24" i="61"/>
  <c r="N23" i="61"/>
  <c r="N32" i="61"/>
  <c r="N25" i="61"/>
  <c r="N21" i="61"/>
  <c r="N20" i="61"/>
  <c r="N27" i="61"/>
  <c r="N29" i="61"/>
  <c r="N36" i="61"/>
  <c r="N19" i="61"/>
  <c r="M35" i="61"/>
  <c r="M30" i="61"/>
  <c r="M25" i="61"/>
  <c r="M21" i="61"/>
  <c r="M17" i="61"/>
  <c r="M12" i="61"/>
  <c r="M8" i="61"/>
  <c r="M3" i="61"/>
  <c r="M33" i="61"/>
  <c r="M23" i="61"/>
  <c r="M14" i="61"/>
  <c r="M5" i="61"/>
  <c r="M32" i="61"/>
  <c r="M26" i="61"/>
  <c r="M18" i="61"/>
  <c r="M9" i="61"/>
  <c r="M34" i="61"/>
  <c r="M28" i="61"/>
  <c r="M24" i="61"/>
  <c r="M20" i="61"/>
  <c r="M15" i="61"/>
  <c r="M11" i="61"/>
  <c r="M7" i="61"/>
  <c r="M37" i="61"/>
  <c r="M27" i="61"/>
  <c r="M19" i="61"/>
  <c r="M10" i="61"/>
  <c r="M36" i="61"/>
  <c r="M22" i="61"/>
  <c r="M13" i="61"/>
  <c r="M4" i="61"/>
  <c r="N14" i="61"/>
  <c r="N10" i="61"/>
  <c r="N6" i="61"/>
  <c r="N8" i="61"/>
  <c r="N11" i="61"/>
  <c r="N3" i="61"/>
  <c r="N13" i="61"/>
  <c r="N9" i="61"/>
  <c r="N5" i="61"/>
  <c r="N12" i="61"/>
  <c r="N4" i="61"/>
  <c r="N7" i="61"/>
  <c r="N28" i="61"/>
  <c r="N35" i="61"/>
  <c r="N30" i="61"/>
  <c r="H37" i="61"/>
  <c r="H33" i="61"/>
  <c r="H27" i="61"/>
  <c r="H23" i="61"/>
  <c r="H19" i="61"/>
  <c r="H14" i="61"/>
  <c r="H10" i="61"/>
  <c r="H5" i="61"/>
  <c r="H36" i="61"/>
  <c r="H30" i="61"/>
  <c r="H26" i="61"/>
  <c r="H22" i="61"/>
  <c r="H18" i="61"/>
  <c r="H13" i="61"/>
  <c r="H9" i="61"/>
  <c r="H4" i="61"/>
  <c r="H28" i="61"/>
  <c r="H15" i="61"/>
  <c r="H6" i="61"/>
  <c r="H35" i="61"/>
  <c r="H29" i="61"/>
  <c r="H25" i="61"/>
  <c r="H21" i="61"/>
  <c r="H17" i="61"/>
  <c r="H12" i="61"/>
  <c r="H7" i="61"/>
  <c r="H3" i="61"/>
  <c r="H34" i="61"/>
  <c r="H24" i="61"/>
  <c r="Z24" i="61" s="1"/>
  <c r="A24" i="61" s="1"/>
  <c r="H20" i="61"/>
  <c r="H11" i="61"/>
  <c r="I25" i="61"/>
  <c r="I37" i="61"/>
  <c r="I33" i="61"/>
  <c r="I28" i="61"/>
  <c r="I20" i="61"/>
  <c r="I12" i="61"/>
  <c r="I7" i="61"/>
  <c r="I3" i="61"/>
  <c r="I17" i="61"/>
  <c r="I36" i="61"/>
  <c r="I32" i="61"/>
  <c r="I27" i="61"/>
  <c r="I19" i="61"/>
  <c r="I15" i="61"/>
  <c r="I11" i="61"/>
  <c r="I6" i="61"/>
  <c r="I29" i="61"/>
  <c r="I13" i="61"/>
  <c r="I4" i="61"/>
  <c r="I35" i="61"/>
  <c r="I30" i="61"/>
  <c r="I22" i="61"/>
  <c r="I18" i="61"/>
  <c r="I14" i="61"/>
  <c r="I10" i="61"/>
  <c r="I5" i="61"/>
  <c r="I34" i="61"/>
  <c r="I21" i="61"/>
  <c r="I8" i="61"/>
  <c r="I23" i="61"/>
  <c r="Z23" i="61" s="1"/>
  <c r="A23" i="61" s="1"/>
  <c r="Z32" i="61"/>
  <c r="A32" i="61" s="1"/>
  <c r="T35" i="61"/>
  <c r="T20" i="61"/>
  <c r="Z8" i="61"/>
  <c r="A8" i="61" s="1"/>
  <c r="V12" i="61"/>
  <c r="V19" i="61"/>
  <c r="V20" i="61"/>
  <c r="V27" i="61"/>
  <c r="V34" i="61"/>
  <c r="Z34" i="61" s="1"/>
  <c r="A34" i="61" s="1"/>
  <c r="V18" i="61"/>
  <c r="V15" i="61"/>
  <c r="V17" i="61"/>
  <c r="V4" i="61"/>
  <c r="V9" i="61"/>
  <c r="V33" i="61"/>
  <c r="Z33" i="61" s="1"/>
  <c r="A33" i="61" s="1"/>
  <c r="AF59" i="58"/>
  <c r="A59" i="58" s="1"/>
  <c r="AF62" i="58"/>
  <c r="A62" i="58" s="1"/>
  <c r="AF89" i="58"/>
  <c r="A89" i="58" s="1"/>
  <c r="AF107" i="58"/>
  <c r="A107" i="58" s="1"/>
  <c r="AF108" i="58"/>
  <c r="A108" i="58" s="1"/>
  <c r="AF109" i="58"/>
  <c r="A109" i="58" s="1"/>
  <c r="AE99" i="58"/>
  <c r="AD65" i="58"/>
  <c r="AB37" i="58"/>
  <c r="AB98" i="58"/>
  <c r="AA41" i="58"/>
  <c r="Z29" i="61" l="1"/>
  <c r="A29" i="61" s="1"/>
  <c r="Z28" i="61"/>
  <c r="A28" i="61" s="1"/>
  <c r="Z20" i="61"/>
  <c r="A20" i="61" s="1"/>
  <c r="Z3" i="61"/>
  <c r="A3" i="61" s="1"/>
  <c r="Z12" i="61"/>
  <c r="A12" i="61" s="1"/>
  <c r="Z25" i="61"/>
  <c r="A25" i="61" s="1"/>
  <c r="Z4" i="61"/>
  <c r="A4" i="61" s="1"/>
  <c r="Z17" i="61"/>
  <c r="A17" i="61" s="1"/>
  <c r="Z22" i="61"/>
  <c r="A22" i="61" s="1"/>
  <c r="Z26" i="61"/>
  <c r="A26" i="61" s="1"/>
  <c r="Z35" i="61"/>
  <c r="A35" i="61" s="1"/>
  <c r="Z5" i="61"/>
  <c r="A5" i="61" s="1"/>
  <c r="Z13" i="61"/>
  <c r="A13" i="61" s="1"/>
  <c r="Z37" i="61"/>
  <c r="A37" i="61" s="1"/>
  <c r="Z30" i="61"/>
  <c r="A30" i="61" s="1"/>
  <c r="Z27" i="61"/>
  <c r="A27" i="61" s="1"/>
  <c r="Z36" i="61"/>
  <c r="A36" i="61" s="1"/>
  <c r="Z18" i="61"/>
  <c r="A18" i="61" s="1"/>
  <c r="Z19" i="61"/>
  <c r="A19" i="61" s="1"/>
  <c r="Z9" i="61"/>
  <c r="A9" i="61" s="1"/>
  <c r="Z11" i="61"/>
  <c r="A11" i="61" s="1"/>
  <c r="Z6" i="61"/>
  <c r="A6" i="61" s="1"/>
  <c r="Z14" i="61"/>
  <c r="A14" i="61" s="1"/>
  <c r="Z7" i="61"/>
  <c r="A7" i="61" s="1"/>
  <c r="Z15" i="61"/>
  <c r="A15" i="61" s="1"/>
  <c r="Z10" i="61"/>
  <c r="A10" i="61" s="1"/>
  <c r="Z21" i="61"/>
  <c r="A21" i="61" s="1"/>
  <c r="AE77" i="58"/>
  <c r="AA75" i="58"/>
  <c r="AA34" i="58"/>
  <c r="AB23" i="58"/>
  <c r="AB76" i="58"/>
  <c r="AD48" i="58"/>
  <c r="AE94" i="58"/>
  <c r="AA33" i="58"/>
  <c r="AB41" i="58"/>
  <c r="AA38" i="58"/>
  <c r="AB33" i="58"/>
  <c r="AB99" i="58"/>
  <c r="AD49" i="58"/>
  <c r="AA35" i="58"/>
  <c r="AA39" i="58"/>
  <c r="AA76" i="58"/>
  <c r="AB24" i="58"/>
  <c r="AB34" i="58"/>
  <c r="AB38" i="58"/>
  <c r="AB94" i="58"/>
  <c r="AD50" i="58"/>
  <c r="AE81" i="58"/>
  <c r="AE97" i="58"/>
  <c r="AA32" i="58"/>
  <c r="AA36" i="58"/>
  <c r="AA40" i="58"/>
  <c r="AA106" i="58"/>
  <c r="AB25" i="58"/>
  <c r="AB35" i="58"/>
  <c r="AB39" i="58"/>
  <c r="AB73" i="58"/>
  <c r="AB97" i="58"/>
  <c r="AE91" i="58"/>
  <c r="AE98" i="58"/>
  <c r="AA37" i="58"/>
  <c r="AB26" i="58"/>
  <c r="AB36" i="58"/>
  <c r="AB40" i="58"/>
  <c r="AB75" i="58"/>
  <c r="AE92" i="58"/>
  <c r="V2" i="58"/>
  <c r="V77" i="58" s="1"/>
  <c r="C8" i="55"/>
  <c r="C9" i="55"/>
  <c r="C10" i="55"/>
  <c r="C11" i="55"/>
  <c r="C7" i="55"/>
  <c r="Y4" i="58" s="1"/>
  <c r="Y84" i="58" s="1"/>
  <c r="Z105" i="58"/>
  <c r="C31" i="55"/>
  <c r="S3" i="58" s="1"/>
  <c r="S106" i="58" s="1"/>
  <c r="C30" i="55"/>
  <c r="R2" i="58" s="1"/>
  <c r="Q100" i="58"/>
  <c r="P105" i="58"/>
  <c r="C29" i="55"/>
  <c r="O7" i="58" s="1"/>
  <c r="O81" i="58" s="1"/>
  <c r="C28" i="55"/>
  <c r="N2" i="58" s="1"/>
  <c r="N99" i="58" s="1"/>
  <c r="I80" i="58"/>
  <c r="C5" i="55"/>
  <c r="C4" i="55"/>
  <c r="C3" i="55"/>
  <c r="C27" i="55"/>
  <c r="C24" i="55"/>
  <c r="U8" i="58" l="1"/>
  <c r="U100" i="58" s="1"/>
  <c r="W9" i="58"/>
  <c r="W104" i="58" s="1"/>
  <c r="X3" i="58"/>
  <c r="X97" i="58" s="1"/>
  <c r="U27" i="58"/>
  <c r="U80" i="58"/>
  <c r="W52" i="58"/>
  <c r="V48" i="58"/>
  <c r="V56" i="58"/>
  <c r="U35" i="58"/>
  <c r="U102" i="58"/>
  <c r="W83" i="58"/>
  <c r="U10" i="58"/>
  <c r="U39" i="58"/>
  <c r="W13" i="58"/>
  <c r="W106" i="58"/>
  <c r="U21" i="58"/>
  <c r="U73" i="58"/>
  <c r="W31" i="58"/>
  <c r="Y16" i="58"/>
  <c r="X94" i="58"/>
  <c r="V51" i="58"/>
  <c r="V60" i="58"/>
  <c r="U17" i="58"/>
  <c r="U22" i="58"/>
  <c r="U28" i="58"/>
  <c r="U36" i="58"/>
  <c r="U40" i="58"/>
  <c r="U76" i="58"/>
  <c r="U85" i="58"/>
  <c r="U105" i="58"/>
  <c r="W15" i="58"/>
  <c r="W32" i="58"/>
  <c r="W54" i="58"/>
  <c r="W87" i="58"/>
  <c r="X20" i="58"/>
  <c r="X58" i="58"/>
  <c r="X81" i="58"/>
  <c r="X95" i="58"/>
  <c r="X99" i="58"/>
  <c r="Y25" i="58"/>
  <c r="X98" i="58"/>
  <c r="V5" i="58"/>
  <c r="V52" i="58"/>
  <c r="V69" i="58"/>
  <c r="U18" i="58"/>
  <c r="U23" i="58"/>
  <c r="U33" i="58"/>
  <c r="U37" i="58"/>
  <c r="U41" i="58"/>
  <c r="U78" i="58"/>
  <c r="U86" i="58"/>
  <c r="W11" i="58"/>
  <c r="W26" i="58"/>
  <c r="W47" i="58"/>
  <c r="W57" i="58"/>
  <c r="W101" i="58"/>
  <c r="X43" i="58"/>
  <c r="X61" i="58"/>
  <c r="X82" i="58"/>
  <c r="X96" i="58"/>
  <c r="Y7" i="58"/>
  <c r="Y72" i="58"/>
  <c r="X55" i="58"/>
  <c r="V6" i="58"/>
  <c r="V53" i="58"/>
  <c r="U19" i="58"/>
  <c r="U24" i="58"/>
  <c r="U34" i="58"/>
  <c r="U38" i="58"/>
  <c r="U70" i="58"/>
  <c r="U79" i="58"/>
  <c r="W12" i="58"/>
  <c r="W29" i="58"/>
  <c r="W49" i="58"/>
  <c r="W75" i="58"/>
  <c r="X50" i="58"/>
  <c r="X68" i="58"/>
  <c r="X93" i="58"/>
  <c r="Y14" i="58"/>
  <c r="Z70" i="58"/>
  <c r="Z78" i="58"/>
  <c r="K2" i="58"/>
  <c r="K96" i="58" s="1"/>
  <c r="R100" i="58"/>
  <c r="R13" i="58"/>
  <c r="S65" i="58"/>
  <c r="P10" i="58"/>
  <c r="S12" i="58"/>
  <c r="S86" i="58"/>
  <c r="S47" i="58"/>
  <c r="J11" i="58"/>
  <c r="J87" i="58" s="1"/>
  <c r="L7" i="58"/>
  <c r="L101" i="58" s="1"/>
  <c r="S31" i="58"/>
  <c r="N96" i="58"/>
  <c r="O47" i="58"/>
  <c r="P64" i="58"/>
  <c r="N6" i="58"/>
  <c r="N105" i="58"/>
  <c r="O77" i="58"/>
  <c r="P24" i="58"/>
  <c r="P68" i="58"/>
  <c r="P99" i="58"/>
  <c r="R70" i="58"/>
  <c r="S17" i="58"/>
  <c r="S35" i="58"/>
  <c r="S51" i="58"/>
  <c r="S73" i="58"/>
  <c r="S96" i="58"/>
  <c r="P95" i="58"/>
  <c r="N71" i="58"/>
  <c r="O11" i="58"/>
  <c r="P44" i="58"/>
  <c r="P83" i="58"/>
  <c r="S22" i="58"/>
  <c r="S39" i="58"/>
  <c r="S55" i="58"/>
  <c r="S77" i="58"/>
  <c r="S101" i="58"/>
  <c r="N92" i="58"/>
  <c r="O27" i="58"/>
  <c r="P50" i="58"/>
  <c r="P87" i="58"/>
  <c r="S8" i="58"/>
  <c r="S27" i="58"/>
  <c r="S43" i="58"/>
  <c r="S60" i="58"/>
  <c r="S82" i="58"/>
  <c r="M94" i="58"/>
  <c r="M84" i="58"/>
  <c r="M76" i="58"/>
  <c r="M56" i="58"/>
  <c r="M40" i="58"/>
  <c r="M36" i="58"/>
  <c r="M32" i="58"/>
  <c r="M26" i="58"/>
  <c r="M22" i="58"/>
  <c r="M10" i="58"/>
  <c r="M93" i="58"/>
  <c r="M83" i="58"/>
  <c r="M68" i="58"/>
  <c r="M44" i="58"/>
  <c r="M39" i="58"/>
  <c r="M35" i="58"/>
  <c r="M31" i="58"/>
  <c r="M25" i="58"/>
  <c r="M20" i="58"/>
  <c r="M9" i="58"/>
  <c r="M87" i="58"/>
  <c r="M82" i="58"/>
  <c r="M58" i="58"/>
  <c r="M43" i="58"/>
  <c r="M38" i="58"/>
  <c r="M34" i="58"/>
  <c r="M28" i="58"/>
  <c r="M24" i="58"/>
  <c r="M19" i="58"/>
  <c r="M8" i="58"/>
  <c r="M79" i="58"/>
  <c r="I60" i="58"/>
  <c r="I82" i="58"/>
  <c r="L79" i="58"/>
  <c r="O15" i="58"/>
  <c r="O31" i="58"/>
  <c r="O51" i="58"/>
  <c r="M18" i="58"/>
  <c r="M37" i="58"/>
  <c r="M86" i="58"/>
  <c r="T96" i="58"/>
  <c r="T71" i="58"/>
  <c r="T5" i="58"/>
  <c r="T92" i="58"/>
  <c r="T70" i="58"/>
  <c r="T4" i="58"/>
  <c r="T91" i="58"/>
  <c r="T69" i="58"/>
  <c r="T3" i="58"/>
  <c r="I81" i="58"/>
  <c r="I61" i="58"/>
  <c r="O106" i="58"/>
  <c r="O100" i="58"/>
  <c r="O84" i="58"/>
  <c r="O80" i="58"/>
  <c r="O76" i="58"/>
  <c r="O58" i="58"/>
  <c r="O54" i="58"/>
  <c r="O50" i="58"/>
  <c r="O43" i="58"/>
  <c r="O38" i="58"/>
  <c r="O34" i="58"/>
  <c r="O30" i="58"/>
  <c r="O26" i="58"/>
  <c r="O22" i="58"/>
  <c r="O18" i="58"/>
  <c r="O14" i="58"/>
  <c r="O10" i="58"/>
  <c r="O104" i="58"/>
  <c r="O87" i="58"/>
  <c r="O83" i="58"/>
  <c r="O79" i="58"/>
  <c r="O75" i="58"/>
  <c r="O57" i="58"/>
  <c r="O53" i="58"/>
  <c r="O49" i="58"/>
  <c r="O41" i="58"/>
  <c r="O37" i="58"/>
  <c r="O33" i="58"/>
  <c r="O29" i="58"/>
  <c r="O25" i="58"/>
  <c r="O21" i="58"/>
  <c r="O17" i="58"/>
  <c r="O13" i="58"/>
  <c r="O9" i="58"/>
  <c r="O102" i="58"/>
  <c r="O86" i="58"/>
  <c r="O82" i="58"/>
  <c r="O78" i="58"/>
  <c r="O73" i="58"/>
  <c r="O56" i="58"/>
  <c r="O52" i="58"/>
  <c r="O48" i="58"/>
  <c r="O40" i="58"/>
  <c r="O36" i="58"/>
  <c r="O32" i="58"/>
  <c r="O28" i="58"/>
  <c r="O24" i="58"/>
  <c r="O20" i="58"/>
  <c r="O16" i="58"/>
  <c r="O12" i="58"/>
  <c r="O8" i="58"/>
  <c r="O19" i="58"/>
  <c r="O35" i="58"/>
  <c r="O55" i="58"/>
  <c r="O85" i="58"/>
  <c r="M23" i="58"/>
  <c r="M41" i="58"/>
  <c r="M95" i="58"/>
  <c r="Q45" i="58"/>
  <c r="Q14" i="58"/>
  <c r="Q30" i="58"/>
  <c r="Q13" i="58"/>
  <c r="Q105" i="58"/>
  <c r="Q16" i="58"/>
  <c r="Q12" i="58"/>
  <c r="T6" i="58"/>
  <c r="L97" i="58"/>
  <c r="M33" i="58"/>
  <c r="O23" i="58"/>
  <c r="O39" i="58"/>
  <c r="O68" i="58"/>
  <c r="O101" i="58"/>
  <c r="M27" i="58"/>
  <c r="M57" i="58"/>
  <c r="Q15" i="58"/>
  <c r="R92" i="58"/>
  <c r="R85" i="58"/>
  <c r="R69" i="58"/>
  <c r="R6" i="58"/>
  <c r="R91" i="58"/>
  <c r="R72" i="58"/>
  <c r="R24" i="58"/>
  <c r="R5" i="58"/>
  <c r="R104" i="58"/>
  <c r="R90" i="58"/>
  <c r="R71" i="58"/>
  <c r="R19" i="58"/>
  <c r="R87" i="58"/>
  <c r="T72" i="58"/>
  <c r="N3" i="58"/>
  <c r="N67" i="58"/>
  <c r="N72" i="58"/>
  <c r="N93" i="58"/>
  <c r="N97" i="58"/>
  <c r="P17" i="58"/>
  <c r="P25" i="58"/>
  <c r="P47" i="58"/>
  <c r="P60" i="58"/>
  <c r="P65" i="58"/>
  <c r="P74" i="58"/>
  <c r="P84" i="58"/>
  <c r="P90" i="58"/>
  <c r="P96" i="58"/>
  <c r="P100" i="58"/>
  <c r="S9" i="58"/>
  <c r="S14" i="58"/>
  <c r="S18" i="58"/>
  <c r="S23" i="58"/>
  <c r="S28" i="58"/>
  <c r="S32" i="58"/>
  <c r="S36" i="58"/>
  <c r="S40" i="58"/>
  <c r="S44" i="58"/>
  <c r="S48" i="58"/>
  <c r="S52" i="58"/>
  <c r="S56" i="58"/>
  <c r="S61" i="58"/>
  <c r="S66" i="58"/>
  <c r="S74" i="58"/>
  <c r="S79" i="58"/>
  <c r="S83" i="58"/>
  <c r="S93" i="58"/>
  <c r="S97" i="58"/>
  <c r="S102" i="58"/>
  <c r="N4" i="58"/>
  <c r="N69" i="58"/>
  <c r="N74" i="58"/>
  <c r="N94" i="58"/>
  <c r="N98" i="58"/>
  <c r="P8" i="58"/>
  <c r="P22" i="58"/>
  <c r="P26" i="58"/>
  <c r="P48" i="58"/>
  <c r="P61" i="58"/>
  <c r="P66" i="58"/>
  <c r="P80" i="58"/>
  <c r="P85" i="58"/>
  <c r="P93" i="58"/>
  <c r="P97" i="58"/>
  <c r="P101" i="58"/>
  <c r="S4" i="58"/>
  <c r="S10" i="58"/>
  <c r="S15" i="58"/>
  <c r="S20" i="58"/>
  <c r="S25" i="58"/>
  <c r="S29" i="58"/>
  <c r="S33" i="58"/>
  <c r="S37" i="58"/>
  <c r="S41" i="58"/>
  <c r="S45" i="58"/>
  <c r="S49" i="58"/>
  <c r="S53" i="58"/>
  <c r="S57" i="58"/>
  <c r="S63" i="58"/>
  <c r="S67" i="58"/>
  <c r="S75" i="58"/>
  <c r="S80" i="58"/>
  <c r="S84" i="58"/>
  <c r="S94" i="58"/>
  <c r="S98" i="58"/>
  <c r="S105" i="58"/>
  <c r="N5" i="58"/>
  <c r="N70" i="58"/>
  <c r="N91" i="58"/>
  <c r="N95" i="58"/>
  <c r="P9" i="58"/>
  <c r="P23" i="58"/>
  <c r="P29" i="58"/>
  <c r="P49" i="58"/>
  <c r="P63" i="58"/>
  <c r="P67" i="58"/>
  <c r="P81" i="58"/>
  <c r="P86" i="58"/>
  <c r="P94" i="58"/>
  <c r="P98" i="58"/>
  <c r="S7" i="58"/>
  <c r="S11" i="58"/>
  <c r="S16" i="58"/>
  <c r="S21" i="58"/>
  <c r="S26" i="58"/>
  <c r="S30" i="58"/>
  <c r="S34" i="58"/>
  <c r="S38" i="58"/>
  <c r="S42" i="58"/>
  <c r="S46" i="58"/>
  <c r="S50" i="58"/>
  <c r="S54" i="58"/>
  <c r="S58" i="58"/>
  <c r="S64" i="58"/>
  <c r="S68" i="58"/>
  <c r="S76" i="58"/>
  <c r="S81" i="58"/>
  <c r="S85" i="58"/>
  <c r="S95" i="58"/>
  <c r="S99" i="58"/>
  <c r="G27" i="59"/>
  <c r="C26" i="62"/>
  <c r="C27" i="62"/>
  <c r="C28" i="62"/>
  <c r="C25" i="62"/>
  <c r="C4" i="62"/>
  <c r="C3" i="62"/>
  <c r="H2" i="59" s="1"/>
  <c r="C22" i="55"/>
  <c r="C23" i="55"/>
  <c r="C25" i="55"/>
  <c r="C26" i="55"/>
  <c r="C21" i="55"/>
  <c r="X71" i="58" l="1"/>
  <c r="H21" i="59"/>
  <c r="H12" i="59"/>
  <c r="H4" i="59"/>
  <c r="H9" i="59"/>
  <c r="H15" i="59"/>
  <c r="H24" i="59"/>
  <c r="H6" i="59"/>
  <c r="H22" i="59"/>
  <c r="H20" i="59"/>
  <c r="H11" i="59"/>
  <c r="H3" i="59"/>
  <c r="H18" i="59"/>
  <c r="H8" i="59"/>
  <c r="H25" i="59"/>
  <c r="AD25" i="59" s="1"/>
  <c r="A25" i="59" s="1"/>
  <c r="H19" i="59"/>
  <c r="H10" i="59"/>
  <c r="H17" i="59"/>
  <c r="H7" i="59"/>
  <c r="H14" i="59"/>
  <c r="H5" i="59"/>
  <c r="H36" i="59"/>
  <c r="H13" i="59"/>
  <c r="AD13" i="59" s="1"/>
  <c r="A13" i="59" s="1"/>
  <c r="X2" i="59"/>
  <c r="Y13" i="59"/>
  <c r="Z25" i="59"/>
  <c r="AA14" i="59"/>
  <c r="G34" i="59"/>
  <c r="L9" i="58"/>
  <c r="K92" i="58"/>
  <c r="K43" i="58"/>
  <c r="J41" i="58"/>
  <c r="J36" i="58"/>
  <c r="K106" i="58"/>
  <c r="J71" i="58"/>
  <c r="K19" i="58"/>
  <c r="K42" i="58"/>
  <c r="J29" i="58"/>
  <c r="J53" i="58"/>
  <c r="J68" i="58"/>
  <c r="K104" i="58"/>
  <c r="J13" i="58"/>
  <c r="K5" i="58"/>
  <c r="K103" i="58"/>
  <c r="J22" i="58"/>
  <c r="J47" i="58"/>
  <c r="J48" i="58"/>
  <c r="K61" i="58"/>
  <c r="K31" i="58"/>
  <c r="K6" i="58"/>
  <c r="K3" i="58"/>
  <c r="K74" i="58"/>
  <c r="K4" i="58"/>
  <c r="K82" i="58"/>
  <c r="K98" i="58"/>
  <c r="J40" i="58"/>
  <c r="J26" i="58"/>
  <c r="J50" i="58"/>
  <c r="J80" i="58"/>
  <c r="J76" i="58"/>
  <c r="J55" i="58"/>
  <c r="J49" i="58"/>
  <c r="J27" i="58"/>
  <c r="J14" i="58"/>
  <c r="J69" i="58"/>
  <c r="K94" i="58"/>
  <c r="K83" i="58"/>
  <c r="K32" i="58"/>
  <c r="K15" i="58"/>
  <c r="K85" i="58"/>
  <c r="K16" i="58"/>
  <c r="K91" i="58"/>
  <c r="K105" i="58"/>
  <c r="J70" i="58"/>
  <c r="J33" i="58"/>
  <c r="J54" i="58"/>
  <c r="J100" i="58"/>
  <c r="J23" i="58"/>
  <c r="J72" i="58"/>
  <c r="J57" i="58"/>
  <c r="J38" i="58"/>
  <c r="J24" i="58"/>
  <c r="J73" i="58"/>
  <c r="K18" i="58"/>
  <c r="K60" i="58"/>
  <c r="K102" i="58"/>
  <c r="K84" i="58"/>
  <c r="K20" i="58"/>
  <c r="K95" i="58"/>
  <c r="K30" i="58"/>
  <c r="J21" i="58"/>
  <c r="J12" i="58"/>
  <c r="J37" i="58"/>
  <c r="J58" i="58"/>
  <c r="J25" i="58"/>
  <c r="J34" i="58"/>
  <c r="J81" i="58"/>
  <c r="J99" i="58"/>
  <c r="J51" i="58"/>
  <c r="J39" i="58"/>
  <c r="J88" i="58"/>
  <c r="L77" i="58"/>
  <c r="L8" i="58"/>
  <c r="L93" i="58"/>
  <c r="J28" i="58"/>
  <c r="J52" i="58"/>
  <c r="J86" i="58"/>
  <c r="L75" i="58"/>
  <c r="L78" i="58"/>
  <c r="J35" i="58"/>
  <c r="J56" i="58"/>
  <c r="L90" i="58"/>
  <c r="L10" i="58"/>
  <c r="L17" i="58"/>
  <c r="G42" i="58"/>
  <c r="H63" i="58"/>
  <c r="AF63" i="58" s="1"/>
  <c r="A63" i="58" s="1"/>
  <c r="C60" i="58"/>
  <c r="F56" i="58"/>
  <c r="B2" i="58"/>
  <c r="AF2" i="58" s="1"/>
  <c r="A2" i="58" s="1"/>
  <c r="E51" i="58"/>
  <c r="AF51" i="58" s="1"/>
  <c r="A51" i="58" s="1"/>
  <c r="D47" i="58"/>
  <c r="G33" i="59"/>
  <c r="G31" i="59"/>
  <c r="G28" i="59"/>
  <c r="G32" i="59"/>
  <c r="G29" i="59"/>
  <c r="G30" i="59"/>
  <c r="L29" i="31"/>
  <c r="A29" i="31" s="1"/>
  <c r="L30" i="31"/>
  <c r="A30" i="31" s="1"/>
  <c r="L31" i="31"/>
  <c r="A31" i="31" s="1"/>
  <c r="L32" i="31"/>
  <c r="A32" i="31" s="1"/>
  <c r="X19" i="59" l="1"/>
  <c r="X8" i="59"/>
  <c r="X22" i="59"/>
  <c r="X36" i="59"/>
  <c r="X18" i="59"/>
  <c r="X7" i="59"/>
  <c r="X24" i="59"/>
  <c r="AD24" i="59" s="1"/>
  <c r="A24" i="59" s="1"/>
  <c r="X11" i="59"/>
  <c r="AD11" i="59" s="1"/>
  <c r="A11" i="59" s="1"/>
  <c r="X21" i="59"/>
  <c r="X9" i="59"/>
  <c r="X29" i="59"/>
  <c r="X17" i="59"/>
  <c r="X6" i="59"/>
  <c r="X4" i="59"/>
  <c r="X3" i="59"/>
  <c r="AD3" i="59" s="1"/>
  <c r="A3" i="59" s="1"/>
  <c r="X20" i="59"/>
  <c r="AD20" i="59" s="1"/>
  <c r="A20" i="59" s="1"/>
  <c r="X27" i="59"/>
  <c r="AD27" i="59" s="1"/>
  <c r="A27" i="59" s="1"/>
  <c r="X15" i="59"/>
  <c r="X5" i="59"/>
  <c r="X12" i="59"/>
  <c r="X10" i="59"/>
  <c r="AD10" i="59"/>
  <c r="A10" i="59" s="1"/>
  <c r="AD36" i="59"/>
  <c r="A36" i="59" s="1"/>
  <c r="AD8" i="59"/>
  <c r="A8" i="59" s="1"/>
  <c r="AD15" i="59"/>
  <c r="A15" i="59" s="1"/>
  <c r="AD19" i="59"/>
  <c r="A19" i="59" s="1"/>
  <c r="AD5" i="59"/>
  <c r="A5" i="59" s="1"/>
  <c r="AD18" i="59"/>
  <c r="A18" i="59" s="1"/>
  <c r="AD9" i="59"/>
  <c r="A9" i="59" s="1"/>
  <c r="AD29" i="59"/>
  <c r="A29" i="59" s="1"/>
  <c r="AD32" i="59"/>
  <c r="A32" i="59" s="1"/>
  <c r="AD2" i="59"/>
  <c r="A2" i="59" s="1"/>
  <c r="Z34" i="59"/>
  <c r="AD34" i="59" s="1"/>
  <c r="A34" i="59" s="1"/>
  <c r="Z33" i="59"/>
  <c r="AD33" i="59" s="1"/>
  <c r="A33" i="59" s="1"/>
  <c r="Z32" i="59"/>
  <c r="AD14" i="59"/>
  <c r="A14" i="59" s="1"/>
  <c r="AD4" i="59"/>
  <c r="A4" i="59" s="1"/>
  <c r="AD22" i="59"/>
  <c r="A22" i="59" s="1"/>
  <c r="Y31" i="59"/>
  <c r="AD31" i="59" s="1"/>
  <c r="A31" i="59" s="1"/>
  <c r="Y30" i="59"/>
  <c r="Y28" i="59"/>
  <c r="AD7" i="59"/>
  <c r="A7" i="59" s="1"/>
  <c r="AD12" i="59"/>
  <c r="A12" i="59" s="1"/>
  <c r="AD6" i="59"/>
  <c r="A6" i="59" s="1"/>
  <c r="AD28" i="59"/>
  <c r="A28" i="59" s="1"/>
  <c r="AD30" i="59"/>
  <c r="A30" i="59" s="1"/>
  <c r="AD17" i="59"/>
  <c r="A17" i="59" s="1"/>
  <c r="AD21" i="59"/>
  <c r="A21" i="59" s="1"/>
  <c r="AF56" i="58"/>
  <c r="A56" i="58" s="1"/>
  <c r="C103" i="58"/>
  <c r="AF103" i="58" s="1"/>
  <c r="A103" i="58" s="1"/>
  <c r="AF60" i="58"/>
  <c r="A60" i="58" s="1"/>
  <c r="G90" i="58"/>
  <c r="AF90" i="58" s="1"/>
  <c r="A90" i="58" s="1"/>
  <c r="AF42" i="58"/>
  <c r="A42" i="58" s="1"/>
  <c r="D49" i="58"/>
  <c r="AF49" i="58" s="1"/>
  <c r="A49" i="58" s="1"/>
  <c r="AF47" i="58"/>
  <c r="A47" i="58" s="1"/>
  <c r="G44" i="58"/>
  <c r="AF44" i="58" s="1"/>
  <c r="A44" i="58" s="1"/>
  <c r="G46" i="58"/>
  <c r="AF46" i="58" s="1"/>
  <c r="A46" i="58" s="1"/>
  <c r="G45" i="58"/>
  <c r="AF45" i="58" s="1"/>
  <c r="A45" i="58" s="1"/>
  <c r="C74" i="58"/>
  <c r="AF74" i="58" s="1"/>
  <c r="A74" i="58" s="1"/>
  <c r="G88" i="58"/>
  <c r="AF88" i="58" s="1"/>
  <c r="A88" i="58" s="1"/>
  <c r="C61" i="58"/>
  <c r="AF61" i="58" s="1"/>
  <c r="A61" i="58" s="1"/>
  <c r="D50" i="58"/>
  <c r="AF50" i="58" s="1"/>
  <c r="A50" i="58" s="1"/>
  <c r="D48" i="58"/>
  <c r="AF48" i="58" s="1"/>
  <c r="A48" i="58" s="1"/>
  <c r="F57" i="58"/>
  <c r="AF57" i="58" s="1"/>
  <c r="A57" i="58" s="1"/>
  <c r="F68" i="58"/>
  <c r="AF68" i="58" s="1"/>
  <c r="A68" i="58" s="1"/>
  <c r="F58" i="58"/>
  <c r="AF58" i="58" s="1"/>
  <c r="A58" i="58" s="1"/>
  <c r="E55" i="58"/>
  <c r="AF55" i="58" s="1"/>
  <c r="A55" i="58" s="1"/>
  <c r="E52" i="58"/>
  <c r="AF52" i="58" s="1"/>
  <c r="A52" i="58" s="1"/>
  <c r="E53" i="58"/>
  <c r="AF53" i="58" s="1"/>
  <c r="A53" i="58" s="1"/>
  <c r="E54" i="58"/>
  <c r="AF54" i="58" s="1"/>
  <c r="A54" i="58" s="1"/>
  <c r="H67" i="58"/>
  <c r="AF67" i="58" s="1"/>
  <c r="A67" i="58" s="1"/>
  <c r="H66" i="58"/>
  <c r="AF66" i="58" s="1"/>
  <c r="A66" i="58" s="1"/>
  <c r="H65" i="58"/>
  <c r="AF65" i="58" s="1"/>
  <c r="A65" i="58" s="1"/>
  <c r="H64" i="58"/>
  <c r="AF64" i="58" s="1"/>
  <c r="A64" i="58" s="1"/>
  <c r="B102" i="58"/>
  <c r="AF102" i="58" s="1"/>
  <c r="A102" i="58" s="1"/>
  <c r="B99" i="58"/>
  <c r="AF99" i="58" s="1"/>
  <c r="A99" i="58" s="1"/>
  <c r="B95" i="58"/>
  <c r="AF95" i="58" s="1"/>
  <c r="A95" i="58" s="1"/>
  <c r="B91" i="58"/>
  <c r="AF91" i="58" s="1"/>
  <c r="A91" i="58" s="1"/>
  <c r="B94" i="58"/>
  <c r="AF94" i="58" s="1"/>
  <c r="A94" i="58" s="1"/>
  <c r="B43" i="58"/>
  <c r="AF43" i="58" s="1"/>
  <c r="A43" i="58" s="1"/>
  <c r="B93" i="58"/>
  <c r="AF93" i="58" s="1"/>
  <c r="A93" i="58" s="1"/>
  <c r="B96" i="58"/>
  <c r="AF96" i="58" s="1"/>
  <c r="A96" i="58" s="1"/>
  <c r="B92" i="58"/>
  <c r="AF92" i="58" s="1"/>
  <c r="A92" i="58" s="1"/>
  <c r="B98" i="58"/>
  <c r="AF98" i="58" s="1"/>
  <c r="A98" i="58" s="1"/>
  <c r="B97" i="58"/>
  <c r="AF97" i="58" s="1"/>
  <c r="A97" i="58" s="1"/>
  <c r="B78" i="58"/>
  <c r="AF78" i="58" s="1"/>
  <c r="A78" i="58" s="1"/>
  <c r="B18" i="58"/>
  <c r="AF18" i="58" s="1"/>
  <c r="A18" i="58" s="1"/>
  <c r="B40" i="58"/>
  <c r="AF40" i="58" s="1"/>
  <c r="A40" i="58" s="1"/>
  <c r="B81" i="58"/>
  <c r="AF81" i="58" s="1"/>
  <c r="A81" i="58" s="1"/>
  <c r="B21" i="58"/>
  <c r="AF21" i="58" s="1"/>
  <c r="A21" i="58" s="1"/>
  <c r="B79" i="58"/>
  <c r="AF79" i="58" s="1"/>
  <c r="A79" i="58" s="1"/>
  <c r="B70" i="58"/>
  <c r="AF70" i="58" s="1"/>
  <c r="A70" i="58" s="1"/>
  <c r="B39" i="58"/>
  <c r="AF39" i="58" s="1"/>
  <c r="A39" i="58" s="1"/>
  <c r="B73" i="58"/>
  <c r="AF73" i="58" s="1"/>
  <c r="A73" i="58" s="1"/>
  <c r="B14" i="58"/>
  <c r="AF14" i="58" s="1"/>
  <c r="A14" i="58" s="1"/>
  <c r="B32" i="58"/>
  <c r="AF32" i="58" s="1"/>
  <c r="A32" i="58" s="1"/>
  <c r="B33" i="58"/>
  <c r="AF33" i="58" s="1"/>
  <c r="A33" i="58" s="1"/>
  <c r="B80" i="58"/>
  <c r="AF80" i="58" s="1"/>
  <c r="A80" i="58" s="1"/>
  <c r="B35" i="58"/>
  <c r="AF35" i="58" s="1"/>
  <c r="A35" i="58" s="1"/>
  <c r="B87" i="58"/>
  <c r="AF87" i="58" s="1"/>
  <c r="A87" i="58" s="1"/>
  <c r="B86" i="58"/>
  <c r="AF86" i="58" s="1"/>
  <c r="A86" i="58" s="1"/>
  <c r="B69" i="58"/>
  <c r="AF69" i="58" s="1"/>
  <c r="A69" i="58" s="1"/>
  <c r="B26" i="58"/>
  <c r="AF26" i="58" s="1"/>
  <c r="A26" i="58" s="1"/>
  <c r="B10" i="58"/>
  <c r="AF10" i="58" s="1"/>
  <c r="A10" i="58" s="1"/>
  <c r="B84" i="58"/>
  <c r="AF84" i="58" s="1"/>
  <c r="A84" i="58" s="1"/>
  <c r="B24" i="58"/>
  <c r="AF24" i="58" s="1"/>
  <c r="A24" i="58" s="1"/>
  <c r="B101" i="58"/>
  <c r="AF101" i="58" s="1"/>
  <c r="A101" i="58" s="1"/>
  <c r="B72" i="58"/>
  <c r="AF72" i="58" s="1"/>
  <c r="A72" i="58" s="1"/>
  <c r="B29" i="58"/>
  <c r="AF29" i="58" s="1"/>
  <c r="A29" i="58" s="1"/>
  <c r="B13" i="58"/>
  <c r="AF13" i="58" s="1"/>
  <c r="A13" i="58" s="1"/>
  <c r="B71" i="58"/>
  <c r="AF71" i="58" s="1"/>
  <c r="A71" i="58" s="1"/>
  <c r="B12" i="58"/>
  <c r="AF12" i="58" s="1"/>
  <c r="A12" i="58" s="1"/>
  <c r="B19" i="58"/>
  <c r="AF19" i="58" s="1"/>
  <c r="A19" i="58" s="1"/>
  <c r="B75" i="58"/>
  <c r="AF75" i="58" s="1"/>
  <c r="A75" i="58" s="1"/>
  <c r="B23" i="58"/>
  <c r="AF23" i="58" s="1"/>
  <c r="A23" i="58" s="1"/>
  <c r="B7" i="58"/>
  <c r="AF7" i="58" s="1"/>
  <c r="A7" i="58" s="1"/>
  <c r="B34" i="58"/>
  <c r="AF34" i="58" s="1"/>
  <c r="A34" i="58" s="1"/>
  <c r="B9" i="58"/>
  <c r="AF9" i="58" s="1"/>
  <c r="A9" i="58" s="1"/>
  <c r="B8" i="58"/>
  <c r="AF8" i="58" s="1"/>
  <c r="A8" i="58" s="1"/>
  <c r="B37" i="58"/>
  <c r="AF37" i="58" s="1"/>
  <c r="A37" i="58" s="1"/>
  <c r="B100" i="58"/>
  <c r="AF100" i="58" s="1"/>
  <c r="A100" i="58" s="1"/>
  <c r="B28" i="58"/>
  <c r="AF28" i="58" s="1"/>
  <c r="A28" i="58" s="1"/>
  <c r="B15" i="58"/>
  <c r="AF15" i="58" s="1"/>
  <c r="A15" i="58" s="1"/>
  <c r="B30" i="58"/>
  <c r="AF30" i="58" s="1"/>
  <c r="A30" i="58" s="1"/>
  <c r="B105" i="58"/>
  <c r="AF105" i="58" s="1"/>
  <c r="A105" i="58" s="1"/>
  <c r="B106" i="58"/>
  <c r="AF106" i="58" s="1"/>
  <c r="A106" i="58" s="1"/>
  <c r="B77" i="58"/>
  <c r="AF77" i="58" s="1"/>
  <c r="A77" i="58" s="1"/>
  <c r="B17" i="58"/>
  <c r="AF17" i="58" s="1"/>
  <c r="A17" i="58" s="1"/>
  <c r="B20" i="58"/>
  <c r="AF20" i="58" s="1"/>
  <c r="A20" i="58" s="1"/>
  <c r="B104" i="58"/>
  <c r="AF104" i="58" s="1"/>
  <c r="A104" i="58" s="1"/>
  <c r="B83" i="58"/>
  <c r="AF83" i="58" s="1"/>
  <c r="A83" i="58" s="1"/>
  <c r="B82" i="58"/>
  <c r="AF82" i="58" s="1"/>
  <c r="A82" i="58" s="1"/>
  <c r="B38" i="58"/>
  <c r="AF38" i="58" s="1"/>
  <c r="A38" i="58" s="1"/>
  <c r="B22" i="58"/>
  <c r="AF22" i="58" s="1"/>
  <c r="A22" i="58" s="1"/>
  <c r="B6" i="58"/>
  <c r="AF6" i="58" s="1"/>
  <c r="A6" i="58" s="1"/>
  <c r="B76" i="58"/>
  <c r="AF76" i="58" s="1"/>
  <c r="A76" i="58" s="1"/>
  <c r="B16" i="58"/>
  <c r="AF16" i="58" s="1"/>
  <c r="A16" i="58" s="1"/>
  <c r="B85" i="58"/>
  <c r="AF85" i="58" s="1"/>
  <c r="A85" i="58" s="1"/>
  <c r="B41" i="58"/>
  <c r="AF41" i="58" s="1"/>
  <c r="A41" i="58" s="1"/>
  <c r="B25" i="58"/>
  <c r="AF25" i="58" s="1"/>
  <c r="A25" i="58" s="1"/>
  <c r="B5" i="58"/>
  <c r="AF5" i="58" s="1"/>
  <c r="A5" i="58" s="1"/>
  <c r="B36" i="58"/>
  <c r="AF36" i="58" s="1"/>
  <c r="A36" i="58" s="1"/>
  <c r="B4" i="58"/>
  <c r="AF4" i="58" s="1"/>
  <c r="A4" i="58" s="1"/>
  <c r="B3" i="58"/>
  <c r="AF3" i="58" s="1"/>
  <c r="A3" i="58" s="1"/>
  <c r="B31" i="58"/>
  <c r="AF31" i="58" s="1"/>
  <c r="A31" i="58" s="1"/>
  <c r="B11" i="58"/>
  <c r="AF11" i="58" s="1"/>
  <c r="A11" i="58" s="1"/>
  <c r="B27" i="58"/>
  <c r="AF27" i="58" s="1"/>
  <c r="A27" i="58" s="1"/>
  <c r="C6" i="54" l="1"/>
  <c r="F2" i="53" l="1"/>
  <c r="A2" i="53" s="1"/>
  <c r="F4" i="53"/>
  <c r="A24" i="50"/>
  <c r="A6" i="50"/>
  <c r="A8" i="50"/>
  <c r="A10" i="50"/>
  <c r="A15" i="50"/>
  <c r="A17" i="50"/>
  <c r="F3" i="53" l="1"/>
  <c r="F7" i="53"/>
  <c r="A7" i="53" s="1"/>
  <c r="A4" i="53"/>
  <c r="F13" i="53"/>
  <c r="A13" i="53" s="1"/>
  <c r="F9" i="53"/>
  <c r="A9" i="53" s="1"/>
  <c r="F5" i="53"/>
  <c r="A5" i="53" s="1"/>
  <c r="F11" i="53"/>
  <c r="A11" i="53" s="1"/>
  <c r="F16" i="53"/>
  <c r="A16" i="53" s="1"/>
  <c r="F14" i="53"/>
  <c r="A14" i="53" s="1"/>
  <c r="A3" i="53"/>
  <c r="L25" i="50"/>
  <c r="K26" i="50"/>
  <c r="H18" i="50"/>
  <c r="G28" i="50"/>
  <c r="F25" i="50"/>
  <c r="E5" i="50"/>
  <c r="D19" i="50"/>
  <c r="C22" i="50"/>
  <c r="O2" i="50"/>
  <c r="O22" i="50" l="1"/>
  <c r="A22" i="50" s="1"/>
  <c r="B5" i="50"/>
  <c r="A2" i="50"/>
  <c r="C5" i="50"/>
  <c r="C12" i="50"/>
  <c r="C19" i="50"/>
  <c r="C23" i="50"/>
  <c r="D20" i="50"/>
  <c r="F4" i="50"/>
  <c r="F14" i="50"/>
  <c r="F26" i="50"/>
  <c r="O26" i="50" s="1"/>
  <c r="G11" i="50"/>
  <c r="G16" i="50"/>
  <c r="G23" i="50"/>
  <c r="H11" i="50"/>
  <c r="H19" i="50"/>
  <c r="B3" i="50"/>
  <c r="C7" i="50"/>
  <c r="C13" i="50"/>
  <c r="C20" i="50"/>
  <c r="C27" i="50"/>
  <c r="D21" i="50"/>
  <c r="F9" i="50"/>
  <c r="F16" i="50"/>
  <c r="F27" i="50"/>
  <c r="G12" i="50"/>
  <c r="G18" i="50"/>
  <c r="G25" i="50"/>
  <c r="H13" i="50"/>
  <c r="H25" i="50"/>
  <c r="B4" i="50"/>
  <c r="C9" i="50"/>
  <c r="C14" i="50"/>
  <c r="C21" i="50"/>
  <c r="C28" i="50"/>
  <c r="E4" i="50"/>
  <c r="F11" i="50"/>
  <c r="F23" i="50"/>
  <c r="G5" i="50"/>
  <c r="G13" i="50"/>
  <c r="G19" i="50"/>
  <c r="G26" i="50"/>
  <c r="H16" i="50"/>
  <c r="C11" i="50"/>
  <c r="C18" i="50"/>
  <c r="F13" i="50"/>
  <c r="G9" i="50"/>
  <c r="G14" i="50"/>
  <c r="G20" i="50"/>
  <c r="N7" i="52"/>
  <c r="A7" i="52" s="1"/>
  <c r="N20" i="52"/>
  <c r="A20" i="52" s="1"/>
  <c r="N22" i="52"/>
  <c r="A22" i="52" s="1"/>
  <c r="N24" i="52"/>
  <c r="A24" i="52" s="1"/>
  <c r="N26" i="52"/>
  <c r="C7" i="51"/>
  <c r="L9" i="52" s="1"/>
  <c r="C8" i="51"/>
  <c r="C9" i="51"/>
  <c r="C10" i="51"/>
  <c r="C6" i="51"/>
  <c r="E10" i="52"/>
  <c r="E14" i="52" s="1"/>
  <c r="F5" i="52" l="1"/>
  <c r="F6" i="52"/>
  <c r="F14" i="52"/>
  <c r="L15" i="52"/>
  <c r="L14" i="52"/>
  <c r="I23" i="52"/>
  <c r="O19" i="50"/>
  <c r="A19" i="50" s="1"/>
  <c r="O12" i="50"/>
  <c r="A12" i="50" s="1"/>
  <c r="O16" i="50"/>
  <c r="A16" i="50" s="1"/>
  <c r="O20" i="50"/>
  <c r="A20" i="50" s="1"/>
  <c r="O25" i="50"/>
  <c r="A25" i="50" s="1"/>
  <c r="O14" i="50"/>
  <c r="A14" i="50" s="1"/>
  <c r="O11" i="50"/>
  <c r="A11" i="50" s="1"/>
  <c r="O13" i="50"/>
  <c r="A13" i="50" s="1"/>
  <c r="O23" i="50"/>
  <c r="A23" i="50" s="1"/>
  <c r="O27" i="50"/>
  <c r="A27" i="50" s="1"/>
  <c r="O4" i="50"/>
  <c r="A4" i="50" s="1"/>
  <c r="O5" i="50"/>
  <c r="A5" i="50" s="1"/>
  <c r="O21" i="50"/>
  <c r="A21" i="50" s="1"/>
  <c r="O7" i="50"/>
  <c r="A7" i="50" s="1"/>
  <c r="O18" i="50"/>
  <c r="A18" i="50" s="1"/>
  <c r="O9" i="50"/>
  <c r="A9" i="50" s="1"/>
  <c r="O28" i="50"/>
  <c r="A28" i="50" s="1"/>
  <c r="O3" i="50"/>
  <c r="A3" i="50" s="1"/>
  <c r="A26" i="50"/>
  <c r="J5" i="52"/>
  <c r="J6" i="52" s="1"/>
  <c r="K2" i="52"/>
  <c r="K3" i="52" s="1"/>
  <c r="M4" i="52"/>
  <c r="M19" i="52" s="1"/>
  <c r="F13" i="52"/>
  <c r="F9" i="52"/>
  <c r="F3" i="52"/>
  <c r="F15" i="52"/>
  <c r="F10" i="52"/>
  <c r="F16" i="52"/>
  <c r="F12" i="52"/>
  <c r="L10" i="52"/>
  <c r="E11" i="52"/>
  <c r="E12" i="52"/>
  <c r="E13" i="52"/>
  <c r="L13" i="52"/>
  <c r="E16" i="52"/>
  <c r="D9" i="52"/>
  <c r="C2" i="52"/>
  <c r="C17" i="51"/>
  <c r="C16" i="51"/>
  <c r="A66" i="11"/>
  <c r="O67" i="11"/>
  <c r="A67" i="11" s="1"/>
  <c r="O68" i="11"/>
  <c r="A68" i="11" s="1"/>
  <c r="C21" i="52" l="1"/>
  <c r="C19" i="52"/>
  <c r="C18" i="52"/>
  <c r="C17" i="52"/>
  <c r="C14" i="52"/>
  <c r="C8" i="52"/>
  <c r="C4" i="52"/>
  <c r="J16" i="52"/>
  <c r="M17" i="52"/>
  <c r="G2" i="52"/>
  <c r="G12" i="52" s="1"/>
  <c r="G4" i="52"/>
  <c r="H12" i="52"/>
  <c r="H15" i="52" s="1"/>
  <c r="H2" i="52"/>
  <c r="K12" i="52"/>
  <c r="M11" i="52"/>
  <c r="M8" i="52"/>
  <c r="M18" i="52"/>
  <c r="I25" i="52"/>
  <c r="D15" i="52"/>
  <c r="C3" i="52"/>
  <c r="C5" i="52"/>
  <c r="C6" i="52"/>
  <c r="A11" i="41"/>
  <c r="A20" i="41"/>
  <c r="A22" i="41"/>
  <c r="A23" i="41"/>
  <c r="A24" i="41"/>
  <c r="G15" i="52" l="1"/>
  <c r="G10" i="52"/>
  <c r="G5" i="52"/>
  <c r="G14" i="52"/>
  <c r="G3" i="52"/>
  <c r="G9" i="52"/>
  <c r="G6" i="52"/>
  <c r="G19" i="52"/>
  <c r="G17" i="52"/>
  <c r="G13" i="52"/>
  <c r="N2" i="52"/>
  <c r="A2" i="52" s="1"/>
  <c r="G18" i="52"/>
  <c r="G11" i="52"/>
  <c r="G16" i="52"/>
  <c r="G23" i="52"/>
  <c r="G21" i="52"/>
  <c r="G8" i="52"/>
  <c r="G25" i="52"/>
  <c r="H21" i="52"/>
  <c r="H10" i="52"/>
  <c r="N10" i="52" s="1"/>
  <c r="A10" i="52" s="1"/>
  <c r="H19" i="52"/>
  <c r="H9" i="52"/>
  <c r="H5" i="52"/>
  <c r="N5" i="52" s="1"/>
  <c r="A5" i="52" s="1"/>
  <c r="H14" i="52"/>
  <c r="N14" i="52" s="1"/>
  <c r="A14" i="52" s="1"/>
  <c r="H13" i="52"/>
  <c r="H11" i="52"/>
  <c r="H18" i="52"/>
  <c r="H8" i="52"/>
  <c r="N8" i="52" s="1"/>
  <c r="A8" i="52" s="1"/>
  <c r="H17" i="52"/>
  <c r="N17" i="52" s="1"/>
  <c r="A17" i="52" s="1"/>
  <c r="H6" i="52"/>
  <c r="H16" i="52"/>
  <c r="H4" i="52"/>
  <c r="N4" i="52" s="1"/>
  <c r="A4" i="52" s="1"/>
  <c r="H25" i="52"/>
  <c r="H3" i="52"/>
  <c r="H23" i="52"/>
  <c r="N15" i="52"/>
  <c r="A15" i="52" s="1"/>
  <c r="N12" i="52"/>
  <c r="A12" i="52" s="1"/>
  <c r="M2" i="45"/>
  <c r="A4" i="45"/>
  <c r="A6" i="45"/>
  <c r="A8" i="45"/>
  <c r="A10" i="45"/>
  <c r="A11" i="45"/>
  <c r="A12" i="45"/>
  <c r="C15" i="48"/>
  <c r="F2" i="45" s="1"/>
  <c r="C14" i="48"/>
  <c r="G3" i="45" s="1"/>
  <c r="I3" i="45"/>
  <c r="C10" i="48"/>
  <c r="K9" i="45"/>
  <c r="C5" i="48"/>
  <c r="C11" i="48"/>
  <c r="C9" i="48"/>
  <c r="C6" i="48"/>
  <c r="E3" i="45" s="1"/>
  <c r="C3" i="48"/>
  <c r="N6" i="52" l="1"/>
  <c r="A6" i="52" s="1"/>
  <c r="N16" i="52"/>
  <c r="A16" i="52" s="1"/>
  <c r="N9" i="52"/>
  <c r="A9" i="52" s="1"/>
  <c r="N13" i="52"/>
  <c r="A13" i="52" s="1"/>
  <c r="N3" i="52"/>
  <c r="A3" i="52" s="1"/>
  <c r="N19" i="52"/>
  <c r="A19" i="52" s="1"/>
  <c r="N21" i="52"/>
  <c r="A21" i="52" s="1"/>
  <c r="N11" i="52"/>
  <c r="A11" i="52" s="1"/>
  <c r="N23" i="52"/>
  <c r="A23" i="52" s="1"/>
  <c r="N25" i="52"/>
  <c r="A25" i="52" s="1"/>
  <c r="N18" i="52"/>
  <c r="A18" i="52" s="1"/>
  <c r="M9" i="45"/>
  <c r="H3" i="45"/>
  <c r="H5" i="45" s="1"/>
  <c r="H2" i="45"/>
  <c r="H9" i="45" s="1"/>
  <c r="B2" i="45"/>
  <c r="B5" i="45"/>
  <c r="B7" i="45" s="1"/>
  <c r="I5" i="45"/>
  <c r="G5" i="45"/>
  <c r="G9" i="45"/>
  <c r="G7" i="45"/>
  <c r="C2" i="45"/>
  <c r="D3" i="45"/>
  <c r="I9" i="45"/>
  <c r="K3" i="45"/>
  <c r="K7" i="45"/>
  <c r="H7" i="45" l="1"/>
  <c r="N2" i="45"/>
  <c r="A2" i="45" s="1"/>
  <c r="B9" i="45"/>
  <c r="B3" i="45"/>
  <c r="N3" i="45" s="1"/>
  <c r="A3" i="45" s="1"/>
  <c r="D7" i="45"/>
  <c r="D5" i="45"/>
  <c r="N5" i="45" s="1"/>
  <c r="C9" i="45"/>
  <c r="L21" i="41"/>
  <c r="O8" i="41"/>
  <c r="M21" i="41"/>
  <c r="M13" i="41"/>
  <c r="M12" i="41"/>
  <c r="M8" i="41"/>
  <c r="M7" i="41"/>
  <c r="M6" i="41"/>
  <c r="M5" i="41"/>
  <c r="L10" i="41"/>
  <c r="L8" i="41"/>
  <c r="L6" i="41"/>
  <c r="L5" i="41"/>
  <c r="L4" i="41"/>
  <c r="K16" i="41"/>
  <c r="J17" i="41"/>
  <c r="H19" i="41"/>
  <c r="G21" i="41"/>
  <c r="F19" i="41"/>
  <c r="C6" i="47"/>
  <c r="C4" i="47"/>
  <c r="N7" i="45" l="1"/>
  <c r="A7" i="45" s="1"/>
  <c r="A5" i="45"/>
  <c r="N9" i="45"/>
  <c r="A9" i="45" s="1"/>
  <c r="C21" i="41"/>
  <c r="E2" i="41"/>
  <c r="E3" i="41"/>
  <c r="D3" i="41"/>
  <c r="D2" i="41"/>
  <c r="J15" i="41"/>
  <c r="J19" i="41"/>
  <c r="J9" i="41"/>
  <c r="J18" i="41"/>
  <c r="J10" i="41"/>
  <c r="J3" i="41"/>
  <c r="J7" i="41"/>
  <c r="J12" i="41"/>
  <c r="J16" i="41"/>
  <c r="J5" i="41"/>
  <c r="J14" i="41"/>
  <c r="J6" i="41"/>
  <c r="J4" i="41"/>
  <c r="J8" i="41"/>
  <c r="J13" i="41"/>
  <c r="I9" i="41"/>
  <c r="I6" i="41"/>
  <c r="I8" i="41"/>
  <c r="K13" i="41"/>
  <c r="K7" i="41"/>
  <c r="K14" i="41"/>
  <c r="K18" i="41"/>
  <c r="K17" i="41"/>
  <c r="K9" i="41"/>
  <c r="K15" i="41"/>
  <c r="K19" i="41"/>
  <c r="K12" i="41"/>
  <c r="C15" i="41"/>
  <c r="C16" i="41"/>
  <c r="F9" i="41"/>
  <c r="F16" i="41"/>
  <c r="G4" i="41"/>
  <c r="H9" i="41"/>
  <c r="C18" i="41"/>
  <c r="F14" i="41"/>
  <c r="F18" i="41"/>
  <c r="G5" i="41"/>
  <c r="G10" i="41"/>
  <c r="H14" i="41"/>
  <c r="H18" i="41"/>
  <c r="G7" i="41"/>
  <c r="G13" i="41"/>
  <c r="H16" i="41"/>
  <c r="F17" i="41"/>
  <c r="G8" i="41"/>
  <c r="H17" i="41"/>
  <c r="C14" i="41"/>
  <c r="F15" i="41"/>
  <c r="G6" i="41"/>
  <c r="G12" i="41"/>
  <c r="H15" i="41"/>
  <c r="K2" i="44"/>
  <c r="K3" i="44" s="1"/>
  <c r="J2" i="44"/>
  <c r="J16" i="44" s="1"/>
  <c r="H18" i="44"/>
  <c r="H4" i="44"/>
  <c r="H14" i="44"/>
  <c r="G16" i="44"/>
  <c r="E11" i="44"/>
  <c r="Q3" i="41" l="1"/>
  <c r="Q2" i="41"/>
  <c r="E10" i="41"/>
  <c r="E6" i="41"/>
  <c r="E17" i="41"/>
  <c r="E7" i="41"/>
  <c r="E9" i="41"/>
  <c r="E19" i="41"/>
  <c r="E8" i="41"/>
  <c r="E15" i="41"/>
  <c r="E5" i="41"/>
  <c r="E16" i="41"/>
  <c r="E12" i="41"/>
  <c r="E21" i="41"/>
  <c r="E14" i="41"/>
  <c r="E4" i="41"/>
  <c r="E18" i="41"/>
  <c r="E13" i="41"/>
  <c r="D10" i="41"/>
  <c r="Q10" i="41" s="1"/>
  <c r="D8" i="41"/>
  <c r="D13" i="41"/>
  <c r="D7" i="41"/>
  <c r="Q7" i="41" s="1"/>
  <c r="D4" i="41"/>
  <c r="D17" i="41"/>
  <c r="D12" i="41"/>
  <c r="D21" i="41"/>
  <c r="D16" i="41"/>
  <c r="D9" i="41"/>
  <c r="D14" i="41"/>
  <c r="D5" i="41"/>
  <c r="D19" i="41"/>
  <c r="D15" i="41"/>
  <c r="D6" i="41"/>
  <c r="D18" i="41"/>
  <c r="K17" i="44"/>
  <c r="J3" i="44"/>
  <c r="J18" i="44"/>
  <c r="J4" i="44"/>
  <c r="J13" i="44"/>
  <c r="J17" i="44"/>
  <c r="G6" i="44"/>
  <c r="J14" i="44"/>
  <c r="K4" i="44"/>
  <c r="E20" i="44"/>
  <c r="H17" i="44"/>
  <c r="E10" i="44"/>
  <c r="E22" i="44"/>
  <c r="G15" i="44"/>
  <c r="H13" i="44"/>
  <c r="J5" i="44"/>
  <c r="J15" i="44"/>
  <c r="K18" i="44"/>
  <c r="E21" i="44"/>
  <c r="J6" i="44"/>
  <c r="D2" i="44"/>
  <c r="D18" i="44" s="1"/>
  <c r="C2" i="44"/>
  <c r="C7" i="46"/>
  <c r="C4" i="46"/>
  <c r="C6" i="46"/>
  <c r="C5" i="46"/>
  <c r="Q17" i="41" l="1"/>
  <c r="Q12" i="41"/>
  <c r="Q13" i="41"/>
  <c r="Q8" i="41"/>
  <c r="Q6" i="41"/>
  <c r="Q5" i="41"/>
  <c r="Q16" i="41"/>
  <c r="Q4" i="41"/>
  <c r="Q14" i="41"/>
  <c r="Q19" i="41"/>
  <c r="Q18" i="41"/>
  <c r="Q21" i="41"/>
  <c r="Q15" i="41"/>
  <c r="Q9" i="41"/>
  <c r="D20" i="44"/>
  <c r="B2" i="44"/>
  <c r="B16" i="44" s="1"/>
  <c r="D9" i="44"/>
  <c r="C13" i="44"/>
  <c r="C15" i="44"/>
  <c r="C3" i="44"/>
  <c r="C22" i="44"/>
  <c r="C5" i="44"/>
  <c r="D14" i="44"/>
  <c r="C10" i="44"/>
  <c r="C17" i="44"/>
  <c r="D4" i="44"/>
  <c r="D16" i="44"/>
  <c r="C11" i="44"/>
  <c r="C21" i="44"/>
  <c r="D6" i="44"/>
  <c r="A23" i="44"/>
  <c r="A24" i="44"/>
  <c r="A25" i="44"/>
  <c r="A26" i="44"/>
  <c r="L16" i="44" l="1"/>
  <c r="A16" i="44" s="1"/>
  <c r="B6" i="44"/>
  <c r="L6" i="44" s="1"/>
  <c r="A6" i="44" s="1"/>
  <c r="B20" i="44"/>
  <c r="L20" i="44" s="1"/>
  <c r="A20" i="44" s="1"/>
  <c r="B7" i="44"/>
  <c r="L7" i="44" s="1"/>
  <c r="A7" i="44" s="1"/>
  <c r="B18" i="44"/>
  <c r="L18" i="44" s="1"/>
  <c r="A18" i="44" s="1"/>
  <c r="L2" i="44"/>
  <c r="A2" i="44" s="1"/>
  <c r="B17" i="44"/>
  <c r="L17" i="44" s="1"/>
  <c r="A17" i="44" s="1"/>
  <c r="B4" i="44"/>
  <c r="L4" i="44" s="1"/>
  <c r="A4" i="44" s="1"/>
  <c r="B5" i="44"/>
  <c r="L5" i="44" s="1"/>
  <c r="A5" i="44" s="1"/>
  <c r="B14" i="44"/>
  <c r="L14" i="44" s="1"/>
  <c r="A14" i="44" s="1"/>
  <c r="B3" i="44"/>
  <c r="L3" i="44" s="1"/>
  <c r="A3" i="44" s="1"/>
  <c r="B22" i="44"/>
  <c r="L22" i="44" s="1"/>
  <c r="A22" i="44" s="1"/>
  <c r="B11" i="44"/>
  <c r="L11" i="44" s="1"/>
  <c r="A11" i="44" s="1"/>
  <c r="B9" i="44"/>
  <c r="L9" i="44" s="1"/>
  <c r="A9" i="44" s="1"/>
  <c r="B10" i="44"/>
  <c r="L10" i="44" s="1"/>
  <c r="A10" i="44" s="1"/>
  <c r="B13" i="44"/>
  <c r="L13" i="44" s="1"/>
  <c r="A13" i="44" s="1"/>
  <c r="B15" i="44"/>
  <c r="L15" i="44" s="1"/>
  <c r="A15" i="44" s="1"/>
  <c r="B21" i="44"/>
  <c r="L21" i="44" s="1"/>
  <c r="A21" i="44" s="1"/>
  <c r="A19" i="44"/>
  <c r="A8" i="44"/>
  <c r="A12" i="44"/>
  <c r="M11" i="43"/>
  <c r="N20" i="43"/>
  <c r="N21" i="43"/>
  <c r="L14" i="43"/>
  <c r="N8" i="43"/>
  <c r="N17" i="43"/>
  <c r="N22" i="43"/>
  <c r="N23" i="43"/>
  <c r="K5" i="43"/>
  <c r="I14" i="43"/>
  <c r="H13" i="43"/>
  <c r="C16" i="43"/>
  <c r="B13" i="43"/>
  <c r="L10" i="43" l="1"/>
  <c r="L18" i="43"/>
  <c r="L3" i="43"/>
  <c r="L12" i="43"/>
  <c r="L19" i="43"/>
  <c r="M5" i="43"/>
  <c r="L5" i="43"/>
  <c r="L13" i="43"/>
  <c r="M10" i="43"/>
  <c r="L9" i="43"/>
  <c r="I16" i="43"/>
  <c r="I4" i="43"/>
  <c r="H6" i="43"/>
  <c r="I9" i="43"/>
  <c r="I18" i="43"/>
  <c r="H15" i="43"/>
  <c r="H7" i="43"/>
  <c r="I11" i="43"/>
  <c r="I19" i="43"/>
  <c r="B9" i="43"/>
  <c r="B3" i="43"/>
  <c r="B10" i="43"/>
  <c r="C7" i="43"/>
  <c r="B4" i="43"/>
  <c r="B11" i="43"/>
  <c r="B18" i="43"/>
  <c r="B5" i="43"/>
  <c r="B12" i="43"/>
  <c r="B19" i="43"/>
  <c r="C15" i="43"/>
  <c r="C9" i="40"/>
  <c r="E2" i="43" s="1"/>
  <c r="E11" i="43" s="1"/>
  <c r="C17" i="40"/>
  <c r="E4" i="43" l="1"/>
  <c r="G6" i="43"/>
  <c r="N6" i="43" s="1"/>
  <c r="A6" i="43" s="1"/>
  <c r="F7" i="43"/>
  <c r="N7" i="43" s="1"/>
  <c r="A7" i="43" s="1"/>
  <c r="E19" i="43"/>
  <c r="E13" i="43"/>
  <c r="N13" i="43" s="1"/>
  <c r="A13" i="43" s="1"/>
  <c r="E3" i="43"/>
  <c r="N3" i="43" s="1"/>
  <c r="A3" i="43" s="1"/>
  <c r="E12" i="43"/>
  <c r="N12" i="43" s="1"/>
  <c r="A12" i="43" s="1"/>
  <c r="E10" i="43"/>
  <c r="N10" i="43" s="1"/>
  <c r="A10" i="43" s="1"/>
  <c r="E5" i="43"/>
  <c r="N5" i="43" s="1"/>
  <c r="A5" i="43" s="1"/>
  <c r="E18" i="43"/>
  <c r="N2" i="43"/>
  <c r="A2" i="43" s="1"/>
  <c r="E9" i="43"/>
  <c r="N9" i="43" s="1"/>
  <c r="A9" i="43" s="1"/>
  <c r="N4" i="43"/>
  <c r="A4" i="43" s="1"/>
  <c r="N18" i="43"/>
  <c r="A18" i="43" s="1"/>
  <c r="N11" i="43"/>
  <c r="A11" i="43" s="1"/>
  <c r="N19" i="43"/>
  <c r="A19" i="43" s="1"/>
  <c r="A8" i="43"/>
  <c r="A17" i="43"/>
  <c r="A20" i="43"/>
  <c r="A21" i="43"/>
  <c r="A22" i="43"/>
  <c r="A23" i="43"/>
  <c r="F16" i="43" l="1"/>
  <c r="N16" i="43" s="1"/>
  <c r="A16" i="43" s="1"/>
  <c r="F14" i="43"/>
  <c r="N14" i="43" s="1"/>
  <c r="A14" i="43" s="1"/>
  <c r="F15" i="43"/>
  <c r="N15" i="43" s="1"/>
  <c r="A15" i="43" s="1"/>
  <c r="F2" i="38"/>
  <c r="C17" i="39" l="1"/>
  <c r="C18" i="39"/>
  <c r="C16" i="39"/>
  <c r="C4" i="39"/>
  <c r="J3" i="38" s="1"/>
  <c r="J4" i="38" s="1"/>
  <c r="F87" i="38"/>
  <c r="F79" i="38"/>
  <c r="F72" i="38"/>
  <c r="F56" i="38"/>
  <c r="F55" i="38"/>
  <c r="F54" i="38"/>
  <c r="F53" i="38"/>
  <c r="F52" i="38"/>
  <c r="F50" i="38"/>
  <c r="F49" i="38"/>
  <c r="F48" i="38"/>
  <c r="F47" i="38"/>
  <c r="F46" i="38"/>
  <c r="F44" i="38"/>
  <c r="F43" i="38"/>
  <c r="F42" i="38"/>
  <c r="F41" i="38"/>
  <c r="F40" i="38"/>
  <c r="F39" i="38"/>
  <c r="F38" i="38"/>
  <c r="F37" i="38"/>
  <c r="F36" i="38"/>
  <c r="F35" i="38"/>
  <c r="F34" i="38"/>
  <c r="F33" i="38"/>
  <c r="F19" i="38"/>
  <c r="F18" i="38"/>
  <c r="F7" i="38"/>
  <c r="F6" i="38"/>
  <c r="E2" i="38"/>
  <c r="E82" i="38" s="1"/>
  <c r="D2" i="38"/>
  <c r="C2" i="38"/>
  <c r="C87" i="38" s="1"/>
  <c r="B2" i="38"/>
  <c r="D91" i="38" l="1"/>
  <c r="D16" i="38"/>
  <c r="D15" i="38"/>
  <c r="D13" i="38"/>
  <c r="D11" i="38"/>
  <c r="B88" i="38"/>
  <c r="M6" i="38"/>
  <c r="O7" i="38"/>
  <c r="O33" i="38" s="1"/>
  <c r="C50" i="38"/>
  <c r="C10" i="38"/>
  <c r="C54" i="38"/>
  <c r="E87" i="38"/>
  <c r="C20" i="38"/>
  <c r="C69" i="38"/>
  <c r="E50" i="38"/>
  <c r="C34" i="38"/>
  <c r="E6" i="38"/>
  <c r="E33" i="38"/>
  <c r="E46" i="38"/>
  <c r="B80" i="38"/>
  <c r="B39" i="38"/>
  <c r="B55" i="38"/>
  <c r="B20" i="38"/>
  <c r="C38" i="38"/>
  <c r="C79" i="38"/>
  <c r="D75" i="38"/>
  <c r="D34" i="38"/>
  <c r="D10" i="38"/>
  <c r="D43" i="38"/>
  <c r="D4" i="38"/>
  <c r="D68" i="38"/>
  <c r="G21" i="38"/>
  <c r="G58" i="38" s="1"/>
  <c r="B25" i="38"/>
  <c r="B64" i="38"/>
  <c r="B6" i="38"/>
  <c r="B30" i="38"/>
  <c r="B47" i="38"/>
  <c r="B69" i="38"/>
  <c r="B89" i="38"/>
  <c r="C25" i="38"/>
  <c r="C42" i="38"/>
  <c r="C59" i="38"/>
  <c r="C83" i="38"/>
  <c r="D19" i="38"/>
  <c r="D50" i="38"/>
  <c r="D83" i="38"/>
  <c r="E37" i="38"/>
  <c r="E55" i="38"/>
  <c r="B43" i="38"/>
  <c r="B84" i="38"/>
  <c r="B12" i="38"/>
  <c r="B35" i="38"/>
  <c r="B51" i="38"/>
  <c r="B75" i="38"/>
  <c r="C4" i="38"/>
  <c r="C29" i="38"/>
  <c r="C46" i="38"/>
  <c r="C64" i="38"/>
  <c r="C89" i="38"/>
  <c r="D23" i="38"/>
  <c r="D63" i="38"/>
  <c r="D88" i="38"/>
  <c r="E41" i="38"/>
  <c r="E74" i="38"/>
  <c r="B7" i="38"/>
  <c r="B17" i="38"/>
  <c r="B21" i="38"/>
  <c r="B26" i="38"/>
  <c r="B31" i="38"/>
  <c r="B36" i="38"/>
  <c r="B40" i="38"/>
  <c r="B44" i="38"/>
  <c r="B48" i="38"/>
  <c r="B52" i="38"/>
  <c r="B56" i="38"/>
  <c r="B66" i="38"/>
  <c r="B71" i="38"/>
  <c r="B77" i="38"/>
  <c r="B81" i="38"/>
  <c r="B86" i="38"/>
  <c r="B90" i="38"/>
  <c r="C5" i="38"/>
  <c r="C17" i="38"/>
  <c r="C21" i="38"/>
  <c r="C26" i="38"/>
  <c r="C30" i="38"/>
  <c r="C35" i="38"/>
  <c r="C39" i="38"/>
  <c r="C43" i="38"/>
  <c r="C47" i="38"/>
  <c r="C51" i="38"/>
  <c r="C55" i="38"/>
  <c r="C60" i="38"/>
  <c r="C66" i="38"/>
  <c r="C70" i="38"/>
  <c r="C80" i="38"/>
  <c r="C84" i="38"/>
  <c r="C90" i="38"/>
  <c r="D6" i="38"/>
  <c r="D14" i="38"/>
  <c r="D20" i="38"/>
  <c r="D28" i="38"/>
  <c r="D36" i="38"/>
  <c r="D44" i="38"/>
  <c r="D53" i="38"/>
  <c r="D64" i="38"/>
  <c r="D69" i="38"/>
  <c r="D78" i="38"/>
  <c r="D84" i="38"/>
  <c r="D89" i="38"/>
  <c r="E7" i="38"/>
  <c r="E34" i="38"/>
  <c r="E38" i="38"/>
  <c r="E42" i="38"/>
  <c r="E47" i="38"/>
  <c r="E52" i="38"/>
  <c r="E56" i="38"/>
  <c r="E75" i="38"/>
  <c r="B3" i="38"/>
  <c r="B18" i="38"/>
  <c r="B27" i="38"/>
  <c r="B33" i="38"/>
  <c r="B37" i="38"/>
  <c r="B41" i="38"/>
  <c r="B45" i="38"/>
  <c r="B49" i="38"/>
  <c r="B53" i="38"/>
  <c r="B62" i="38"/>
  <c r="B67" i="38"/>
  <c r="B72" i="38"/>
  <c r="B78" i="38"/>
  <c r="B82" i="38"/>
  <c r="B87" i="38"/>
  <c r="B91" i="38"/>
  <c r="C6" i="38"/>
  <c r="C18" i="38"/>
  <c r="C22" i="38"/>
  <c r="C27" i="38"/>
  <c r="C31" i="38"/>
  <c r="C36" i="38"/>
  <c r="C40" i="38"/>
  <c r="C44" i="38"/>
  <c r="C48" i="38"/>
  <c r="C52" i="38"/>
  <c r="C56" i="38"/>
  <c r="C62" i="38"/>
  <c r="C67" i="38"/>
  <c r="C71" i="38"/>
  <c r="C81" i="38"/>
  <c r="C86" i="38"/>
  <c r="C91" i="38"/>
  <c r="D7" i="38"/>
  <c r="D17" i="38"/>
  <c r="D21" i="38"/>
  <c r="D29" i="38"/>
  <c r="D37" i="38"/>
  <c r="D45" i="38"/>
  <c r="D56" i="38"/>
  <c r="D66" i="38"/>
  <c r="D71" i="38"/>
  <c r="D80" i="38"/>
  <c r="D86" i="38"/>
  <c r="D90" i="38"/>
  <c r="E18" i="38"/>
  <c r="E35" i="38"/>
  <c r="E39" i="38"/>
  <c r="E43" i="38"/>
  <c r="E48" i="38"/>
  <c r="E53" i="38"/>
  <c r="E69" i="38"/>
  <c r="E79" i="38"/>
  <c r="N5" i="38"/>
  <c r="N86" i="38" s="1"/>
  <c r="O88" i="38"/>
  <c r="B8" i="38"/>
  <c r="B22" i="38"/>
  <c r="B4" i="38"/>
  <c r="B10" i="38"/>
  <c r="B19" i="38"/>
  <c r="B23" i="38"/>
  <c r="B29" i="38"/>
  <c r="B34" i="38"/>
  <c r="B38" i="38"/>
  <c r="B42" i="38"/>
  <c r="B46" i="38"/>
  <c r="B50" i="38"/>
  <c r="B54" i="38"/>
  <c r="B63" i="38"/>
  <c r="B68" i="38"/>
  <c r="B74" i="38"/>
  <c r="B79" i="38"/>
  <c r="B83" i="38"/>
  <c r="C3" i="38"/>
  <c r="C7" i="38"/>
  <c r="C19" i="38"/>
  <c r="C23" i="38"/>
  <c r="C28" i="38"/>
  <c r="C33" i="38"/>
  <c r="C37" i="38"/>
  <c r="C41" i="38"/>
  <c r="C45" i="38"/>
  <c r="C49" i="38"/>
  <c r="C53" i="38"/>
  <c r="C58" i="38"/>
  <c r="C63" i="38"/>
  <c r="C68" i="38"/>
  <c r="C72" i="38"/>
  <c r="C82" i="38"/>
  <c r="D3" i="38"/>
  <c r="D8" i="38"/>
  <c r="D18" i="38"/>
  <c r="D22" i="38"/>
  <c r="D33" i="38"/>
  <c r="D42" i="38"/>
  <c r="D46" i="38"/>
  <c r="D62" i="38"/>
  <c r="D67" i="38"/>
  <c r="D72" i="38"/>
  <c r="D81" i="38"/>
  <c r="D87" i="38"/>
  <c r="E19" i="38"/>
  <c r="E36" i="38"/>
  <c r="E40" i="38"/>
  <c r="E44" i="38"/>
  <c r="E49" i="38"/>
  <c r="E54" i="38"/>
  <c r="E72" i="38"/>
  <c r="L2" i="38"/>
  <c r="L53" i="38" s="1"/>
  <c r="J10" i="38"/>
  <c r="C10" i="39"/>
  <c r="C7" i="39"/>
  <c r="C8" i="39"/>
  <c r="C9" i="39"/>
  <c r="C6" i="39"/>
  <c r="A93" i="38"/>
  <c r="A94" i="38"/>
  <c r="A95" i="38"/>
  <c r="A96" i="38"/>
  <c r="A97" i="38"/>
  <c r="A98" i="38"/>
  <c r="A99" i="38"/>
  <c r="A100" i="38"/>
  <c r="I3" i="38" l="1"/>
  <c r="I83" i="38" s="1"/>
  <c r="I2" i="38"/>
  <c r="H8" i="38"/>
  <c r="H2" i="38"/>
  <c r="G59" i="38"/>
  <c r="N59" i="38"/>
  <c r="G70" i="38"/>
  <c r="G51" i="38"/>
  <c r="G60" i="38"/>
  <c r="N42" i="38"/>
  <c r="O44" i="38"/>
  <c r="L23" i="38"/>
  <c r="M34" i="38"/>
  <c r="L56" i="38"/>
  <c r="N83" i="38"/>
  <c r="M77" i="38"/>
  <c r="L7" i="38"/>
  <c r="M81" i="38"/>
  <c r="M78" i="38"/>
  <c r="L27" i="38"/>
  <c r="L62" i="38"/>
  <c r="L10" i="38"/>
  <c r="L26" i="38"/>
  <c r="L20" i="38"/>
  <c r="L43" i="38"/>
  <c r="L87" i="38"/>
  <c r="L71" i="38"/>
  <c r="N70" i="38"/>
  <c r="L28" i="38"/>
  <c r="L74" i="38"/>
  <c r="L52" i="38"/>
  <c r="L30" i="38"/>
  <c r="N16" i="38"/>
  <c r="N45" i="38"/>
  <c r="N47" i="38"/>
  <c r="L8" i="38"/>
  <c r="L37" i="38"/>
  <c r="L84" i="38"/>
  <c r="L31" i="38"/>
  <c r="L90" i="38"/>
  <c r="L25" i="38"/>
  <c r="L58" i="38"/>
  <c r="L11" i="38"/>
  <c r="L49" i="38"/>
  <c r="N46" i="38"/>
  <c r="N75" i="38"/>
  <c r="L50" i="38"/>
  <c r="L68" i="38"/>
  <c r="L17" i="38"/>
  <c r="L4" i="38"/>
  <c r="L89" i="38"/>
  <c r="N39" i="38"/>
  <c r="N82" i="38"/>
  <c r="L13" i="38"/>
  <c r="L14" i="38"/>
  <c r="L51" i="38"/>
  <c r="L91" i="38"/>
  <c r="L54" i="38"/>
  <c r="L3" i="38"/>
  <c r="L29" i="38"/>
  <c r="L69" i="38"/>
  <c r="L19" i="38"/>
  <c r="L60" i="38"/>
  <c r="R2" i="38"/>
  <c r="R87" i="38" s="1"/>
  <c r="R27" i="38"/>
  <c r="Q2" i="38"/>
  <c r="Q3" i="38"/>
  <c r="P7" i="38"/>
  <c r="P77" i="38" s="1"/>
  <c r="P2" i="38"/>
  <c r="N79" i="38"/>
  <c r="N66" i="38"/>
  <c r="N22" i="38"/>
  <c r="N41" i="38"/>
  <c r="N72" i="38"/>
  <c r="N38" i="38"/>
  <c r="N36" i="38"/>
  <c r="N40" i="38"/>
  <c r="N67" i="38"/>
  <c r="N35" i="38"/>
  <c r="N55" i="38"/>
  <c r="N15" i="38"/>
  <c r="N18" i="38"/>
  <c r="N64" i="38"/>
  <c r="N21" i="38"/>
  <c r="N80" i="38"/>
  <c r="N48" i="38"/>
  <c r="N12" i="38"/>
  <c r="N63" i="38"/>
  <c r="I91" i="38"/>
  <c r="A85" i="38"/>
  <c r="A92" i="38"/>
  <c r="A76" i="38"/>
  <c r="S2" i="38" l="1"/>
  <c r="I82" i="38"/>
  <c r="I81" i="38"/>
  <c r="I63" i="38"/>
  <c r="I89" i="38"/>
  <c r="I90" i="38"/>
  <c r="I5" i="38"/>
  <c r="I4" i="38"/>
  <c r="I62" i="38"/>
  <c r="I79" i="38"/>
  <c r="I80" i="38"/>
  <c r="I64" i="38"/>
  <c r="I84" i="38"/>
  <c r="I88" i="38"/>
  <c r="I77" i="38"/>
  <c r="I71" i="38"/>
  <c r="I67" i="38"/>
  <c r="I58" i="38"/>
  <c r="I53" i="38"/>
  <c r="I49" i="38"/>
  <c r="I45" i="38"/>
  <c r="I41" i="38"/>
  <c r="I37" i="38"/>
  <c r="I33" i="38"/>
  <c r="I28" i="38"/>
  <c r="I23" i="38"/>
  <c r="I19" i="38"/>
  <c r="I15" i="38"/>
  <c r="I11" i="38"/>
  <c r="I6" i="38"/>
  <c r="I8" i="38"/>
  <c r="I72" i="38"/>
  <c r="I59" i="38"/>
  <c r="I50" i="38"/>
  <c r="I42" i="38"/>
  <c r="I34" i="38"/>
  <c r="I25" i="38"/>
  <c r="I16" i="38"/>
  <c r="I7" i="38"/>
  <c r="I87" i="38"/>
  <c r="I75" i="38"/>
  <c r="I70" i="38"/>
  <c r="I66" i="38"/>
  <c r="I56" i="38"/>
  <c r="I52" i="38"/>
  <c r="I48" i="38"/>
  <c r="I44" i="38"/>
  <c r="I40" i="38"/>
  <c r="I36" i="38"/>
  <c r="I31" i="38"/>
  <c r="I27" i="38"/>
  <c r="I22" i="38"/>
  <c r="I18" i="38"/>
  <c r="I14" i="38"/>
  <c r="I10" i="38"/>
  <c r="I86" i="38"/>
  <c r="I74" i="38"/>
  <c r="I69" i="38"/>
  <c r="I60" i="38"/>
  <c r="I55" i="38"/>
  <c r="I51" i="38"/>
  <c r="I47" i="38"/>
  <c r="I43" i="38"/>
  <c r="I39" i="38"/>
  <c r="I35" i="38"/>
  <c r="I30" i="38"/>
  <c r="I26" i="38"/>
  <c r="I21" i="38"/>
  <c r="I17" i="38"/>
  <c r="I13" i="38"/>
  <c r="I78" i="38"/>
  <c r="I68" i="38"/>
  <c r="I54" i="38"/>
  <c r="I46" i="38"/>
  <c r="I38" i="38"/>
  <c r="I29" i="38"/>
  <c r="I20" i="38"/>
  <c r="I12" i="38"/>
  <c r="H91" i="38"/>
  <c r="H87" i="38"/>
  <c r="H82" i="38"/>
  <c r="H78" i="38"/>
  <c r="H72" i="38"/>
  <c r="H68" i="38"/>
  <c r="H63" i="38"/>
  <c r="H58" i="38"/>
  <c r="H53" i="38"/>
  <c r="H49" i="38"/>
  <c r="H45" i="38"/>
  <c r="H41" i="38"/>
  <c r="H37" i="38"/>
  <c r="H33" i="38"/>
  <c r="H28" i="38"/>
  <c r="H23" i="38"/>
  <c r="H19" i="38"/>
  <c r="H15" i="38"/>
  <c r="H11" i="38"/>
  <c r="H5" i="38"/>
  <c r="H4" i="38"/>
  <c r="H88" i="38"/>
  <c r="H74" i="38"/>
  <c r="H59" i="38"/>
  <c r="H42" i="38"/>
  <c r="H29" i="38"/>
  <c r="H16" i="38"/>
  <c r="H6" i="38"/>
  <c r="H90" i="38"/>
  <c r="H86" i="38"/>
  <c r="H81" i="38"/>
  <c r="H77" i="38"/>
  <c r="H71" i="38"/>
  <c r="H67" i="38"/>
  <c r="H62" i="38"/>
  <c r="H56" i="38"/>
  <c r="H52" i="38"/>
  <c r="H48" i="38"/>
  <c r="H44" i="38"/>
  <c r="H40" i="38"/>
  <c r="H36" i="38"/>
  <c r="H31" i="38"/>
  <c r="H27" i="38"/>
  <c r="H22" i="38"/>
  <c r="H18" i="38"/>
  <c r="H14" i="38"/>
  <c r="H10" i="38"/>
  <c r="H3" i="38"/>
  <c r="H79" i="38"/>
  <c r="H69" i="38"/>
  <c r="H54" i="38"/>
  <c r="H46" i="38"/>
  <c r="H34" i="38"/>
  <c r="H20" i="38"/>
  <c r="H89" i="38"/>
  <c r="H84" i="38"/>
  <c r="H80" i="38"/>
  <c r="H75" i="38"/>
  <c r="H70" i="38"/>
  <c r="H66" i="38"/>
  <c r="H60" i="38"/>
  <c r="H55" i="38"/>
  <c r="H51" i="38"/>
  <c r="H47" i="38"/>
  <c r="H43" i="38"/>
  <c r="H39" i="38"/>
  <c r="H35" i="38"/>
  <c r="H30" i="38"/>
  <c r="H26" i="38"/>
  <c r="H21" i="38"/>
  <c r="H17" i="38"/>
  <c r="H13" i="38"/>
  <c r="H7" i="38"/>
  <c r="S7" i="38" s="1"/>
  <c r="H83" i="38"/>
  <c r="H64" i="38"/>
  <c r="H50" i="38"/>
  <c r="H38" i="38"/>
  <c r="H25" i="38"/>
  <c r="H12" i="38"/>
  <c r="P70" i="38"/>
  <c r="P62" i="38"/>
  <c r="P33" i="38"/>
  <c r="R12" i="38"/>
  <c r="R54" i="38"/>
  <c r="R8" i="38"/>
  <c r="R40" i="38"/>
  <c r="R72" i="38"/>
  <c r="R16" i="38"/>
  <c r="R83" i="38"/>
  <c r="R22" i="38"/>
  <c r="R50" i="38"/>
  <c r="R90" i="38"/>
  <c r="R23" i="38"/>
  <c r="R66" i="38"/>
  <c r="R3" i="38"/>
  <c r="R4" i="38"/>
  <c r="R60" i="38"/>
  <c r="R59" i="38"/>
  <c r="R46" i="38"/>
  <c r="R19" i="38"/>
  <c r="R20" i="38"/>
  <c r="R69" i="38"/>
  <c r="R17" i="38"/>
  <c r="R45" i="38"/>
  <c r="R80" i="38"/>
  <c r="R39" i="38"/>
  <c r="R5" i="38"/>
  <c r="R28" i="38"/>
  <c r="R63" i="38"/>
  <c r="R6" i="38"/>
  <c r="R33" i="38"/>
  <c r="R91" i="38"/>
  <c r="R44" i="38"/>
  <c r="R26" i="38"/>
  <c r="R7" i="38"/>
  <c r="R18" i="38"/>
  <c r="R81" i="38"/>
  <c r="R52" i="38"/>
  <c r="R34" i="38"/>
  <c r="R88" i="38"/>
  <c r="R21" i="38"/>
  <c r="R49" i="38"/>
  <c r="R89" i="38"/>
  <c r="R48" i="38"/>
  <c r="R10" i="38"/>
  <c r="R41" i="38"/>
  <c r="R74" i="38"/>
  <c r="R11" i="38"/>
  <c r="R43" i="38"/>
  <c r="P44" i="38"/>
  <c r="P17" i="38"/>
  <c r="P19" i="38"/>
  <c r="P45" i="38"/>
  <c r="P74" i="38"/>
  <c r="P75" i="38"/>
  <c r="P51" i="38"/>
  <c r="P71" i="38"/>
  <c r="P10" i="38"/>
  <c r="P20" i="38"/>
  <c r="P18" i="38"/>
  <c r="R13" i="38"/>
  <c r="R35" i="38"/>
  <c r="R55" i="38"/>
  <c r="R84" i="38"/>
  <c r="R25" i="38"/>
  <c r="R79" i="38"/>
  <c r="R14" i="38"/>
  <c r="R36" i="38"/>
  <c r="R56" i="38"/>
  <c r="R86" i="38"/>
  <c r="R15" i="38"/>
  <c r="R38" i="38"/>
  <c r="R82" i="38"/>
  <c r="R47" i="38"/>
  <c r="R75" i="38"/>
  <c r="R78" i="38"/>
  <c r="R68" i="38"/>
  <c r="R53" i="38"/>
  <c r="R31" i="38"/>
  <c r="R70" i="38"/>
  <c r="R37" i="38"/>
  <c r="R77" i="38"/>
  <c r="R67" i="38"/>
  <c r="R51" i="38"/>
  <c r="R30" i="38"/>
  <c r="R71" i="38"/>
  <c r="R64" i="38"/>
  <c r="R42" i="38"/>
  <c r="R29" i="38"/>
  <c r="R62" i="38"/>
  <c r="R58" i="38"/>
  <c r="Q74" i="38"/>
  <c r="Q69" i="38"/>
  <c r="Q53" i="38"/>
  <c r="Q48" i="38"/>
  <c r="Q43" i="38"/>
  <c r="Q36" i="38"/>
  <c r="Q27" i="38"/>
  <c r="Q17" i="38"/>
  <c r="Q11" i="38"/>
  <c r="Q4" i="38"/>
  <c r="Q49" i="38"/>
  <c r="Q37" i="38"/>
  <c r="Q18" i="38"/>
  <c r="Q12" i="38"/>
  <c r="Q72" i="38"/>
  <c r="Q68" i="38"/>
  <c r="Q52" i="38"/>
  <c r="Q47" i="38"/>
  <c r="Q42" i="38"/>
  <c r="Q34" i="38"/>
  <c r="Q26" i="38"/>
  <c r="Q10" i="38"/>
  <c r="Q70" i="38"/>
  <c r="Q6" i="38"/>
  <c r="Q90" i="38"/>
  <c r="Q71" i="38"/>
  <c r="Q67" i="38"/>
  <c r="Q50" i="38"/>
  <c r="Q46" i="38"/>
  <c r="Q41" i="38"/>
  <c r="Q33" i="38"/>
  <c r="Q19" i="38"/>
  <c r="Q7" i="38"/>
  <c r="Q75" i="38"/>
  <c r="Q62" i="38"/>
  <c r="Q44" i="38"/>
  <c r="Q30" i="38"/>
  <c r="Q87" i="38"/>
  <c r="Q82" i="38"/>
  <c r="Q78" i="38"/>
  <c r="Q63" i="38"/>
  <c r="Q56" i="38"/>
  <c r="Q45" i="38"/>
  <c r="Q35" i="38"/>
  <c r="Q25" i="38"/>
  <c r="Q20" i="38"/>
  <c r="Q13" i="38"/>
  <c r="Q83" i="38"/>
  <c r="Q58" i="38"/>
  <c r="Q38" i="38"/>
  <c r="Q91" i="38"/>
  <c r="Q86" i="38"/>
  <c r="Q81" i="38"/>
  <c r="Q77" i="38"/>
  <c r="Q60" i="38"/>
  <c r="Q55" i="38"/>
  <c r="Q40" i="38"/>
  <c r="Q31" i="38"/>
  <c r="Q23" i="38"/>
  <c r="Q16" i="38"/>
  <c r="Q8" i="38"/>
  <c r="Q64" i="38"/>
  <c r="Q21" i="38"/>
  <c r="Q89" i="38"/>
  <c r="Q84" i="38"/>
  <c r="Q80" i="38"/>
  <c r="Q66" i="38"/>
  <c r="Q59" i="38"/>
  <c r="Q54" i="38"/>
  <c r="Q39" i="38"/>
  <c r="Q29" i="38"/>
  <c r="Q22" i="38"/>
  <c r="Q15" i="38"/>
  <c r="Q5" i="38"/>
  <c r="Q88" i="38"/>
  <c r="Q79" i="38"/>
  <c r="Q51" i="38"/>
  <c r="Q28" i="38"/>
  <c r="Q14" i="38"/>
  <c r="P88" i="38"/>
  <c r="P83" i="38"/>
  <c r="P79" i="38"/>
  <c r="P68" i="38"/>
  <c r="P63" i="38"/>
  <c r="P56" i="38"/>
  <c r="P52" i="38"/>
  <c r="P47" i="38"/>
  <c r="P41" i="38"/>
  <c r="P37" i="38"/>
  <c r="P31" i="38"/>
  <c r="P27" i="38"/>
  <c r="P22" i="38"/>
  <c r="P14" i="38"/>
  <c r="P8" i="38"/>
  <c r="P3" i="38"/>
  <c r="P86" i="38"/>
  <c r="P72" i="38"/>
  <c r="P59" i="38"/>
  <c r="P49" i="38"/>
  <c r="P39" i="38"/>
  <c r="P29" i="38"/>
  <c r="P16" i="38"/>
  <c r="P5" i="38"/>
  <c r="P89" i="38"/>
  <c r="P80" i="38"/>
  <c r="P64" i="38"/>
  <c r="P53" i="38"/>
  <c r="P42" i="38"/>
  <c r="P34" i="38"/>
  <c r="P28" i="38"/>
  <c r="P15" i="38"/>
  <c r="P11" i="38"/>
  <c r="P91" i="38"/>
  <c r="P87" i="38"/>
  <c r="P82" i="38"/>
  <c r="P78" i="38"/>
  <c r="P67" i="38"/>
  <c r="P60" i="38"/>
  <c r="P55" i="38"/>
  <c r="P50" i="38"/>
  <c r="P46" i="38"/>
  <c r="P40" i="38"/>
  <c r="P36" i="38"/>
  <c r="P30" i="38"/>
  <c r="P26" i="38"/>
  <c r="P21" i="38"/>
  <c r="P13" i="38"/>
  <c r="P6" i="38"/>
  <c r="P90" i="38"/>
  <c r="P81" i="38"/>
  <c r="P66" i="38"/>
  <c r="P54" i="38"/>
  <c r="P43" i="38"/>
  <c r="P35" i="38"/>
  <c r="P25" i="38"/>
  <c r="P12" i="38"/>
  <c r="P84" i="38"/>
  <c r="P69" i="38"/>
  <c r="P58" i="38"/>
  <c r="P48" i="38"/>
  <c r="P38" i="38"/>
  <c r="P23" i="38"/>
  <c r="P4" i="38"/>
  <c r="A73" i="38"/>
  <c r="A65" i="38"/>
  <c r="A57" i="38"/>
  <c r="A61" i="38"/>
  <c r="S15" i="38" l="1"/>
  <c r="S13" i="38"/>
  <c r="S16" i="38"/>
  <c r="S11" i="38"/>
  <c r="S59" i="38"/>
  <c r="A59" i="38" s="1"/>
  <c r="S12" i="38"/>
  <c r="S17" i="38"/>
  <c r="S51" i="38"/>
  <c r="S89" i="38"/>
  <c r="A89" i="38" s="1"/>
  <c r="S10" i="38"/>
  <c r="S81" i="38"/>
  <c r="A81" i="38" s="1"/>
  <c r="S28" i="38"/>
  <c r="A28" i="38" s="1"/>
  <c r="S21" i="38"/>
  <c r="S14" i="38"/>
  <c r="S8" i="38"/>
  <c r="S26" i="38"/>
  <c r="A26" i="38" s="1"/>
  <c r="S60" i="38"/>
  <c r="A60" i="38" s="1"/>
  <c r="S90" i="38"/>
  <c r="A90" i="38" s="1"/>
  <c r="S74" i="38"/>
  <c r="A74" i="38" s="1"/>
  <c r="S55" i="38"/>
  <c r="S88" i="38"/>
  <c r="A88" i="38" s="1"/>
  <c r="S38" i="38"/>
  <c r="S34" i="38"/>
  <c r="S4" i="38"/>
  <c r="S72" i="38"/>
  <c r="A72" i="38" s="1"/>
  <c r="S50" i="38"/>
  <c r="S30" i="38"/>
  <c r="A30" i="38" s="1"/>
  <c r="S66" i="38"/>
  <c r="A66" i="38" s="1"/>
  <c r="S46" i="38"/>
  <c r="S22" i="38"/>
  <c r="A22" i="38" s="1"/>
  <c r="S56" i="38"/>
  <c r="S6" i="38"/>
  <c r="S5" i="38"/>
  <c r="S41" i="38"/>
  <c r="S78" i="38"/>
  <c r="A78" i="38" s="1"/>
  <c r="S20" i="38"/>
  <c r="S33" i="38"/>
  <c r="S37" i="38"/>
  <c r="S64" i="38"/>
  <c r="A64" i="38" s="1"/>
  <c r="S35" i="38"/>
  <c r="S70" i="38"/>
  <c r="A70" i="38" s="1"/>
  <c r="S54" i="38"/>
  <c r="S27" i="38"/>
  <c r="A27" i="38" s="1"/>
  <c r="S62" i="38"/>
  <c r="A62" i="38" s="1"/>
  <c r="S45" i="38"/>
  <c r="S82" i="38"/>
  <c r="A82" i="38" s="1"/>
  <c r="S44" i="38"/>
  <c r="S25" i="38"/>
  <c r="S48" i="38"/>
  <c r="S18" i="38"/>
  <c r="S83" i="38"/>
  <c r="A83" i="38" s="1"/>
  <c r="S39" i="38"/>
  <c r="S75" i="38"/>
  <c r="A75" i="38" s="1"/>
  <c r="S69" i="38"/>
  <c r="A69" i="38" s="1"/>
  <c r="S31" i="38"/>
  <c r="A31" i="38" s="1"/>
  <c r="S67" i="38"/>
  <c r="A67" i="38" s="1"/>
  <c r="S29" i="38"/>
  <c r="A29" i="38" s="1"/>
  <c r="S49" i="38"/>
  <c r="S87" i="38"/>
  <c r="A87" i="38" s="1"/>
  <c r="S86" i="38"/>
  <c r="A86" i="38" s="1"/>
  <c r="S52" i="38"/>
  <c r="S43" i="38"/>
  <c r="S80" i="38"/>
  <c r="A80" i="38" s="1"/>
  <c r="S79" i="38"/>
  <c r="A79" i="38" s="1"/>
  <c r="S36" i="38"/>
  <c r="S71" i="38"/>
  <c r="A71" i="38" s="1"/>
  <c r="S42" i="38"/>
  <c r="S19" i="38"/>
  <c r="A19" i="38" s="1"/>
  <c r="S53" i="38"/>
  <c r="S91" i="38"/>
  <c r="A91" i="38" s="1"/>
  <c r="S63" i="38"/>
  <c r="A63" i="38" s="1"/>
  <c r="S68" i="38"/>
  <c r="A68" i="38" s="1"/>
  <c r="S47" i="38"/>
  <c r="S84" i="38"/>
  <c r="A84" i="38" s="1"/>
  <c r="S3" i="38"/>
  <c r="S40" i="38"/>
  <c r="S77" i="38"/>
  <c r="A77" i="38" s="1"/>
  <c r="S23" i="38"/>
  <c r="S58" i="38"/>
  <c r="A58" i="38" s="1"/>
  <c r="A56" i="38" l="1"/>
  <c r="A55" i="38"/>
  <c r="A54" i="38"/>
  <c r="A53" i="38"/>
  <c r="A52" i="38"/>
  <c r="A51" i="38"/>
  <c r="A50" i="38"/>
  <c r="A49" i="38"/>
  <c r="A48" i="38"/>
  <c r="A47" i="38"/>
  <c r="A46" i="38"/>
  <c r="A45" i="38"/>
  <c r="A44" i="38"/>
  <c r="A43" i="38"/>
  <c r="A42" i="38"/>
  <c r="A41" i="38"/>
  <c r="A40" i="38"/>
  <c r="A39" i="38"/>
  <c r="A38" i="38"/>
  <c r="A37" i="38"/>
  <c r="A36" i="38"/>
  <c r="A35" i="38"/>
  <c r="A34" i="38"/>
  <c r="A33" i="38"/>
  <c r="A32" i="38"/>
  <c r="A25" i="38"/>
  <c r="A24" i="38"/>
  <c r="A23" i="38"/>
  <c r="A21" i="38"/>
  <c r="A20" i="38"/>
  <c r="A18" i="38"/>
  <c r="A17" i="38"/>
  <c r="A16" i="38"/>
  <c r="A15" i="38"/>
  <c r="A14" i="38"/>
  <c r="A13" i="38"/>
  <c r="A12" i="38"/>
  <c r="A11" i="38"/>
  <c r="A10" i="38"/>
  <c r="A9" i="38"/>
  <c r="A8" i="38"/>
  <c r="A7" i="38"/>
  <c r="A6" i="38"/>
  <c r="A5" i="38"/>
  <c r="A4" i="38"/>
  <c r="A3" i="38"/>
  <c r="A2" i="38"/>
  <c r="L9" i="31" l="1"/>
  <c r="L12" i="31"/>
  <c r="L20" i="31"/>
  <c r="L22" i="31"/>
  <c r="L26" i="31"/>
  <c r="L28" i="31"/>
  <c r="C9" i="37"/>
  <c r="K3" i="31" s="1"/>
  <c r="K6" i="31" s="1"/>
  <c r="C10" i="37"/>
  <c r="J2" i="31" s="1"/>
  <c r="C5" i="37"/>
  <c r="G13" i="31" s="1"/>
  <c r="G16" i="31" s="1"/>
  <c r="I19" i="31" l="1"/>
  <c r="J7" i="31"/>
  <c r="J16" i="31"/>
  <c r="J10" i="31"/>
  <c r="K8" i="31"/>
  <c r="J13" i="31"/>
  <c r="J17" i="31"/>
  <c r="K4" i="31"/>
  <c r="K11" i="31"/>
  <c r="J14" i="31"/>
  <c r="J18" i="31"/>
  <c r="K5" i="31"/>
  <c r="K19" i="31"/>
  <c r="J15" i="31"/>
  <c r="J25" i="31"/>
  <c r="G27" i="31"/>
  <c r="G15" i="31"/>
  <c r="A28" i="31"/>
  <c r="C8" i="37"/>
  <c r="H19" i="31" l="1"/>
  <c r="D24" i="31"/>
  <c r="B10" i="31"/>
  <c r="F13" i="31"/>
  <c r="E21" i="31"/>
  <c r="E23" i="31" s="1"/>
  <c r="C2" i="31"/>
  <c r="D25" i="31"/>
  <c r="L13" i="31"/>
  <c r="J14" i="32"/>
  <c r="J18" i="32"/>
  <c r="J19" i="32"/>
  <c r="J20" i="32"/>
  <c r="H20" i="34"/>
  <c r="C7" i="31" l="1"/>
  <c r="L7" i="31" s="1"/>
  <c r="C8" i="31"/>
  <c r="L8" i="31" s="1"/>
  <c r="C5" i="31"/>
  <c r="L5" i="31" s="1"/>
  <c r="C6" i="31"/>
  <c r="L6" i="31" s="1"/>
  <c r="C4" i="31"/>
  <c r="L4" i="31" s="1"/>
  <c r="L2" i="31"/>
  <c r="C3" i="31"/>
  <c r="L3" i="31" s="1"/>
  <c r="L23" i="31"/>
  <c r="L25" i="31"/>
  <c r="L24" i="31"/>
  <c r="L21" i="31"/>
  <c r="F18" i="31"/>
  <c r="L18" i="31" s="1"/>
  <c r="L19" i="31"/>
  <c r="F15" i="31"/>
  <c r="L15" i="31" s="1"/>
  <c r="F14" i="31"/>
  <c r="L14" i="31" s="1"/>
  <c r="F17" i="31"/>
  <c r="L17" i="31" s="1"/>
  <c r="F16" i="31"/>
  <c r="L16" i="31" s="1"/>
  <c r="H27" i="31"/>
  <c r="L27" i="31" s="1"/>
  <c r="A27" i="31" s="1"/>
  <c r="B11" i="31"/>
  <c r="L11" i="31" s="1"/>
  <c r="L10" i="31"/>
  <c r="H19" i="34"/>
  <c r="H14" i="34"/>
  <c r="B22" i="34"/>
  <c r="B24" i="34"/>
  <c r="B26" i="34"/>
  <c r="C13" i="36"/>
  <c r="C12" i="36"/>
  <c r="I3" i="34" s="1"/>
  <c r="C6" i="36"/>
  <c r="E10" i="34" l="1"/>
  <c r="F2" i="34"/>
  <c r="A2" i="34"/>
  <c r="A28" i="34"/>
  <c r="A29" i="34"/>
  <c r="A30" i="34"/>
  <c r="A31" i="34"/>
  <c r="A32" i="34"/>
  <c r="A33" i="34"/>
  <c r="A34" i="34"/>
  <c r="I2" i="32"/>
  <c r="I15" i="32" s="1"/>
  <c r="H2" i="32"/>
  <c r="C4" i="35"/>
  <c r="C3" i="35"/>
  <c r="B5" i="32" s="1"/>
  <c r="D8" i="32" l="1"/>
  <c r="D10" i="32" s="1"/>
  <c r="E8" i="32"/>
  <c r="B13" i="32"/>
  <c r="B9" i="32"/>
  <c r="B15" i="32"/>
  <c r="B17" i="32"/>
  <c r="B12" i="32"/>
  <c r="B8" i="32"/>
  <c r="B16" i="32"/>
  <c r="B11" i="32"/>
  <c r="B10" i="32"/>
  <c r="C2" i="32"/>
  <c r="H12" i="32"/>
  <c r="I7" i="32"/>
  <c r="I16" i="32"/>
  <c r="I4" i="32"/>
  <c r="I8" i="32"/>
  <c r="I12" i="32"/>
  <c r="I17" i="32"/>
  <c r="I3" i="32"/>
  <c r="I11" i="32"/>
  <c r="I5" i="32"/>
  <c r="I9" i="32"/>
  <c r="I13" i="32"/>
  <c r="I6" i="32"/>
  <c r="I10" i="32"/>
  <c r="H8" i="32"/>
  <c r="H4" i="32"/>
  <c r="H9" i="32"/>
  <c r="H15" i="32"/>
  <c r="H3" i="32"/>
  <c r="H13" i="32"/>
  <c r="H5" i="32"/>
  <c r="H11" i="32"/>
  <c r="H17" i="32"/>
  <c r="H7" i="32"/>
  <c r="F25" i="34"/>
  <c r="F26" i="34"/>
  <c r="F24" i="34"/>
  <c r="F22" i="34"/>
  <c r="F13" i="34"/>
  <c r="I17" i="34"/>
  <c r="I5" i="34"/>
  <c r="I6" i="34"/>
  <c r="E12" i="34"/>
  <c r="E11" i="34"/>
  <c r="E15" i="34"/>
  <c r="E27" i="34"/>
  <c r="A20" i="34"/>
  <c r="A21" i="34"/>
  <c r="A18" i="34"/>
  <c r="A13" i="34"/>
  <c r="A14" i="34"/>
  <c r="A16" i="34"/>
  <c r="A9" i="34"/>
  <c r="H2" i="30"/>
  <c r="C7" i="29"/>
  <c r="I6" i="30" s="1"/>
  <c r="C8" i="29"/>
  <c r="C4" i="29"/>
  <c r="C5" i="29"/>
  <c r="C6" i="29"/>
  <c r="C3" i="29"/>
  <c r="E4" i="30" s="1"/>
  <c r="E21" i="30" s="1"/>
  <c r="C14" i="29"/>
  <c r="C4" i="30" s="1"/>
  <c r="C22" i="30" s="1"/>
  <c r="C13" i="29"/>
  <c r="B2" i="30" s="1"/>
  <c r="B40" i="30" s="1"/>
  <c r="C15" i="29"/>
  <c r="C5" i="32" l="1"/>
  <c r="J2" i="32"/>
  <c r="H41" i="30"/>
  <c r="H37" i="30"/>
  <c r="H38" i="30"/>
  <c r="H4" i="30"/>
  <c r="H40" i="30"/>
  <c r="H34" i="30"/>
  <c r="H21" i="30"/>
  <c r="H3" i="30"/>
  <c r="H22" i="30"/>
  <c r="H32" i="30"/>
  <c r="I16" i="30"/>
  <c r="I10" i="30"/>
  <c r="I18" i="30"/>
  <c r="I36" i="30"/>
  <c r="I13" i="30"/>
  <c r="I23" i="30"/>
  <c r="I26" i="30"/>
  <c r="I14" i="30"/>
  <c r="I9" i="30"/>
  <c r="I11" i="30"/>
  <c r="I8" i="30"/>
  <c r="C15" i="32"/>
  <c r="J15" i="32" s="1"/>
  <c r="A15" i="32" s="1"/>
  <c r="D9" i="32"/>
  <c r="D11" i="32"/>
  <c r="E9" i="32"/>
  <c r="E11" i="32"/>
  <c r="E10" i="32"/>
  <c r="C7" i="32"/>
  <c r="J7" i="32" s="1"/>
  <c r="A7" i="32" s="1"/>
  <c r="C4" i="32"/>
  <c r="J4" i="32" s="1"/>
  <c r="A4" i="32" s="1"/>
  <c r="C3" i="32"/>
  <c r="J3" i="32" s="1"/>
  <c r="A3" i="32" s="1"/>
  <c r="C6" i="32"/>
  <c r="J6" i="32" s="1"/>
  <c r="A6" i="32" s="1"/>
  <c r="J11" i="32"/>
  <c r="A11" i="32" s="1"/>
  <c r="J8" i="32"/>
  <c r="A8" i="32" s="1"/>
  <c r="J16" i="32"/>
  <c r="A16" i="32" s="1"/>
  <c r="J17" i="32"/>
  <c r="A17" i="32" s="1"/>
  <c r="H35" i="30"/>
  <c r="H5" i="30"/>
  <c r="H28" i="30"/>
  <c r="H7" i="30"/>
  <c r="H29" i="30"/>
  <c r="H20" i="30"/>
  <c r="H19" i="30"/>
  <c r="H33" i="30"/>
  <c r="H15" i="30"/>
  <c r="H24" i="30"/>
  <c r="H30" i="30"/>
  <c r="H39" i="30"/>
  <c r="H17" i="30"/>
  <c r="H25" i="30"/>
  <c r="H31" i="30"/>
  <c r="J10" i="32"/>
  <c r="A10" i="32" s="1"/>
  <c r="J5" i="32"/>
  <c r="A5" i="32" s="1"/>
  <c r="J13" i="32"/>
  <c r="A13" i="32" s="1"/>
  <c r="J12" i="32"/>
  <c r="A12" i="32" s="1"/>
  <c r="A11" i="34"/>
  <c r="A15" i="34"/>
  <c r="A12" i="34"/>
  <c r="G6" i="30"/>
  <c r="G40" i="30" s="1"/>
  <c r="C9" i="30"/>
  <c r="C32" i="30"/>
  <c r="C5" i="30"/>
  <c r="J5" i="30" s="1"/>
  <c r="A5" i="30" s="1"/>
  <c r="C13" i="30"/>
  <c r="C33" i="30"/>
  <c r="C8" i="30"/>
  <c r="C23" i="30"/>
  <c r="C7" i="30"/>
  <c r="J7" i="30" s="1"/>
  <c r="A7" i="30" s="1"/>
  <c r="D3" i="30"/>
  <c r="D13" i="30" s="1"/>
  <c r="F14" i="30"/>
  <c r="F32" i="30" s="1"/>
  <c r="F31" i="30"/>
  <c r="B10" i="30"/>
  <c r="B16" i="30"/>
  <c r="B20" i="30"/>
  <c r="J20" i="30" s="1"/>
  <c r="A20" i="30" s="1"/>
  <c r="B26" i="30"/>
  <c r="B31" i="30"/>
  <c r="B37" i="30"/>
  <c r="B41" i="30"/>
  <c r="J41" i="30" s="1"/>
  <c r="A41" i="30" s="1"/>
  <c r="B11" i="30"/>
  <c r="B17" i="30"/>
  <c r="J17" i="30" s="1"/>
  <c r="A17" i="30" s="1"/>
  <c r="B21" i="30"/>
  <c r="B28" i="30"/>
  <c r="B34" i="30"/>
  <c r="B38" i="30"/>
  <c r="B3" i="30"/>
  <c r="B14" i="30"/>
  <c r="J14" i="30" s="1"/>
  <c r="A14" i="30" s="1"/>
  <c r="B18" i="30"/>
  <c r="B24" i="30"/>
  <c r="B29" i="30"/>
  <c r="J29" i="30" s="1"/>
  <c r="A29" i="30" s="1"/>
  <c r="B35" i="30"/>
  <c r="J35" i="30" s="1"/>
  <c r="A35" i="30" s="1"/>
  <c r="B39" i="30"/>
  <c r="B6" i="30"/>
  <c r="B15" i="30"/>
  <c r="B19" i="30"/>
  <c r="B25" i="30"/>
  <c r="J25" i="30" s="1"/>
  <c r="A25" i="30" s="1"/>
  <c r="B30" i="30"/>
  <c r="B36" i="30"/>
  <c r="A27" i="34"/>
  <c r="A26" i="34"/>
  <c r="A25" i="34"/>
  <c r="A24" i="34"/>
  <c r="A23" i="34"/>
  <c r="A22" i="34"/>
  <c r="A19" i="34"/>
  <c r="A17" i="34"/>
  <c r="A10" i="34"/>
  <c r="A8" i="34"/>
  <c r="A7" i="34"/>
  <c r="A6" i="34"/>
  <c r="A5" i="34"/>
  <c r="A4" i="34"/>
  <c r="A3" i="34"/>
  <c r="A2" i="31"/>
  <c r="A3" i="31"/>
  <c r="A4" i="31"/>
  <c r="A5" i="31"/>
  <c r="A6" i="31"/>
  <c r="A7" i="31"/>
  <c r="A8" i="31"/>
  <c r="A9" i="31"/>
  <c r="A10" i="31"/>
  <c r="A11" i="31"/>
  <c r="A12" i="31"/>
  <c r="A13" i="31"/>
  <c r="A14" i="31"/>
  <c r="A15" i="31"/>
  <c r="A16" i="31"/>
  <c r="A17" i="31"/>
  <c r="A18" i="31"/>
  <c r="A19" i="31"/>
  <c r="A20" i="31"/>
  <c r="A21" i="31"/>
  <c r="A22" i="31"/>
  <c r="A23" i="31"/>
  <c r="A24" i="31"/>
  <c r="A25" i="31"/>
  <c r="A26" i="31"/>
  <c r="A2" i="32"/>
  <c r="A14" i="32"/>
  <c r="A19" i="32"/>
  <c r="A20" i="32"/>
  <c r="A18" i="32"/>
  <c r="J2" i="30"/>
  <c r="A2" i="30" s="1"/>
  <c r="J4" i="30"/>
  <c r="A4" i="30" s="1"/>
  <c r="J9" i="30"/>
  <c r="A9" i="30" s="1"/>
  <c r="J12" i="30"/>
  <c r="A12" i="30" s="1"/>
  <c r="J15" i="30"/>
  <c r="A15" i="30" s="1"/>
  <c r="J27" i="30"/>
  <c r="A27" i="30" s="1"/>
  <c r="J32" i="30"/>
  <c r="A32" i="30" s="1"/>
  <c r="J42" i="30"/>
  <c r="A42" i="30" s="1"/>
  <c r="J43" i="30"/>
  <c r="A43" i="30" s="1"/>
  <c r="J44" i="30"/>
  <c r="A44" i="30" s="1"/>
  <c r="J45" i="30"/>
  <c r="A45" i="30" s="1"/>
  <c r="J46" i="30"/>
  <c r="A46" i="30" s="1"/>
  <c r="J47" i="30"/>
  <c r="A47" i="30" s="1"/>
  <c r="J48" i="30"/>
  <c r="A48" i="30" s="1"/>
  <c r="J49" i="30"/>
  <c r="A49" i="30" s="1"/>
  <c r="J50" i="30"/>
  <c r="A50" i="30" s="1"/>
  <c r="J40" i="30" l="1"/>
  <c r="A40" i="30" s="1"/>
  <c r="J8" i="30"/>
  <c r="A8" i="30" s="1"/>
  <c r="J36" i="30"/>
  <c r="A36" i="30" s="1"/>
  <c r="J3" i="30"/>
  <c r="A3" i="30" s="1"/>
  <c r="J21" i="30"/>
  <c r="A21" i="30" s="1"/>
  <c r="J9" i="32"/>
  <c r="A9" i="32" s="1"/>
  <c r="J30" i="30"/>
  <c r="A30" i="30" s="1"/>
  <c r="J24" i="30"/>
  <c r="A24" i="30" s="1"/>
  <c r="J33" i="30"/>
  <c r="A33" i="30" s="1"/>
  <c r="J19" i="30"/>
  <c r="A19" i="30" s="1"/>
  <c r="J28" i="30"/>
  <c r="A28" i="30" s="1"/>
  <c r="J11" i="30"/>
  <c r="A11" i="30" s="1"/>
  <c r="J6" i="30"/>
  <c r="A6" i="30" s="1"/>
  <c r="G37" i="30"/>
  <c r="J37" i="30"/>
  <c r="A37" i="30" s="1"/>
  <c r="G18" i="30"/>
  <c r="J18" i="30" s="1"/>
  <c r="A18" i="30" s="1"/>
  <c r="G16" i="30"/>
  <c r="J16" i="30" s="1"/>
  <c r="A16" i="30" s="1"/>
  <c r="G39" i="30"/>
  <c r="J39" i="30" s="1"/>
  <c r="A39" i="30" s="1"/>
  <c r="G10" i="30"/>
  <c r="G26" i="30"/>
  <c r="J26" i="30" s="1"/>
  <c r="A26" i="30" s="1"/>
  <c r="D34" i="30"/>
  <c r="J10" i="30"/>
  <c r="A10" i="30" s="1"/>
  <c r="J31" i="30"/>
  <c r="A31" i="30" s="1"/>
  <c r="J13" i="30"/>
  <c r="A13" i="30" s="1"/>
  <c r="D38" i="30"/>
  <c r="J38" i="30" s="1"/>
  <c r="A38" i="30" s="1"/>
  <c r="D23" i="30"/>
  <c r="J23" i="30" s="1"/>
  <c r="A23" i="30" s="1"/>
  <c r="D22" i="30"/>
  <c r="J22" i="30" s="1"/>
  <c r="A22" i="30" s="1"/>
  <c r="J34" i="30"/>
  <c r="A34" i="30" s="1"/>
  <c r="M2" i="23" l="1"/>
  <c r="M87" i="23" s="1"/>
  <c r="L2" i="23"/>
  <c r="J84" i="23"/>
  <c r="H2" i="23"/>
  <c r="H86" i="23" s="1"/>
  <c r="C10" i="24"/>
  <c r="N12" i="23"/>
  <c r="O86" i="23"/>
  <c r="P86" i="23"/>
  <c r="Q83" i="23"/>
  <c r="O30" i="23" l="1"/>
  <c r="L87" i="23"/>
  <c r="L75" i="23"/>
  <c r="K2" i="23"/>
  <c r="K53" i="23" s="1"/>
  <c r="O15" i="23"/>
  <c r="O25" i="23"/>
  <c r="L18" i="23"/>
  <c r="L24" i="23"/>
  <c r="L13" i="23"/>
  <c r="L3" i="23"/>
  <c r="N6" i="23"/>
  <c r="J5" i="23"/>
  <c r="Q12" i="23"/>
  <c r="P59" i="23"/>
  <c r="P66" i="23"/>
  <c r="P79" i="23"/>
  <c r="P83" i="23"/>
  <c r="P87" i="23"/>
  <c r="O71" i="23"/>
  <c r="O84" i="23"/>
  <c r="N53" i="23"/>
  <c r="Q41" i="23"/>
  <c r="Q66" i="23"/>
  <c r="Q3" i="23"/>
  <c r="Q8" i="23"/>
  <c r="Q13" i="23"/>
  <c r="Q20" i="23"/>
  <c r="Q43" i="23"/>
  <c r="Q51" i="23"/>
  <c r="Q59" i="23"/>
  <c r="Q70" i="23"/>
  <c r="P11" i="23"/>
  <c r="P60" i="23"/>
  <c r="P70" i="23"/>
  <c r="P84" i="23"/>
  <c r="P88" i="23"/>
  <c r="O19" i="23"/>
  <c r="O27" i="23"/>
  <c r="O32" i="23"/>
  <c r="O79" i="23"/>
  <c r="Q7" i="23"/>
  <c r="Q50" i="23"/>
  <c r="Q9" i="23"/>
  <c r="Q14" i="23"/>
  <c r="Q33" i="23"/>
  <c r="Q48" i="23"/>
  <c r="Q52" i="23"/>
  <c r="Q60" i="23"/>
  <c r="Q71" i="23"/>
  <c r="P12" i="23"/>
  <c r="P61" i="23"/>
  <c r="P71" i="23"/>
  <c r="P80" i="23"/>
  <c r="P85" i="23"/>
  <c r="O85" i="23"/>
  <c r="O81" i="23"/>
  <c r="O78" i="23"/>
  <c r="O87" i="23"/>
  <c r="O83" i="23"/>
  <c r="O70" i="23"/>
  <c r="O22" i="23"/>
  <c r="O28" i="23"/>
  <c r="O33" i="23"/>
  <c r="O80" i="23"/>
  <c r="N51" i="23"/>
  <c r="N37" i="23"/>
  <c r="N21" i="23"/>
  <c r="N10" i="23"/>
  <c r="N79" i="23"/>
  <c r="N50" i="23"/>
  <c r="N36" i="23"/>
  <c r="N20" i="23"/>
  <c r="N9" i="23"/>
  <c r="N3" i="23"/>
  <c r="N88" i="23"/>
  <c r="N52" i="23"/>
  <c r="N41" i="23"/>
  <c r="N24" i="23"/>
  <c r="N11" i="23"/>
  <c r="N5" i="23"/>
  <c r="N25" i="23"/>
  <c r="Q16" i="23"/>
  <c r="Q58" i="23"/>
  <c r="Q4" i="23"/>
  <c r="Q6" i="23"/>
  <c r="Q11" i="23"/>
  <c r="Q15" i="23"/>
  <c r="Q38" i="23"/>
  <c r="Q49" i="23"/>
  <c r="Q53" i="23"/>
  <c r="Q65" i="23"/>
  <c r="P58" i="23"/>
  <c r="P65" i="23"/>
  <c r="P78" i="23"/>
  <c r="P81" i="23"/>
  <c r="O12" i="23"/>
  <c r="O23" i="23"/>
  <c r="O29" i="23"/>
  <c r="O63" i="23"/>
  <c r="O82" i="23"/>
  <c r="N4" i="23"/>
  <c r="N48" i="23"/>
  <c r="H3" i="23"/>
  <c r="H7" i="23"/>
  <c r="H11" i="23"/>
  <c r="H15" i="23"/>
  <c r="H20" i="23"/>
  <c r="H24" i="23"/>
  <c r="H28" i="23"/>
  <c r="H32" i="23"/>
  <c r="H37" i="23"/>
  <c r="H41" i="23"/>
  <c r="H46" i="23"/>
  <c r="H51" i="23"/>
  <c r="H58" i="23"/>
  <c r="H62" i="23"/>
  <c r="H66" i="23"/>
  <c r="H70" i="23"/>
  <c r="H74" i="23"/>
  <c r="H83" i="23"/>
  <c r="H87" i="23"/>
  <c r="J4" i="23"/>
  <c r="J8" i="23"/>
  <c r="J13" i="23"/>
  <c r="J18" i="23"/>
  <c r="J22" i="23"/>
  <c r="J26" i="23"/>
  <c r="J30" i="23"/>
  <c r="J34" i="23"/>
  <c r="J39" i="23"/>
  <c r="J50" i="23"/>
  <c r="J60" i="23"/>
  <c r="J64" i="23"/>
  <c r="J68" i="23"/>
  <c r="J72" i="23"/>
  <c r="J76" i="23"/>
  <c r="J81" i="23"/>
  <c r="J85" i="23"/>
  <c r="L12" i="23"/>
  <c r="L16" i="23"/>
  <c r="L22" i="23"/>
  <c r="L27" i="23"/>
  <c r="L31" i="23"/>
  <c r="L36" i="23"/>
  <c r="L41" i="23"/>
  <c r="L45" i="23"/>
  <c r="L50" i="23"/>
  <c r="L54" i="23"/>
  <c r="L59" i="23"/>
  <c r="L63" i="23"/>
  <c r="L67" i="23"/>
  <c r="L71" i="23"/>
  <c r="L76" i="23"/>
  <c r="L80" i="23"/>
  <c r="L84" i="23"/>
  <c r="L88" i="23"/>
  <c r="M7" i="23"/>
  <c r="M11" i="23"/>
  <c r="M16" i="23"/>
  <c r="M23" i="23"/>
  <c r="M27" i="23"/>
  <c r="M31" i="23"/>
  <c r="M36" i="23"/>
  <c r="M40" i="23"/>
  <c r="M45" i="23"/>
  <c r="M51" i="23"/>
  <c r="M57" i="23"/>
  <c r="M61" i="23"/>
  <c r="M65" i="23"/>
  <c r="M69" i="23"/>
  <c r="M74" i="23"/>
  <c r="M80" i="23"/>
  <c r="M84" i="23"/>
  <c r="H4" i="23"/>
  <c r="H8" i="23"/>
  <c r="H12" i="23"/>
  <c r="H16" i="23"/>
  <c r="H21" i="23"/>
  <c r="H25" i="23"/>
  <c r="H29" i="23"/>
  <c r="H33" i="23"/>
  <c r="H38" i="23"/>
  <c r="H42" i="23"/>
  <c r="H48" i="23"/>
  <c r="H52" i="23"/>
  <c r="H59" i="23"/>
  <c r="H63" i="23"/>
  <c r="H67" i="23"/>
  <c r="H71" i="23"/>
  <c r="H75" i="23"/>
  <c r="H80" i="23"/>
  <c r="H84" i="23"/>
  <c r="H88" i="23"/>
  <c r="J9" i="23"/>
  <c r="J14" i="23"/>
  <c r="J19" i="23"/>
  <c r="J23" i="23"/>
  <c r="J27" i="23"/>
  <c r="J31" i="23"/>
  <c r="J36" i="23"/>
  <c r="J40" i="23"/>
  <c r="J57" i="23"/>
  <c r="J61" i="23"/>
  <c r="J65" i="23"/>
  <c r="J69" i="23"/>
  <c r="J73" i="23"/>
  <c r="J78" i="23"/>
  <c r="J82" i="23"/>
  <c r="J86" i="23"/>
  <c r="L28" i="23"/>
  <c r="L32" i="23"/>
  <c r="L37" i="23"/>
  <c r="L42" i="23"/>
  <c r="L46" i="23"/>
  <c r="L51" i="23"/>
  <c r="L55" i="23"/>
  <c r="L60" i="23"/>
  <c r="L64" i="23"/>
  <c r="L68" i="23"/>
  <c r="L72" i="23"/>
  <c r="L78" i="23"/>
  <c r="L81" i="23"/>
  <c r="L85" i="23"/>
  <c r="M8" i="23"/>
  <c r="M13" i="23"/>
  <c r="M18" i="23"/>
  <c r="M24" i="23"/>
  <c r="M28" i="23"/>
  <c r="M32" i="23"/>
  <c r="M37" i="23"/>
  <c r="M42" i="23"/>
  <c r="M46" i="23"/>
  <c r="M52" i="23"/>
  <c r="M58" i="23"/>
  <c r="M62" i="23"/>
  <c r="M66" i="23"/>
  <c r="M70" i="23"/>
  <c r="M76" i="23"/>
  <c r="M81" i="23"/>
  <c r="M85" i="23"/>
  <c r="H5" i="23"/>
  <c r="H9" i="23"/>
  <c r="H13" i="23"/>
  <c r="H18" i="23"/>
  <c r="H22" i="23"/>
  <c r="H26" i="23"/>
  <c r="H30" i="23"/>
  <c r="H34" i="23"/>
  <c r="H39" i="23"/>
  <c r="H43" i="23"/>
  <c r="H49" i="23"/>
  <c r="H53" i="23"/>
  <c r="H60" i="23"/>
  <c r="H64" i="23"/>
  <c r="H68" i="23"/>
  <c r="H72" i="23"/>
  <c r="H78" i="23"/>
  <c r="H81" i="23"/>
  <c r="H85" i="23"/>
  <c r="J6" i="23"/>
  <c r="J11" i="23"/>
  <c r="J15" i="23"/>
  <c r="J20" i="23"/>
  <c r="J24" i="23"/>
  <c r="J28" i="23"/>
  <c r="J32" i="23"/>
  <c r="J37" i="23"/>
  <c r="J43" i="23"/>
  <c r="J58" i="23"/>
  <c r="J62" i="23"/>
  <c r="J66" i="23"/>
  <c r="J70" i="23"/>
  <c r="J74" i="23"/>
  <c r="J79" i="23"/>
  <c r="J83" i="23"/>
  <c r="J87" i="23"/>
  <c r="L4" i="23"/>
  <c r="L14" i="23"/>
  <c r="L19" i="23"/>
  <c r="L25" i="23"/>
  <c r="L29" i="23"/>
  <c r="L33" i="23"/>
  <c r="L38" i="23"/>
  <c r="L43" i="23"/>
  <c r="L48" i="23"/>
  <c r="L52" i="23"/>
  <c r="L57" i="23"/>
  <c r="L61" i="23"/>
  <c r="L65" i="23"/>
  <c r="L69" i="23"/>
  <c r="L73" i="23"/>
  <c r="L79" i="23"/>
  <c r="L82" i="23"/>
  <c r="L86" i="23"/>
  <c r="M4" i="23"/>
  <c r="M9" i="23"/>
  <c r="M14" i="23"/>
  <c r="M19" i="23"/>
  <c r="M25" i="23"/>
  <c r="M29" i="23"/>
  <c r="M33" i="23"/>
  <c r="M38" i="23"/>
  <c r="M43" i="23"/>
  <c r="M48" i="23"/>
  <c r="M53" i="23"/>
  <c r="M59" i="23"/>
  <c r="M63" i="23"/>
  <c r="M67" i="23"/>
  <c r="M72" i="23"/>
  <c r="M78" i="23"/>
  <c r="M82" i="23"/>
  <c r="M86" i="23"/>
  <c r="H6" i="23"/>
  <c r="H10" i="23"/>
  <c r="H14" i="23"/>
  <c r="H19" i="23"/>
  <c r="H23" i="23"/>
  <c r="H27" i="23"/>
  <c r="H31" i="23"/>
  <c r="H36" i="23"/>
  <c r="H40" i="23"/>
  <c r="H44" i="23"/>
  <c r="H50" i="23"/>
  <c r="H57" i="23"/>
  <c r="H61" i="23"/>
  <c r="H65" i="23"/>
  <c r="H69" i="23"/>
  <c r="H73" i="23"/>
  <c r="H79" i="23"/>
  <c r="H82" i="23"/>
  <c r="J3" i="23"/>
  <c r="J7" i="23"/>
  <c r="J12" i="23"/>
  <c r="J16" i="23"/>
  <c r="J21" i="23"/>
  <c r="J25" i="23"/>
  <c r="J29" i="23"/>
  <c r="J33" i="23"/>
  <c r="J38" i="23"/>
  <c r="J49" i="23"/>
  <c r="J59" i="23"/>
  <c r="J63" i="23"/>
  <c r="J67" i="23"/>
  <c r="J71" i="23"/>
  <c r="J75" i="23"/>
  <c r="J80" i="23"/>
  <c r="L5" i="23"/>
  <c r="L15" i="23"/>
  <c r="L20" i="23"/>
  <c r="L26" i="23"/>
  <c r="L30" i="23"/>
  <c r="L34" i="23"/>
  <c r="L39" i="23"/>
  <c r="L44" i="23"/>
  <c r="L49" i="23"/>
  <c r="L53" i="23"/>
  <c r="L58" i="23"/>
  <c r="L62" i="23"/>
  <c r="L66" i="23"/>
  <c r="L70" i="23"/>
  <c r="L74" i="23"/>
  <c r="L83" i="23"/>
  <c r="M6" i="23"/>
  <c r="M10" i="23"/>
  <c r="M15" i="23"/>
  <c r="M21" i="23"/>
  <c r="M26" i="23"/>
  <c r="M30" i="23"/>
  <c r="M34" i="23"/>
  <c r="M39" i="23"/>
  <c r="M44" i="23"/>
  <c r="M50" i="23"/>
  <c r="M54" i="23"/>
  <c r="M60" i="23"/>
  <c r="M64" i="23"/>
  <c r="M68" i="23"/>
  <c r="M73" i="23"/>
  <c r="M83" i="23"/>
  <c r="C18" i="24"/>
  <c r="F64" i="23"/>
  <c r="E84" i="23"/>
  <c r="D2" i="23"/>
  <c r="D88" i="23" s="1"/>
  <c r="C2" i="23"/>
  <c r="K6" i="23" l="1"/>
  <c r="K5" i="23"/>
  <c r="K84" i="23"/>
  <c r="K51" i="23"/>
  <c r="K4" i="23"/>
  <c r="K8" i="23"/>
  <c r="K9" i="23"/>
  <c r="K7" i="23"/>
  <c r="K52" i="23"/>
  <c r="K16" i="23"/>
  <c r="K50" i="23"/>
  <c r="K21" i="23"/>
  <c r="K19" i="23"/>
  <c r="K3" i="23"/>
  <c r="K10" i="23"/>
  <c r="K14" i="23"/>
  <c r="K13" i="23"/>
  <c r="K80" i="23"/>
  <c r="K15" i="23"/>
  <c r="K79" i="23"/>
  <c r="I15" i="23"/>
  <c r="I87" i="23" s="1"/>
  <c r="I2" i="23"/>
  <c r="I88" i="23" s="1"/>
  <c r="G88" i="23"/>
  <c r="C86" i="23"/>
  <c r="C71" i="23"/>
  <c r="C64" i="23"/>
  <c r="C59" i="23"/>
  <c r="C54" i="23"/>
  <c r="C40" i="23"/>
  <c r="C28" i="23"/>
  <c r="C22" i="23"/>
  <c r="C11" i="23"/>
  <c r="C66" i="23"/>
  <c r="C62" i="23"/>
  <c r="C49" i="23"/>
  <c r="C24" i="23"/>
  <c r="C20" i="23"/>
  <c r="C48" i="23"/>
  <c r="C12" i="23"/>
  <c r="C84" i="23"/>
  <c r="C70" i="23"/>
  <c r="C63" i="23"/>
  <c r="C58" i="23"/>
  <c r="C51" i="23"/>
  <c r="C34" i="23"/>
  <c r="C26" i="23"/>
  <c r="C21" i="23"/>
  <c r="C4" i="23"/>
  <c r="C79" i="23"/>
  <c r="C57" i="23"/>
  <c r="C32" i="23"/>
  <c r="C5" i="23"/>
  <c r="C75" i="23"/>
  <c r="C65" i="23"/>
  <c r="C60" i="23"/>
  <c r="C55" i="23"/>
  <c r="C29" i="23"/>
  <c r="C23" i="23"/>
  <c r="B76" i="23"/>
  <c r="B46" i="23"/>
  <c r="B44" i="23"/>
  <c r="B45" i="23"/>
  <c r="B31" i="23"/>
  <c r="B43" i="23"/>
  <c r="E32" i="23"/>
  <c r="F57" i="23"/>
  <c r="I83" i="23"/>
  <c r="E62" i="23"/>
  <c r="I29" i="23"/>
  <c r="G72" i="23"/>
  <c r="E9" i="23"/>
  <c r="E33" i="23"/>
  <c r="E63" i="23"/>
  <c r="E80" i="23"/>
  <c r="F75" i="23"/>
  <c r="G22" i="23"/>
  <c r="G50" i="23"/>
  <c r="G85" i="23"/>
  <c r="I54" i="23"/>
  <c r="G13" i="23"/>
  <c r="E16" i="23"/>
  <c r="E42" i="23"/>
  <c r="E69" i="23"/>
  <c r="F34" i="23"/>
  <c r="F79" i="23"/>
  <c r="G28" i="23"/>
  <c r="G54" i="23"/>
  <c r="I79" i="23"/>
  <c r="I59" i="23"/>
  <c r="G43" i="23"/>
  <c r="E18" i="23"/>
  <c r="E44" i="23"/>
  <c r="E73" i="23"/>
  <c r="F55" i="23"/>
  <c r="G8" i="23"/>
  <c r="G36" i="23"/>
  <c r="G65" i="23"/>
  <c r="I16" i="23"/>
  <c r="I63" i="23"/>
  <c r="E24" i="23"/>
  <c r="E45" i="23"/>
  <c r="E66" i="23"/>
  <c r="E74" i="23"/>
  <c r="E82" i="23"/>
  <c r="G3" i="23"/>
  <c r="G10" i="23"/>
  <c r="G19" i="23"/>
  <c r="G23" i="23"/>
  <c r="G29" i="23"/>
  <c r="G39" i="23"/>
  <c r="G46" i="23"/>
  <c r="G51" i="23"/>
  <c r="G58" i="23"/>
  <c r="G67" i="23"/>
  <c r="G78" i="23"/>
  <c r="G86" i="23"/>
  <c r="I41" i="23"/>
  <c r="I80" i="23"/>
  <c r="I85" i="23"/>
  <c r="I26" i="23"/>
  <c r="I30" i="23"/>
  <c r="I55" i="23"/>
  <c r="I60" i="23"/>
  <c r="I81" i="23"/>
  <c r="E14" i="23"/>
  <c r="E37" i="23"/>
  <c r="E15" i="23"/>
  <c r="E26" i="23"/>
  <c r="E38" i="23"/>
  <c r="E59" i="23"/>
  <c r="E68" i="23"/>
  <c r="E76" i="23"/>
  <c r="G5" i="23"/>
  <c r="G11" i="23"/>
  <c r="G20" i="23"/>
  <c r="G25" i="23"/>
  <c r="G30" i="23"/>
  <c r="G40" i="23"/>
  <c r="G48" i="23"/>
  <c r="G52" i="23"/>
  <c r="G60" i="23"/>
  <c r="G70" i="23"/>
  <c r="G81" i="23"/>
  <c r="G87" i="23"/>
  <c r="I31" i="23"/>
  <c r="I38" i="23"/>
  <c r="I78" i="23"/>
  <c r="I82" i="23"/>
  <c r="I27" i="23"/>
  <c r="I32" i="23"/>
  <c r="I57" i="23"/>
  <c r="I61" i="23"/>
  <c r="I86" i="23"/>
  <c r="G6" i="23"/>
  <c r="G12" i="23"/>
  <c r="G21" i="23"/>
  <c r="G27" i="23"/>
  <c r="G31" i="23"/>
  <c r="G41" i="23"/>
  <c r="G49" i="23"/>
  <c r="G53" i="23"/>
  <c r="G61" i="23"/>
  <c r="G71" i="23"/>
  <c r="G83" i="23"/>
  <c r="I28" i="23"/>
  <c r="I34" i="23"/>
  <c r="I58" i="23"/>
  <c r="I62" i="23"/>
  <c r="D15" i="23"/>
  <c r="D53" i="23"/>
  <c r="D10" i="23"/>
  <c r="D3" i="23"/>
  <c r="D81" i="23"/>
  <c r="D9" i="23"/>
  <c r="D14" i="23"/>
  <c r="D52" i="23"/>
  <c r="D78" i="23"/>
  <c r="D5" i="23"/>
  <c r="D16" i="23"/>
  <c r="D61" i="23"/>
  <c r="S61" i="23" s="1"/>
  <c r="D85" i="23"/>
  <c r="D7" i="23"/>
  <c r="D13" i="23"/>
  <c r="D27" i="23"/>
  <c r="D67" i="23"/>
  <c r="C6" i="23"/>
  <c r="C19" i="23"/>
  <c r="C38" i="23"/>
  <c r="S38" i="23" s="1"/>
  <c r="C50" i="23"/>
  <c r="C69" i="23"/>
  <c r="C87" i="23"/>
  <c r="C7" i="23"/>
  <c r="C14" i="23"/>
  <c r="C39" i="23"/>
  <c r="C41" i="23"/>
  <c r="C72" i="23"/>
  <c r="C80" i="23"/>
  <c r="C10" i="23"/>
  <c r="C13" i="23"/>
  <c r="C33" i="23"/>
  <c r="C8" i="23"/>
  <c r="C16" i="23"/>
  <c r="C30" i="23"/>
  <c r="C36" i="23"/>
  <c r="C42" i="23"/>
  <c r="C67" i="23"/>
  <c r="C73" i="23"/>
  <c r="C82" i="23"/>
  <c r="C9" i="23"/>
  <c r="C18" i="23"/>
  <c r="C31" i="23"/>
  <c r="C37" i="23"/>
  <c r="C43" i="23"/>
  <c r="C68" i="23"/>
  <c r="C74" i="23"/>
  <c r="C83" i="23"/>
  <c r="A17" i="23"/>
  <c r="A35" i="23"/>
  <c r="A47" i="23"/>
  <c r="A56" i="23"/>
  <c r="A77" i="23"/>
  <c r="A89" i="23"/>
  <c r="A90" i="23"/>
  <c r="A91" i="23"/>
  <c r="A92" i="23"/>
  <c r="A93" i="23"/>
  <c r="A94" i="23"/>
  <c r="A95" i="23"/>
  <c r="A96" i="23"/>
  <c r="A97" i="23"/>
  <c r="A98" i="23"/>
  <c r="A99" i="23"/>
  <c r="S37" i="23" l="1"/>
  <c r="I48" i="23"/>
  <c r="I24" i="23"/>
  <c r="I12" i="23"/>
  <c r="I37" i="23"/>
  <c r="I13" i="23"/>
  <c r="I73" i="23"/>
  <c r="I22" i="23"/>
  <c r="I76" i="23"/>
  <c r="I25" i="23"/>
  <c r="S25" i="23" s="1"/>
  <c r="A25" i="23" s="1"/>
  <c r="I71" i="23"/>
  <c r="S71" i="23" s="1"/>
  <c r="A71" i="23" s="1"/>
  <c r="I5" i="23"/>
  <c r="I52" i="23"/>
  <c r="I66" i="23"/>
  <c r="I69" i="23"/>
  <c r="S69" i="23" s="1"/>
  <c r="A69" i="23" s="1"/>
  <c r="I18" i="23"/>
  <c r="S18" i="23" s="1"/>
  <c r="A18" i="23" s="1"/>
  <c r="I72" i="23"/>
  <c r="I21" i="23"/>
  <c r="I53" i="23"/>
  <c r="I84" i="23"/>
  <c r="I33" i="23"/>
  <c r="I23" i="23"/>
  <c r="S83" i="23"/>
  <c r="A83" i="23" s="1"/>
  <c r="S33" i="23"/>
  <c r="A33" i="23" s="1"/>
  <c r="I65" i="23"/>
  <c r="I11" i="23"/>
  <c r="I68" i="23"/>
  <c r="I14" i="23"/>
  <c r="I44" i="23"/>
  <c r="I75" i="23"/>
  <c r="S75" i="23" s="1"/>
  <c r="A75" i="23" s="1"/>
  <c r="I8" i="23"/>
  <c r="S8" i="23" s="1"/>
  <c r="A8" i="23" s="1"/>
  <c r="I74" i="23"/>
  <c r="S13" i="23"/>
  <c r="I51" i="23"/>
  <c r="I7" i="23"/>
  <c r="S7" i="23" s="1"/>
  <c r="A7" i="23" s="1"/>
  <c r="I64" i="23"/>
  <c r="I10" i="23"/>
  <c r="I36" i="23"/>
  <c r="S36" i="23" s="1"/>
  <c r="A36" i="23" s="1"/>
  <c r="I67" i="23"/>
  <c r="S67" i="23" s="1"/>
  <c r="A67" i="23" s="1"/>
  <c r="I70" i="23"/>
  <c r="S64" i="23"/>
  <c r="S41" i="23"/>
  <c r="I46" i="23"/>
  <c r="I3" i="23"/>
  <c r="S3" i="23" s="1"/>
  <c r="A3" i="23" s="1"/>
  <c r="I50" i="23"/>
  <c r="S50" i="23" s="1"/>
  <c r="A50" i="23" s="1"/>
  <c r="I6" i="23"/>
  <c r="S6" i="23" s="1"/>
  <c r="A6" i="23" s="1"/>
  <c r="I20" i="23"/>
  <c r="I49" i="23"/>
  <c r="I43" i="23"/>
  <c r="I39" i="23"/>
  <c r="S88" i="23"/>
  <c r="S80" i="23"/>
  <c r="A80" i="23" s="1"/>
  <c r="S85" i="23"/>
  <c r="I42" i="23"/>
  <c r="S42" i="23" s="1"/>
  <c r="A42" i="23" s="1"/>
  <c r="I45" i="23"/>
  <c r="I9" i="23"/>
  <c r="S9" i="23" s="1"/>
  <c r="A9" i="23" s="1"/>
  <c r="I40" i="23"/>
  <c r="I19" i="23"/>
  <c r="S19" i="23" s="1"/>
  <c r="A19" i="23" s="1"/>
  <c r="I4" i="23"/>
  <c r="S4" i="23" s="1"/>
  <c r="A4" i="23" s="1"/>
  <c r="S84" i="23"/>
  <c r="S2" i="23"/>
  <c r="A2" i="23" s="1"/>
  <c r="S14" i="23"/>
  <c r="S30" i="23"/>
  <c r="S45" i="23"/>
  <c r="S72" i="23"/>
  <c r="A72" i="23" s="1"/>
  <c r="S82" i="23"/>
  <c r="A82" i="23" s="1"/>
  <c r="S87" i="23"/>
  <c r="S73" i="23"/>
  <c r="S68" i="23"/>
  <c r="S16" i="23"/>
  <c r="A16" i="23" s="1"/>
  <c r="S10" i="23"/>
  <c r="S39" i="23"/>
  <c r="A39" i="23" s="1"/>
  <c r="S74" i="23"/>
  <c r="S65" i="23"/>
  <c r="A65" i="23" s="1"/>
  <c r="S78" i="23"/>
  <c r="S81" i="23"/>
  <c r="S15" i="23"/>
  <c r="S46" i="23"/>
  <c r="A46" i="23" s="1"/>
  <c r="S27" i="23"/>
  <c r="S52" i="23"/>
  <c r="S76" i="23"/>
  <c r="A76" i="23" s="1"/>
  <c r="S60" i="23"/>
  <c r="A60" i="23" s="1"/>
  <c r="S32" i="23"/>
  <c r="S21" i="23"/>
  <c r="S58" i="23"/>
  <c r="A58" i="23" s="1"/>
  <c r="S12" i="23"/>
  <c r="A12" i="23" s="1"/>
  <c r="S49" i="23"/>
  <c r="A49" i="23" s="1"/>
  <c r="S22" i="23"/>
  <c r="S59" i="23"/>
  <c r="A59" i="23" s="1"/>
  <c r="S23" i="23"/>
  <c r="A23" i="23" s="1"/>
  <c r="S57" i="23"/>
  <c r="S26" i="23"/>
  <c r="A26" i="23" s="1"/>
  <c r="S63" i="23"/>
  <c r="S48" i="23"/>
  <c r="A48" i="23" s="1"/>
  <c r="S62" i="23"/>
  <c r="A62" i="23" s="1"/>
  <c r="S28" i="23"/>
  <c r="A28" i="23" s="1"/>
  <c r="S53" i="23"/>
  <c r="A53" i="23" s="1"/>
  <c r="S44" i="23"/>
  <c r="A44" i="23" s="1"/>
  <c r="S29" i="23"/>
  <c r="A29" i="23" s="1"/>
  <c r="S79" i="23"/>
  <c r="S34" i="23"/>
  <c r="A34" i="23" s="1"/>
  <c r="S70" i="23"/>
  <c r="A70" i="23" s="1"/>
  <c r="S20" i="23"/>
  <c r="A20" i="23" s="1"/>
  <c r="S66" i="23"/>
  <c r="A66" i="23" s="1"/>
  <c r="S40" i="23"/>
  <c r="A40" i="23" s="1"/>
  <c r="S55" i="23"/>
  <c r="A55" i="23" s="1"/>
  <c r="S51" i="23"/>
  <c r="A51" i="23" s="1"/>
  <c r="S24" i="23"/>
  <c r="A24" i="23" s="1"/>
  <c r="S11" i="23"/>
  <c r="A11" i="23" s="1"/>
  <c r="S54" i="23"/>
  <c r="A54" i="23" s="1"/>
  <c r="S86" i="23"/>
  <c r="A86" i="23" s="1"/>
  <c r="S5" i="23"/>
  <c r="A5" i="23" s="1"/>
  <c r="S43" i="23"/>
  <c r="S31" i="23"/>
  <c r="A31" i="23" s="1"/>
  <c r="A27" i="23"/>
  <c r="A74" i="23"/>
  <c r="A41" i="23"/>
  <c r="A45" i="23"/>
  <c r="A63" i="23"/>
  <c r="A73" i="23"/>
  <c r="A87" i="23"/>
  <c r="A68" i="23"/>
  <c r="A13" i="23"/>
  <c r="A57" i="23"/>
  <c r="A64" i="23"/>
  <c r="A10" i="23"/>
  <c r="A79" i="23"/>
  <c r="A14" i="23"/>
  <c r="A78" i="23"/>
  <c r="A15" i="23"/>
  <c r="A43" i="23"/>
  <c r="A84" i="23"/>
  <c r="A37" i="23"/>
  <c r="A52" i="23"/>
  <c r="A32" i="23"/>
  <c r="A21" i="23"/>
  <c r="A22" i="23"/>
  <c r="A85" i="23"/>
  <c r="A81" i="23"/>
  <c r="A30" i="23"/>
  <c r="A38" i="23"/>
  <c r="A61" i="23"/>
  <c r="A88" i="23"/>
  <c r="F11" i="20"/>
  <c r="D5" i="19"/>
  <c r="E5" i="19" s="1"/>
  <c r="C7" i="19"/>
  <c r="E13" i="20" l="1"/>
  <c r="G13" i="20" s="1"/>
  <c r="A13" i="20" s="1"/>
  <c r="C2" i="20"/>
  <c r="C9" i="19"/>
  <c r="B2" i="20" s="1"/>
  <c r="C8" i="19"/>
  <c r="D4" i="19" s="1"/>
  <c r="E4" i="19" s="1"/>
  <c r="C5" i="20" l="1"/>
  <c r="D3" i="19"/>
  <c r="E3" i="19" s="1"/>
  <c r="R44" i="15"/>
  <c r="O86" i="15"/>
  <c r="M5" i="15"/>
  <c r="M77" i="15" s="1"/>
  <c r="I80" i="15"/>
  <c r="B7" i="20" l="1"/>
  <c r="B3" i="20"/>
  <c r="R31" i="15"/>
  <c r="R43" i="15"/>
  <c r="I29" i="15"/>
  <c r="I25" i="15"/>
  <c r="I32" i="15"/>
  <c r="I55" i="15"/>
  <c r="I53" i="15"/>
  <c r="I30" i="15"/>
  <c r="I51" i="15"/>
  <c r="I28" i="15"/>
  <c r="I52" i="15"/>
  <c r="M74" i="15"/>
  <c r="M7" i="15"/>
  <c r="M75" i="15"/>
  <c r="M82" i="15"/>
  <c r="M6" i="15"/>
  <c r="M81" i="15"/>
  <c r="M72" i="15"/>
  <c r="M76" i="15"/>
  <c r="M73" i="15"/>
  <c r="P35" i="15"/>
  <c r="P16" i="15"/>
  <c r="P18" i="15"/>
  <c r="G63" i="15"/>
  <c r="F68" i="15"/>
  <c r="E15" i="16"/>
  <c r="E14" i="16"/>
  <c r="F48" i="15" l="1"/>
  <c r="F24" i="15"/>
  <c r="F36" i="15"/>
  <c r="H6" i="15"/>
  <c r="H11" i="15"/>
  <c r="H15" i="15"/>
  <c r="H19" i="15"/>
  <c r="H29" i="15"/>
  <c r="H35" i="15"/>
  <c r="H43" i="15"/>
  <c r="H47" i="15"/>
  <c r="H53" i="15"/>
  <c r="H60" i="15"/>
  <c r="H66" i="15"/>
  <c r="H73" i="15"/>
  <c r="H77" i="15"/>
  <c r="H81" i="15"/>
  <c r="G34" i="15"/>
  <c r="H5" i="15"/>
  <c r="H14" i="15"/>
  <c r="H28" i="15"/>
  <c r="H41" i="15"/>
  <c r="H52" i="15"/>
  <c r="H65" i="15"/>
  <c r="H76" i="15"/>
  <c r="G21" i="15"/>
  <c r="G22" i="15"/>
  <c r="G57" i="15"/>
  <c r="H3" i="15"/>
  <c r="H7" i="15"/>
  <c r="H12" i="15"/>
  <c r="H16" i="15"/>
  <c r="H25" i="15"/>
  <c r="H30" i="15"/>
  <c r="H38" i="15"/>
  <c r="H44" i="15"/>
  <c r="H49" i="15"/>
  <c r="H55" i="15"/>
  <c r="H61" i="15"/>
  <c r="H67" i="15"/>
  <c r="H74" i="15"/>
  <c r="H78" i="15"/>
  <c r="H82" i="15"/>
  <c r="G69" i="15"/>
  <c r="H10" i="15"/>
  <c r="H18" i="15"/>
  <c r="H32" i="15"/>
  <c r="H46" i="15"/>
  <c r="H58" i="15"/>
  <c r="H72" i="15"/>
  <c r="H80" i="15"/>
  <c r="G40" i="15"/>
  <c r="G33" i="15"/>
  <c r="H4" i="15"/>
  <c r="H9" i="15"/>
  <c r="H13" i="15"/>
  <c r="H17" i="15"/>
  <c r="H27" i="15"/>
  <c r="H31" i="15"/>
  <c r="H39" i="15"/>
  <c r="H45" i="15"/>
  <c r="H51" i="15"/>
  <c r="H56" i="15"/>
  <c r="H62" i="15"/>
  <c r="H71" i="15"/>
  <c r="H75" i="15"/>
  <c r="H79" i="15"/>
  <c r="E13" i="16" l="1"/>
  <c r="D12" i="16"/>
  <c r="E12" i="16" s="1"/>
  <c r="E10" i="16"/>
  <c r="D9" i="16"/>
  <c r="E9" i="16" s="1"/>
  <c r="D8" i="16"/>
  <c r="E8" i="16" s="1"/>
  <c r="D7" i="16"/>
  <c r="E7" i="16" s="1"/>
  <c r="E6" i="16"/>
  <c r="E5" i="16"/>
  <c r="E4" i="16"/>
  <c r="C13" i="16"/>
  <c r="C11" i="16"/>
  <c r="L2" i="15" s="1"/>
  <c r="G2" i="20"/>
  <c r="A2" i="20" s="1"/>
  <c r="G3" i="20"/>
  <c r="A3" i="20" s="1"/>
  <c r="G4" i="20"/>
  <c r="A4" i="20" s="1"/>
  <c r="G5" i="20"/>
  <c r="A5" i="20" s="1"/>
  <c r="G6" i="20"/>
  <c r="A6" i="20" s="1"/>
  <c r="G7" i="20"/>
  <c r="A7" i="20" s="1"/>
  <c r="G8" i="20"/>
  <c r="A8" i="20" s="1"/>
  <c r="G9" i="20"/>
  <c r="A9" i="20" s="1"/>
  <c r="G10" i="20"/>
  <c r="A10" i="20" s="1"/>
  <c r="G11" i="20"/>
  <c r="A11" i="20" s="1"/>
  <c r="G12" i="20"/>
  <c r="A12" i="20" s="1"/>
  <c r="C2" i="15" l="1"/>
  <c r="C81" i="15" s="1"/>
  <c r="D11" i="15"/>
  <c r="E9" i="15"/>
  <c r="C46" i="15"/>
  <c r="C3" i="15"/>
  <c r="C80" i="15"/>
  <c r="L7" i="15"/>
  <c r="L12" i="15"/>
  <c r="L69" i="15"/>
  <c r="L17" i="15"/>
  <c r="L34" i="15"/>
  <c r="L55" i="15"/>
  <c r="L75" i="15"/>
  <c r="L29" i="15"/>
  <c r="L10" i="15"/>
  <c r="L27" i="15"/>
  <c r="L46" i="15"/>
  <c r="L66" i="15"/>
  <c r="L86" i="15"/>
  <c r="L58" i="15"/>
  <c r="L19" i="15"/>
  <c r="L38" i="15"/>
  <c r="L57" i="15"/>
  <c r="L77" i="15"/>
  <c r="L4" i="15"/>
  <c r="L30" i="15"/>
  <c r="L49" i="15"/>
  <c r="L74" i="15"/>
  <c r="L61" i="15"/>
  <c r="L15" i="15"/>
  <c r="L52" i="15"/>
  <c r="L24" i="15"/>
  <c r="L82" i="15"/>
  <c r="L21" i="15"/>
  <c r="L40" i="15"/>
  <c r="L60" i="15"/>
  <c r="L79" i="15"/>
  <c r="L44" i="15"/>
  <c r="L14" i="15"/>
  <c r="L31" i="15"/>
  <c r="L51" i="15"/>
  <c r="L72" i="15"/>
  <c r="L16" i="15"/>
  <c r="L78" i="15"/>
  <c r="L23" i="15"/>
  <c r="L43" i="15"/>
  <c r="L62" i="15"/>
  <c r="L81" i="15"/>
  <c r="L5" i="15"/>
  <c r="L53" i="15"/>
  <c r="L20" i="15"/>
  <c r="L41" i="15"/>
  <c r="L48" i="15"/>
  <c r="L73" i="15"/>
  <c r="L39" i="15"/>
  <c r="L9" i="15"/>
  <c r="L25" i="15"/>
  <c r="L45" i="15"/>
  <c r="L65" i="15"/>
  <c r="L84" i="15"/>
  <c r="L63" i="15"/>
  <c r="L18" i="15"/>
  <c r="L35" i="15"/>
  <c r="L56" i="15"/>
  <c r="L76" i="15"/>
  <c r="L33" i="15"/>
  <c r="L11" i="15"/>
  <c r="L28" i="15"/>
  <c r="L47" i="15"/>
  <c r="L67" i="15"/>
  <c r="L3" i="15"/>
  <c r="L13" i="15"/>
  <c r="L71" i="15"/>
  <c r="L22" i="15"/>
  <c r="L80" i="15"/>
  <c r="L32" i="15"/>
  <c r="L6" i="15"/>
  <c r="E11" i="16"/>
  <c r="K36" i="15"/>
  <c r="E3" i="16"/>
  <c r="B4" i="15"/>
  <c r="C47" i="15" l="1"/>
  <c r="C79" i="15"/>
  <c r="E72" i="15"/>
  <c r="E12" i="15"/>
  <c r="E58" i="15"/>
  <c r="E16" i="15"/>
  <c r="E48" i="15"/>
  <c r="E68" i="15"/>
  <c r="E23" i="15"/>
  <c r="E18" i="15"/>
  <c r="E41" i="15"/>
  <c r="E36" i="15"/>
  <c r="E28" i="15"/>
  <c r="E35" i="15"/>
  <c r="E19" i="15"/>
  <c r="E38" i="15"/>
  <c r="E67" i="15"/>
  <c r="E14" i="15"/>
  <c r="E62" i="15"/>
  <c r="E44" i="15"/>
  <c r="E32" i="15"/>
  <c r="E40" i="15"/>
  <c r="E21" i="15"/>
  <c r="E71" i="15"/>
  <c r="E63" i="15"/>
  <c r="E39" i="15"/>
  <c r="D65" i="15"/>
  <c r="D33" i="15"/>
  <c r="D56" i="15"/>
  <c r="D31" i="15"/>
  <c r="D61" i="15"/>
  <c r="D53" i="15"/>
  <c r="D55" i="15"/>
  <c r="D51" i="15"/>
  <c r="D27" i="15"/>
  <c r="D60" i="15"/>
  <c r="D25" i="15"/>
  <c r="D57" i="15"/>
  <c r="D30" i="15"/>
  <c r="D69" i="15"/>
  <c r="D29" i="15"/>
  <c r="D52" i="15"/>
  <c r="D43" i="15"/>
  <c r="D66" i="15"/>
  <c r="K68" i="15"/>
  <c r="B86" i="15"/>
  <c r="B77" i="15"/>
  <c r="B73" i="15"/>
  <c r="B24" i="15"/>
  <c r="B15" i="15"/>
  <c r="B6" i="15"/>
  <c r="B74" i="15"/>
  <c r="B17" i="15"/>
  <c r="B84" i="15"/>
  <c r="B76" i="15"/>
  <c r="B49" i="15"/>
  <c r="B22" i="15"/>
  <c r="B13" i="15"/>
  <c r="B5" i="15"/>
  <c r="B78" i="15"/>
  <c r="B34" i="15"/>
  <c r="B7" i="15"/>
  <c r="B82" i="15"/>
  <c r="B75" i="15"/>
  <c r="B45" i="15"/>
  <c r="B20" i="15"/>
  <c r="B10" i="15"/>
  <c r="A62" i="11"/>
  <c r="A64" i="11"/>
  <c r="A7" i="15" l="1"/>
  <c r="A6" i="15"/>
  <c r="A5" i="15"/>
  <c r="A83" i="15"/>
  <c r="A84" i="15"/>
  <c r="A85" i="15"/>
  <c r="A86" i="15"/>
  <c r="A87" i="15"/>
  <c r="A88" i="15"/>
  <c r="A77" i="15"/>
  <c r="A78" i="15"/>
  <c r="A79" i="15"/>
  <c r="A80" i="15"/>
  <c r="A81" i="15"/>
  <c r="A82" i="15"/>
  <c r="A69" i="15"/>
  <c r="A70" i="15"/>
  <c r="A71" i="15"/>
  <c r="A72" i="15"/>
  <c r="A73" i="15"/>
  <c r="A74" i="15"/>
  <c r="A75" i="15"/>
  <c r="A76" i="15"/>
  <c r="A59" i="15" l="1"/>
  <c r="A60" i="15"/>
  <c r="A61" i="15"/>
  <c r="A62" i="15"/>
  <c r="A63" i="15"/>
  <c r="A64" i="15"/>
  <c r="A65" i="15"/>
  <c r="A66" i="15"/>
  <c r="A67" i="15"/>
  <c r="A68" i="15"/>
  <c r="A56" i="15"/>
  <c r="A57" i="15"/>
  <c r="A58" i="15"/>
  <c r="A51" i="15"/>
  <c r="A52" i="15"/>
  <c r="A53" i="15"/>
  <c r="A54" i="15"/>
  <c r="A55" i="15"/>
  <c r="A44" i="15" l="1"/>
  <c r="A45" i="15"/>
  <c r="A46" i="15"/>
  <c r="A47" i="15"/>
  <c r="A48" i="15"/>
  <c r="A49" i="15"/>
  <c r="A50" i="15"/>
  <c r="A34" i="15"/>
  <c r="A35" i="15"/>
  <c r="A36" i="15"/>
  <c r="A37" i="15"/>
  <c r="A38" i="15"/>
  <c r="A39" i="15"/>
  <c r="A40" i="15"/>
  <c r="A41" i="15"/>
  <c r="A42" i="15"/>
  <c r="A43" i="15"/>
  <c r="A2" i="15"/>
  <c r="A3" i="15"/>
  <c r="A4" i="15"/>
  <c r="A8" i="15"/>
  <c r="A9" i="15"/>
  <c r="A10" i="15"/>
  <c r="A11" i="15"/>
  <c r="A12" i="15"/>
  <c r="A13" i="15"/>
  <c r="A14" i="15"/>
  <c r="A15" i="15"/>
  <c r="A16" i="15"/>
  <c r="A17" i="15"/>
  <c r="A18" i="15"/>
  <c r="A19" i="15"/>
  <c r="A20" i="15"/>
  <c r="A21" i="15"/>
  <c r="A23" i="15"/>
  <c r="A24" i="15"/>
  <c r="A25" i="15"/>
  <c r="A26" i="15"/>
  <c r="A27" i="15"/>
  <c r="A28" i="15"/>
  <c r="A29" i="15"/>
  <c r="A30" i="15"/>
  <c r="A31" i="15"/>
  <c r="A32" i="15"/>
  <c r="A33" i="15"/>
  <c r="A22" i="15"/>
  <c r="C12" i="14"/>
  <c r="AC95" i="13" s="1"/>
  <c r="C14" i="14"/>
  <c r="Z102" i="13" s="1"/>
  <c r="AC121" i="13" l="1"/>
  <c r="AC119" i="13"/>
  <c r="AC114" i="13"/>
  <c r="AC122" i="13"/>
  <c r="AC113" i="13"/>
  <c r="C9" i="14"/>
  <c r="C10" i="14"/>
  <c r="C11" i="14" l="1"/>
  <c r="C7" i="14"/>
  <c r="AD54" i="13" s="1"/>
  <c r="C4" i="14"/>
  <c r="E9" i="13" s="1"/>
  <c r="C5" i="14"/>
  <c r="C6" i="14"/>
  <c r="C8" i="14"/>
  <c r="L9" i="13" s="1"/>
  <c r="C3" i="14"/>
  <c r="Q30" i="13" l="1"/>
  <c r="L17" i="13"/>
  <c r="L109" i="13"/>
  <c r="L11" i="13"/>
  <c r="L108" i="13"/>
  <c r="L107" i="13"/>
  <c r="T42" i="13"/>
  <c r="R83" i="13"/>
  <c r="V48" i="13"/>
  <c r="K7" i="13"/>
  <c r="S116" i="13"/>
  <c r="S117" i="13" s="1"/>
  <c r="P24" i="13"/>
  <c r="D10" i="14"/>
  <c r="E10" i="14" s="1"/>
  <c r="C2" i="13"/>
  <c r="AE2" i="13" s="1"/>
  <c r="B7" i="13"/>
  <c r="N92" i="13"/>
  <c r="O23" i="13"/>
  <c r="AB97" i="13"/>
  <c r="E112" i="13"/>
  <c r="E107" i="13"/>
  <c r="E94" i="13"/>
  <c r="E90" i="13"/>
  <c r="E80" i="13"/>
  <c r="E51" i="13"/>
  <c r="E40" i="13"/>
  <c r="E36" i="13"/>
  <c r="E32" i="13"/>
  <c r="E27" i="13"/>
  <c r="E22" i="13"/>
  <c r="E17" i="13"/>
  <c r="E13" i="13"/>
  <c r="E93" i="13"/>
  <c r="E79" i="13"/>
  <c r="E39" i="13"/>
  <c r="E31" i="13"/>
  <c r="E21" i="13"/>
  <c r="E12" i="13"/>
  <c r="E109" i="13"/>
  <c r="E98" i="13"/>
  <c r="E62" i="13"/>
  <c r="E38" i="13"/>
  <c r="E116" i="13"/>
  <c r="E108" i="13"/>
  <c r="E95" i="13"/>
  <c r="E91" i="13"/>
  <c r="E81" i="13"/>
  <c r="E52" i="13"/>
  <c r="E48" i="13"/>
  <c r="E37" i="13"/>
  <c r="E33" i="13"/>
  <c r="E28" i="13"/>
  <c r="E23" i="13"/>
  <c r="E19" i="13"/>
  <c r="E14" i="13"/>
  <c r="E10" i="13"/>
  <c r="E110" i="13"/>
  <c r="E100" i="13"/>
  <c r="E88" i="13"/>
  <c r="E50" i="13"/>
  <c r="E35" i="13"/>
  <c r="E26" i="13"/>
  <c r="E16" i="13"/>
  <c r="E120" i="13"/>
  <c r="E87" i="13"/>
  <c r="E49" i="13"/>
  <c r="E34" i="13"/>
  <c r="E15" i="13"/>
  <c r="E30" i="13"/>
  <c r="E11" i="13"/>
  <c r="E24" i="13"/>
  <c r="E92" i="13"/>
  <c r="E20" i="13"/>
  <c r="D21" i="14"/>
  <c r="E19" i="14" s="1"/>
  <c r="D14" i="14"/>
  <c r="E13" i="14" s="1"/>
  <c r="D18" i="14"/>
  <c r="E16" i="14" s="1"/>
  <c r="D17" i="14"/>
  <c r="D16" i="14"/>
  <c r="E15" i="14" s="1"/>
  <c r="D15" i="14"/>
  <c r="E14" i="14" s="1"/>
  <c r="D3" i="14"/>
  <c r="E3" i="14" s="1"/>
  <c r="D22" i="14"/>
  <c r="E20" i="14" s="1"/>
  <c r="AC120" i="13"/>
  <c r="D20" i="14"/>
  <c r="E18" i="14" s="1"/>
  <c r="D12" i="14"/>
  <c r="E12" i="14" s="1"/>
  <c r="D19" i="14"/>
  <c r="E17" i="14" s="1"/>
  <c r="D11" i="14"/>
  <c r="E11" i="14" s="1"/>
  <c r="D8" i="14"/>
  <c r="E8" i="14" s="1"/>
  <c r="D4" i="14"/>
  <c r="E4" i="14" s="1"/>
  <c r="D7" i="14"/>
  <c r="E7" i="14" s="1"/>
  <c r="D9" i="14"/>
  <c r="E9" i="14" s="1"/>
  <c r="D6" i="14"/>
  <c r="E6" i="14" s="1"/>
  <c r="D5" i="14"/>
  <c r="E5" i="14" s="1"/>
  <c r="A58" i="11"/>
  <c r="A46" i="11"/>
  <c r="A36" i="11"/>
  <c r="A54" i="11"/>
  <c r="A60" i="11"/>
  <c r="C5" i="12"/>
  <c r="G5" i="11" s="1"/>
  <c r="G18" i="11" l="1"/>
  <c r="G12" i="11"/>
  <c r="G14" i="11"/>
  <c r="G16" i="11"/>
  <c r="G13" i="11"/>
  <c r="G15" i="11"/>
  <c r="G19" i="11"/>
  <c r="AE7" i="13"/>
  <c r="R111" i="13"/>
  <c r="R105" i="13"/>
  <c r="R104" i="13"/>
  <c r="R91" i="13"/>
  <c r="R94" i="13"/>
  <c r="R110" i="13"/>
  <c r="B9" i="13"/>
  <c r="AE9" i="13" s="1"/>
  <c r="B120" i="13"/>
  <c r="AE120" i="13" s="1"/>
  <c r="B113" i="13"/>
  <c r="AE113" i="13" s="1"/>
  <c r="B95" i="13"/>
  <c r="AE95" i="13" s="1"/>
  <c r="B90" i="13"/>
  <c r="B80" i="13"/>
  <c r="B73" i="13"/>
  <c r="B68" i="13"/>
  <c r="B50" i="13"/>
  <c r="B45" i="13"/>
  <c r="B34" i="13"/>
  <c r="B30" i="13"/>
  <c r="AE30" i="13" s="1"/>
  <c r="B10" i="13"/>
  <c r="B119" i="13"/>
  <c r="AE119" i="13" s="1"/>
  <c r="B109" i="13"/>
  <c r="AE109" i="13" s="1"/>
  <c r="B94" i="13"/>
  <c r="AE94" i="13" s="1"/>
  <c r="B88" i="13"/>
  <c r="B79" i="13"/>
  <c r="AE79" i="13" s="1"/>
  <c r="B72" i="13"/>
  <c r="B67" i="13"/>
  <c r="AE67" i="13" s="1"/>
  <c r="B49" i="13"/>
  <c r="B37" i="13"/>
  <c r="B33" i="13"/>
  <c r="B17" i="13"/>
  <c r="AE17" i="13" s="1"/>
  <c r="B13" i="13"/>
  <c r="B12" i="13"/>
  <c r="B122" i="13"/>
  <c r="AE122" i="13" s="1"/>
  <c r="B116" i="13"/>
  <c r="AE116" i="13" s="1"/>
  <c r="B108" i="13"/>
  <c r="AE108" i="13" s="1"/>
  <c r="B93" i="13"/>
  <c r="B87" i="13"/>
  <c r="AE87" i="13" s="1"/>
  <c r="B77" i="13"/>
  <c r="B71" i="13"/>
  <c r="B52" i="13"/>
  <c r="B48" i="13"/>
  <c r="AE48" i="13" s="1"/>
  <c r="B36" i="13"/>
  <c r="B32" i="13"/>
  <c r="B16" i="13"/>
  <c r="B121" i="13"/>
  <c r="AE121" i="13" s="1"/>
  <c r="B114" i="13"/>
  <c r="AE114" i="13" s="1"/>
  <c r="B107" i="13"/>
  <c r="AE107" i="13" s="1"/>
  <c r="B91" i="13"/>
  <c r="B81" i="13"/>
  <c r="B75" i="13"/>
  <c r="AE75" i="13" s="1"/>
  <c r="B69" i="13"/>
  <c r="B51" i="13"/>
  <c r="B46" i="13"/>
  <c r="B35" i="13"/>
  <c r="B31" i="13"/>
  <c r="B15" i="13"/>
  <c r="B11" i="13"/>
  <c r="AE11" i="13" s="1"/>
  <c r="B14" i="13"/>
  <c r="C111" i="13"/>
  <c r="AE111" i="13" s="1"/>
  <c r="C102" i="13"/>
  <c r="AE102" i="13" s="1"/>
  <c r="C97" i="13"/>
  <c r="AE97" i="13" s="1"/>
  <c r="C84" i="13"/>
  <c r="C62" i="13"/>
  <c r="C58" i="13"/>
  <c r="C54" i="13"/>
  <c r="AE54" i="13" s="1"/>
  <c r="C39" i="13"/>
  <c r="C26" i="13"/>
  <c r="C21" i="13"/>
  <c r="C4" i="13"/>
  <c r="C110" i="13"/>
  <c r="AE110" i="13" s="1"/>
  <c r="C100" i="13"/>
  <c r="C83" i="13"/>
  <c r="AE83" i="13" s="1"/>
  <c r="C61" i="13"/>
  <c r="C57" i="13"/>
  <c r="C43" i="13"/>
  <c r="C38" i="13"/>
  <c r="C20" i="13"/>
  <c r="C3" i="13"/>
  <c r="C22" i="13"/>
  <c r="C92" i="13"/>
  <c r="AE92" i="13" s="1"/>
  <c r="C24" i="13"/>
  <c r="AE24" i="13" s="1"/>
  <c r="C117" i="13"/>
  <c r="AE117" i="13" s="1"/>
  <c r="C105" i="13"/>
  <c r="C99" i="13"/>
  <c r="C86" i="13"/>
  <c r="AE86" i="13" s="1"/>
  <c r="C65" i="13"/>
  <c r="C60" i="13"/>
  <c r="C56" i="13"/>
  <c r="C42" i="13"/>
  <c r="AE42" i="13" s="1"/>
  <c r="C28" i="13"/>
  <c r="C23" i="13"/>
  <c r="AE23" i="13" s="1"/>
  <c r="C19" i="13"/>
  <c r="AE19" i="13" s="1"/>
  <c r="C112" i="13"/>
  <c r="C104" i="13"/>
  <c r="AE104" i="13" s="1"/>
  <c r="C98" i="13"/>
  <c r="C85" i="13"/>
  <c r="AE85" i="13" s="1"/>
  <c r="C64" i="13"/>
  <c r="C59" i="13"/>
  <c r="C55" i="13"/>
  <c r="C40" i="13"/>
  <c r="C27" i="13"/>
  <c r="C5" i="13"/>
  <c r="Q34" i="13"/>
  <c r="Q36" i="13"/>
  <c r="Q37" i="13"/>
  <c r="T43" i="13"/>
  <c r="T65" i="13"/>
  <c r="T64" i="13"/>
  <c r="AB99" i="13"/>
  <c r="AB98" i="13"/>
  <c r="U3" i="13"/>
  <c r="X77" i="13"/>
  <c r="R84" i="13"/>
  <c r="AD57" i="13"/>
  <c r="AE57" i="13" s="1"/>
  <c r="AD59" i="13"/>
  <c r="AD62" i="13"/>
  <c r="AD56" i="13"/>
  <c r="AD58" i="13"/>
  <c r="W71" i="13"/>
  <c r="W69" i="13"/>
  <c r="W72" i="13"/>
  <c r="W73" i="13"/>
  <c r="W68" i="13"/>
  <c r="AD55" i="13"/>
  <c r="AE55" i="13" s="1"/>
  <c r="AD60" i="13"/>
  <c r="AD61" i="13"/>
  <c r="U5" i="13"/>
  <c r="U4" i="13"/>
  <c r="Y46" i="13"/>
  <c r="Y45" i="13"/>
  <c r="M93" i="13"/>
  <c r="M90" i="13"/>
  <c r="AE90" i="13" s="1"/>
  <c r="M88" i="13"/>
  <c r="N100" i="13"/>
  <c r="N112" i="13"/>
  <c r="N26" i="13"/>
  <c r="AE26" i="13" s="1"/>
  <c r="N27" i="13"/>
  <c r="AE27" i="13" s="1"/>
  <c r="N28" i="13"/>
  <c r="L10" i="13"/>
  <c r="AE10" i="13" s="1"/>
  <c r="L16" i="13"/>
  <c r="AE16" i="13" s="1"/>
  <c r="L12" i="13"/>
  <c r="L13" i="13"/>
  <c r="L15" i="13"/>
  <c r="L14" i="13"/>
  <c r="Q35" i="13"/>
  <c r="Q32" i="13"/>
  <c r="AE32" i="13" s="1"/>
  <c r="Q31" i="13"/>
  <c r="Q33" i="13"/>
  <c r="Z81" i="13"/>
  <c r="AE81" i="13" s="1"/>
  <c r="Z80" i="13"/>
  <c r="V51" i="13"/>
  <c r="V50" i="13"/>
  <c r="V52" i="13"/>
  <c r="V49" i="13"/>
  <c r="AE49" i="13" s="1"/>
  <c r="P39" i="13"/>
  <c r="P40" i="13"/>
  <c r="AE40" i="13" s="1"/>
  <c r="P38" i="13"/>
  <c r="O22" i="13"/>
  <c r="O28" i="13"/>
  <c r="O20" i="13"/>
  <c r="O21" i="13"/>
  <c r="C10" i="9"/>
  <c r="D9" i="7"/>
  <c r="D7" i="7"/>
  <c r="D6" i="7"/>
  <c r="D13" i="4"/>
  <c r="E5" i="4"/>
  <c r="D10" i="1"/>
  <c r="E10" i="1" s="1"/>
  <c r="M20" i="3"/>
  <c r="AE50" i="13" l="1"/>
  <c r="AE22" i="13"/>
  <c r="AE13" i="13"/>
  <c r="AE100" i="13"/>
  <c r="AE98" i="13"/>
  <c r="AE88" i="13"/>
  <c r="AE60" i="13"/>
  <c r="AE62" i="13"/>
  <c r="AE31" i="13"/>
  <c r="AE105" i="13"/>
  <c r="AE80" i="13"/>
  <c r="AE51" i="13"/>
  <c r="AE15" i="13"/>
  <c r="AE93" i="13"/>
  <c r="AE58" i="13"/>
  <c r="AE21" i="13"/>
  <c r="AE38" i="13"/>
  <c r="AE52" i="13"/>
  <c r="AE12" i="13"/>
  <c r="AE56" i="13"/>
  <c r="AE99" i="13"/>
  <c r="AE37" i="13"/>
  <c r="AE91" i="13"/>
  <c r="AE33" i="13"/>
  <c r="AE61" i="13"/>
  <c r="AE65" i="13"/>
  <c r="AE64" i="13"/>
  <c r="AE77" i="13"/>
  <c r="AE68" i="13"/>
  <c r="AE84" i="13"/>
  <c r="AE46" i="13"/>
  <c r="AE72" i="13"/>
  <c r="AE73" i="13"/>
  <c r="AE20" i="13"/>
  <c r="AE4" i="13"/>
  <c r="AE36" i="13"/>
  <c r="AE45" i="13"/>
  <c r="AE35" i="13"/>
  <c r="AE14" i="13"/>
  <c r="AE39" i="13"/>
  <c r="AE112" i="13"/>
  <c r="AE5" i="13"/>
  <c r="AE59" i="13"/>
  <c r="AE3" i="13"/>
  <c r="AE34" i="13"/>
  <c r="AE43" i="13"/>
  <c r="AE69" i="13"/>
  <c r="AE71" i="13"/>
  <c r="AE28" i="13"/>
  <c r="M120" i="3"/>
  <c r="M139" i="3"/>
  <c r="M131" i="3"/>
  <c r="M127" i="3"/>
  <c r="M39" i="3"/>
  <c r="M155" i="3"/>
  <c r="P155" i="3" s="1"/>
  <c r="M61" i="3"/>
  <c r="P61" i="3" s="1"/>
  <c r="M57" i="3"/>
  <c r="P57" i="3" s="1"/>
  <c r="M135" i="3"/>
  <c r="M130" i="3"/>
  <c r="M42" i="3"/>
  <c r="M38" i="3"/>
  <c r="M153" i="3"/>
  <c r="P153" i="3" s="1"/>
  <c r="M60" i="3"/>
  <c r="P60" i="3" s="1"/>
  <c r="M52" i="3"/>
  <c r="P52" i="3" s="1"/>
  <c r="M132" i="3"/>
  <c r="M40" i="3"/>
  <c r="M151" i="3"/>
  <c r="P151" i="3" s="1"/>
  <c r="M58" i="3"/>
  <c r="P58" i="3" s="1"/>
  <c r="M133" i="3"/>
  <c r="M129" i="3"/>
  <c r="M41" i="3"/>
  <c r="M37" i="3"/>
  <c r="M158" i="3"/>
  <c r="P158" i="3" s="1"/>
  <c r="M152" i="3"/>
  <c r="P152" i="3" s="1"/>
  <c r="M59" i="3"/>
  <c r="P59" i="3" s="1"/>
  <c r="M51" i="3"/>
  <c r="P51" i="3" s="1"/>
  <c r="M142" i="3"/>
  <c r="M128" i="3"/>
  <c r="M157" i="3"/>
  <c r="P157" i="3" s="1"/>
  <c r="M119" i="3"/>
  <c r="M21" i="3"/>
  <c r="M121" i="3"/>
  <c r="M101" i="3"/>
  <c r="M125" i="3"/>
  <c r="J19" i="3"/>
  <c r="A55" i="3"/>
  <c r="A79" i="3"/>
  <c r="A97" i="3"/>
  <c r="A104" i="3"/>
  <c r="A114" i="3"/>
  <c r="A144" i="3"/>
  <c r="A148" i="3"/>
  <c r="J115" i="3" l="1"/>
  <c r="J35" i="3"/>
  <c r="P35" i="3" s="1"/>
  <c r="J45" i="3"/>
  <c r="J64" i="3"/>
  <c r="J116" i="3"/>
  <c r="J124" i="3"/>
  <c r="J46" i="3"/>
  <c r="J117" i="3"/>
  <c r="J62" i="3"/>
  <c r="D9" i="1"/>
  <c r="E9" i="1" s="1"/>
  <c r="C7" i="1"/>
  <c r="D6" i="1"/>
  <c r="C11" i="1"/>
  <c r="C12" i="1"/>
  <c r="C10" i="1"/>
  <c r="E6" i="4"/>
  <c r="F6" i="4" s="1"/>
  <c r="F5" i="4"/>
  <c r="E9" i="4"/>
  <c r="F9" i="4" s="1"/>
  <c r="O51" i="8"/>
  <c r="Q52" i="8" s="1"/>
  <c r="O6" i="8"/>
  <c r="K16" i="3" l="1"/>
  <c r="D7" i="1"/>
  <c r="C10" i="3"/>
  <c r="P51" i="8"/>
  <c r="P52" i="8"/>
  <c r="P53" i="8"/>
  <c r="O53" i="8"/>
  <c r="C4" i="7"/>
  <c r="C12" i="8" s="1"/>
  <c r="K123" i="3" l="1"/>
  <c r="K90" i="3"/>
  <c r="K68" i="3"/>
  <c r="K124" i="3"/>
  <c r="K33" i="3"/>
  <c r="K111" i="3"/>
  <c r="K106" i="3"/>
  <c r="K29" i="3"/>
  <c r="K26" i="3"/>
  <c r="K120" i="3"/>
  <c r="K109" i="3"/>
  <c r="K21" i="3"/>
  <c r="K125" i="3"/>
  <c r="K27" i="3"/>
  <c r="K126" i="3"/>
  <c r="K105" i="3"/>
  <c r="K91" i="3"/>
  <c r="K28" i="3"/>
  <c r="K107" i="3"/>
  <c r="K32" i="3"/>
  <c r="K122" i="3"/>
  <c r="K30" i="3"/>
  <c r="K31" i="3"/>
  <c r="K110" i="3"/>
  <c r="K39" i="3"/>
  <c r="K40" i="3"/>
  <c r="K119" i="3"/>
  <c r="K20" i="3"/>
  <c r="K101" i="3"/>
  <c r="K108" i="3"/>
  <c r="K113" i="3"/>
  <c r="K121" i="3"/>
  <c r="K76" i="3"/>
  <c r="K72" i="3"/>
  <c r="K74" i="3"/>
  <c r="K112" i="3"/>
  <c r="K63" i="3"/>
  <c r="K17" i="3"/>
  <c r="P17" i="3" s="1"/>
  <c r="K140" i="3"/>
  <c r="K24" i="3"/>
  <c r="K25" i="3"/>
  <c r="K116" i="3"/>
  <c r="K19" i="3"/>
  <c r="K71" i="3"/>
  <c r="K67" i="3"/>
  <c r="K73" i="3"/>
  <c r="K93" i="3"/>
  <c r="K46" i="3"/>
  <c r="K43" i="3"/>
  <c r="K18" i="3"/>
  <c r="K49" i="3"/>
  <c r="K75" i="3"/>
  <c r="K50" i="3"/>
  <c r="K47" i="3"/>
  <c r="K22" i="3"/>
  <c r="K23" i="3"/>
  <c r="K92" i="3"/>
  <c r="K118" i="3"/>
  <c r="K78" i="3"/>
  <c r="K117" i="3"/>
  <c r="K65" i="3"/>
  <c r="K62" i="3"/>
  <c r="K44" i="3"/>
  <c r="K45" i="3"/>
  <c r="K66" i="3"/>
  <c r="K48" i="3"/>
  <c r="K64" i="3"/>
  <c r="K115" i="3"/>
  <c r="K141" i="3"/>
  <c r="C27" i="8"/>
  <c r="C13" i="8"/>
  <c r="C14" i="8"/>
  <c r="C29" i="8"/>
  <c r="C28" i="8"/>
  <c r="C137" i="3"/>
  <c r="C103" i="3"/>
  <c r="C99" i="3"/>
  <c r="C94" i="3"/>
  <c r="C56" i="3"/>
  <c r="C122" i="3"/>
  <c r="C136" i="3"/>
  <c r="C102" i="3"/>
  <c r="C98" i="3"/>
  <c r="C59" i="3"/>
  <c r="C138" i="3"/>
  <c r="C95" i="3"/>
  <c r="C123" i="3"/>
  <c r="C101" i="3"/>
  <c r="C96" i="3"/>
  <c r="C58" i="3"/>
  <c r="C54" i="3"/>
  <c r="C100" i="3"/>
  <c r="C57" i="3"/>
  <c r="C53" i="3"/>
  <c r="C33" i="3"/>
  <c r="C29" i="3"/>
  <c r="C17" i="3"/>
  <c r="C13" i="3"/>
  <c r="C30" i="3"/>
  <c r="C32" i="3"/>
  <c r="C28" i="3"/>
  <c r="C12" i="3"/>
  <c r="C26" i="3"/>
  <c r="C14" i="3"/>
  <c r="C31" i="3"/>
  <c r="C27" i="3"/>
  <c r="C11" i="3"/>
  <c r="A119" i="13"/>
  <c r="A120" i="13"/>
  <c r="A121" i="13"/>
  <c r="A122" i="13"/>
  <c r="A123" i="13"/>
  <c r="A124" i="13"/>
  <c r="A125" i="13"/>
  <c r="A126" i="13"/>
  <c r="A127" i="13"/>
  <c r="A128" i="13"/>
  <c r="A129" i="13"/>
  <c r="A112" i="13"/>
  <c r="A113" i="13"/>
  <c r="A114" i="13"/>
  <c r="A115" i="13"/>
  <c r="A116" i="13"/>
  <c r="A117" i="13"/>
  <c r="A118" i="13"/>
  <c r="E7" i="12" l="1"/>
  <c r="E8" i="12"/>
  <c r="C3" i="12"/>
  <c r="E18" i="11" s="1"/>
  <c r="O18" i="11" s="1"/>
  <c r="E6" i="12"/>
  <c r="D4" i="12"/>
  <c r="E4" i="12" s="1"/>
  <c r="E5" i="12"/>
  <c r="E3" i="12"/>
  <c r="E30" i="11" l="1"/>
  <c r="O30" i="11" s="1"/>
  <c r="E19" i="11"/>
  <c r="O19" i="11" s="1"/>
  <c r="F2" i="11"/>
  <c r="O2" i="11" s="1"/>
  <c r="J61" i="11"/>
  <c r="A88" i="13"/>
  <c r="A87" i="13"/>
  <c r="A100" i="13"/>
  <c r="A101" i="13"/>
  <c r="A102" i="13"/>
  <c r="A103" i="13"/>
  <c r="A104" i="13"/>
  <c r="A105" i="13"/>
  <c r="A106" i="13"/>
  <c r="A107" i="13"/>
  <c r="A108" i="13"/>
  <c r="A109" i="13"/>
  <c r="A110" i="13"/>
  <c r="A111" i="13"/>
  <c r="A84" i="13"/>
  <c r="A85" i="13"/>
  <c r="A86" i="13"/>
  <c r="A89" i="13"/>
  <c r="A90" i="13"/>
  <c r="A91" i="13"/>
  <c r="A92" i="13"/>
  <c r="A93" i="13"/>
  <c r="A94" i="13"/>
  <c r="A95" i="13"/>
  <c r="A96" i="13"/>
  <c r="A97" i="13"/>
  <c r="A98" i="13"/>
  <c r="A99" i="13"/>
  <c r="I44" i="11" l="1"/>
  <c r="I47" i="11"/>
  <c r="I48" i="11"/>
  <c r="I56" i="11"/>
  <c r="I40" i="11"/>
  <c r="I39" i="11"/>
  <c r="I38" i="11"/>
  <c r="I52" i="11"/>
  <c r="I53" i="11"/>
  <c r="I41" i="11"/>
  <c r="I43" i="11"/>
  <c r="I50" i="11"/>
  <c r="I51" i="11"/>
  <c r="I49" i="11"/>
  <c r="I45" i="11"/>
  <c r="I42" i="11"/>
  <c r="F65" i="11"/>
  <c r="O65" i="11" s="1"/>
  <c r="A65" i="11" s="1"/>
  <c r="F57" i="11"/>
  <c r="F52" i="11"/>
  <c r="F48" i="11"/>
  <c r="F43" i="11"/>
  <c r="F39" i="11"/>
  <c r="F34" i="11"/>
  <c r="O34" i="11" s="1"/>
  <c r="F28" i="11"/>
  <c r="O28" i="11" s="1"/>
  <c r="F24" i="11"/>
  <c r="O24" i="11" s="1"/>
  <c r="F17" i="11"/>
  <c r="F13" i="11"/>
  <c r="O13" i="11" s="1"/>
  <c r="F8" i="11"/>
  <c r="O8" i="11" s="1"/>
  <c r="F4" i="11"/>
  <c r="O4" i="11" s="1"/>
  <c r="F49" i="11"/>
  <c r="F29" i="11"/>
  <c r="O29" i="11" s="1"/>
  <c r="F14" i="11"/>
  <c r="O14" i="11" s="1"/>
  <c r="F63" i="11"/>
  <c r="O63" i="11" s="1"/>
  <c r="A63" i="11" s="1"/>
  <c r="F56" i="11"/>
  <c r="F51" i="11"/>
  <c r="F47" i="11"/>
  <c r="F42" i="11"/>
  <c r="F38" i="11"/>
  <c r="F33" i="11"/>
  <c r="O33" i="11" s="1"/>
  <c r="F27" i="11"/>
  <c r="O27" i="11" s="1"/>
  <c r="F23" i="11"/>
  <c r="O23" i="11" s="1"/>
  <c r="F16" i="11"/>
  <c r="O16" i="11" s="1"/>
  <c r="F12" i="11"/>
  <c r="O12" i="11" s="1"/>
  <c r="F7" i="11"/>
  <c r="O7" i="11" s="1"/>
  <c r="A7" i="11" s="1"/>
  <c r="F53" i="11"/>
  <c r="F44" i="11"/>
  <c r="F35" i="11"/>
  <c r="O35" i="11" s="1"/>
  <c r="F25" i="11"/>
  <c r="O25" i="11" s="1"/>
  <c r="F9" i="11"/>
  <c r="O9" i="11" s="1"/>
  <c r="A9" i="11" s="1"/>
  <c r="F61" i="11"/>
  <c r="O61" i="11" s="1"/>
  <c r="A61" i="11" s="1"/>
  <c r="F55" i="11"/>
  <c r="F50" i="11"/>
  <c r="F45" i="11"/>
  <c r="F41" i="11"/>
  <c r="F37" i="11"/>
  <c r="O37" i="11" s="1"/>
  <c r="A37" i="11" s="1"/>
  <c r="F31" i="11"/>
  <c r="O31" i="11" s="1"/>
  <c r="F26" i="11"/>
  <c r="O26" i="11" s="1"/>
  <c r="F22" i="11"/>
  <c r="O22" i="11" s="1"/>
  <c r="F15" i="11"/>
  <c r="O15" i="11" s="1"/>
  <c r="F10" i="11"/>
  <c r="O10" i="11" s="1"/>
  <c r="A10" i="11" s="1"/>
  <c r="F6" i="11"/>
  <c r="O6" i="11" s="1"/>
  <c r="A6" i="11" s="1"/>
  <c r="F59" i="11"/>
  <c r="F40" i="11"/>
  <c r="F20" i="11"/>
  <c r="O20" i="11" s="1"/>
  <c r="A20" i="11" s="1"/>
  <c r="F5" i="11"/>
  <c r="O5" i="11" s="1"/>
  <c r="A8" i="11"/>
  <c r="H59" i="11"/>
  <c r="H57" i="11"/>
  <c r="H55" i="11"/>
  <c r="G17" i="11"/>
  <c r="O17" i="11" s="1"/>
  <c r="C11" i="4"/>
  <c r="D10" i="7"/>
  <c r="E10" i="7" s="1"/>
  <c r="E9" i="7"/>
  <c r="C15" i="7"/>
  <c r="E7" i="7"/>
  <c r="E6" i="7"/>
  <c r="C7" i="7"/>
  <c r="C8" i="7"/>
  <c r="C6" i="7"/>
  <c r="C5" i="7"/>
  <c r="D13" i="7" s="1"/>
  <c r="E13" i="7" s="1"/>
  <c r="C3" i="7"/>
  <c r="L43" i="8" s="1"/>
  <c r="K2" i="5" l="1"/>
  <c r="P27" i="5"/>
  <c r="E8" i="4"/>
  <c r="F8" i="4" s="1"/>
  <c r="L45" i="8"/>
  <c r="L44" i="8"/>
  <c r="S10" i="8"/>
  <c r="K9" i="8"/>
  <c r="H2" i="8"/>
  <c r="D2" i="7"/>
  <c r="E2" i="7" s="1"/>
  <c r="D5" i="7"/>
  <c r="E5" i="7" s="1"/>
  <c r="D8" i="7"/>
  <c r="E8" i="7" s="1"/>
  <c r="M57" i="8"/>
  <c r="T62" i="8"/>
  <c r="T64" i="8" s="1"/>
  <c r="U41" i="8"/>
  <c r="U70" i="8" s="1"/>
  <c r="R56" i="8"/>
  <c r="N61" i="8"/>
  <c r="D14" i="7"/>
  <c r="E14" i="7" s="1"/>
  <c r="D15" i="7"/>
  <c r="E15" i="7" s="1"/>
  <c r="I16" i="8"/>
  <c r="M39" i="8"/>
  <c r="J31" i="8"/>
  <c r="D3" i="7"/>
  <c r="E3" i="7" s="1"/>
  <c r="D4" i="7"/>
  <c r="E4" i="7" s="1"/>
  <c r="C17" i="7"/>
  <c r="D2" i="8" s="1"/>
  <c r="V2" i="8" s="1"/>
  <c r="C16" i="7"/>
  <c r="E7" i="8" s="1"/>
  <c r="O57" i="11"/>
  <c r="A57" i="11" s="1"/>
  <c r="O51" i="11"/>
  <c r="A51" i="11" s="1"/>
  <c r="O53" i="11"/>
  <c r="A53" i="11" s="1"/>
  <c r="O40" i="11"/>
  <c r="A40" i="11" s="1"/>
  <c r="O44" i="11"/>
  <c r="A44" i="11" s="1"/>
  <c r="O59" i="11"/>
  <c r="A59" i="11" s="1"/>
  <c r="O42" i="11"/>
  <c r="A42" i="11" s="1"/>
  <c r="O50" i="11"/>
  <c r="A50" i="11" s="1"/>
  <c r="O52" i="11"/>
  <c r="A52" i="11" s="1"/>
  <c r="O56" i="11"/>
  <c r="A56" i="11" s="1"/>
  <c r="O45" i="11"/>
  <c r="A45" i="11" s="1"/>
  <c r="O43" i="11"/>
  <c r="A43" i="11" s="1"/>
  <c r="O38" i="11"/>
  <c r="A38" i="11" s="1"/>
  <c r="O48" i="11"/>
  <c r="A48" i="11" s="1"/>
  <c r="O55" i="11"/>
  <c r="A55" i="11" s="1"/>
  <c r="O49" i="11"/>
  <c r="A49" i="11" s="1"/>
  <c r="O41" i="11"/>
  <c r="A41" i="11" s="1"/>
  <c r="O39" i="11"/>
  <c r="A39" i="11" s="1"/>
  <c r="O47" i="11"/>
  <c r="A47" i="11" s="1"/>
  <c r="D11" i="7"/>
  <c r="E11" i="7" s="1"/>
  <c r="D12" i="7"/>
  <c r="E12" i="7" s="1"/>
  <c r="D6" i="9"/>
  <c r="E6" i="9" s="1"/>
  <c r="C14" i="9"/>
  <c r="G2" i="6" s="1"/>
  <c r="C13" i="9"/>
  <c r="H13" i="6" s="1"/>
  <c r="C9" i="9"/>
  <c r="C8" i="9"/>
  <c r="C6" i="9"/>
  <c r="C5" i="9"/>
  <c r="E11" i="6" s="1"/>
  <c r="C3" i="9"/>
  <c r="S26" i="8" l="1"/>
  <c r="S18" i="8"/>
  <c r="S32" i="8"/>
  <c r="K11" i="8"/>
  <c r="K37" i="8"/>
  <c r="K40" i="8"/>
  <c r="K38" i="8"/>
  <c r="K39" i="8"/>
  <c r="K36" i="8"/>
  <c r="M72" i="8"/>
  <c r="M64" i="8"/>
  <c r="M68" i="8"/>
  <c r="M71" i="8"/>
  <c r="M63" i="8"/>
  <c r="M65" i="8"/>
  <c r="M73" i="8"/>
  <c r="C5" i="6"/>
  <c r="D3" i="9"/>
  <c r="B2" i="6"/>
  <c r="D7" i="9"/>
  <c r="F9" i="6"/>
  <c r="R72" i="8"/>
  <c r="R61" i="8"/>
  <c r="R67" i="8"/>
  <c r="R71" i="8"/>
  <c r="R59" i="8"/>
  <c r="R66" i="8"/>
  <c r="R69" i="8"/>
  <c r="R58" i="8"/>
  <c r="R68" i="8"/>
  <c r="R57" i="8"/>
  <c r="R65" i="8"/>
  <c r="R63" i="8"/>
  <c r="K37" i="5"/>
  <c r="K3" i="5"/>
  <c r="K7" i="5"/>
  <c r="K8" i="5"/>
  <c r="K6" i="5"/>
  <c r="K5" i="5"/>
  <c r="K17" i="5"/>
  <c r="K21" i="5"/>
  <c r="K16" i="5"/>
  <c r="K4" i="5"/>
  <c r="N69" i="8"/>
  <c r="N65" i="8"/>
  <c r="H12" i="8"/>
  <c r="H52" i="8"/>
  <c r="H38" i="8"/>
  <c r="H14" i="8"/>
  <c r="H6" i="8"/>
  <c r="H3" i="8"/>
  <c r="H10" i="8"/>
  <c r="H8" i="8"/>
  <c r="H51" i="8"/>
  <c r="H37" i="8"/>
  <c r="H13" i="8"/>
  <c r="H53" i="8"/>
  <c r="H5" i="8"/>
  <c r="H11" i="8"/>
  <c r="H9" i="8"/>
  <c r="H7" i="8"/>
  <c r="V7" i="8" s="1"/>
  <c r="H4" i="8"/>
  <c r="E31" i="8"/>
  <c r="V31" i="8" s="1"/>
  <c r="E32" i="8"/>
  <c r="E16" i="8"/>
  <c r="V16" i="8" s="1"/>
  <c r="E33" i="8"/>
  <c r="E49" i="8"/>
  <c r="D63" i="8"/>
  <c r="D41" i="8"/>
  <c r="V41" i="8" s="1"/>
  <c r="D19" i="8"/>
  <c r="D65" i="8"/>
  <c r="V65" i="8" s="1"/>
  <c r="D21" i="8"/>
  <c r="D54" i="8"/>
  <c r="D14" i="8"/>
  <c r="V14" i="8" s="1"/>
  <c r="D62" i="8"/>
  <c r="V62" i="8" s="1"/>
  <c r="D40" i="8"/>
  <c r="D18" i="8"/>
  <c r="D34" i="8"/>
  <c r="D51" i="8"/>
  <c r="V51" i="8" s="1"/>
  <c r="D6" i="8"/>
  <c r="V6" i="8" s="1"/>
  <c r="D38" i="8"/>
  <c r="D71" i="8"/>
  <c r="D27" i="8"/>
  <c r="D44" i="8"/>
  <c r="V44" i="8" s="1"/>
  <c r="D72" i="8"/>
  <c r="V72" i="8" s="1"/>
  <c r="D70" i="8"/>
  <c r="V70" i="8" s="1"/>
  <c r="D26" i="8"/>
  <c r="D69" i="8"/>
  <c r="V69" i="8" s="1"/>
  <c r="D59" i="8"/>
  <c r="V59" i="8" s="1"/>
  <c r="D10" i="8"/>
  <c r="V10" i="8" s="1"/>
  <c r="D23" i="8"/>
  <c r="D29" i="8"/>
  <c r="D20" i="8"/>
  <c r="D66" i="8"/>
  <c r="V66" i="8" s="1"/>
  <c r="D22" i="8"/>
  <c r="D61" i="8"/>
  <c r="V61" i="8" s="1"/>
  <c r="D48" i="8"/>
  <c r="D58" i="8"/>
  <c r="D37" i="8"/>
  <c r="D13" i="8"/>
  <c r="V13" i="8" s="1"/>
  <c r="D56" i="8"/>
  <c r="V56" i="8" s="1"/>
  <c r="D11" i="8"/>
  <c r="V11" i="8" s="1"/>
  <c r="D43" i="8"/>
  <c r="V43" i="8" s="1"/>
  <c r="D5" i="8"/>
  <c r="V5" i="8" s="1"/>
  <c r="D57" i="8"/>
  <c r="V57" i="8" s="1"/>
  <c r="D36" i="8"/>
  <c r="D12" i="8"/>
  <c r="V12" i="8" s="1"/>
  <c r="D73" i="8"/>
  <c r="V73" i="8" s="1"/>
  <c r="D39" i="8"/>
  <c r="V39" i="8" s="1"/>
  <c r="D68" i="8"/>
  <c r="V68" i="8" s="1"/>
  <c r="D24" i="8"/>
  <c r="D53" i="8"/>
  <c r="V53" i="8" s="1"/>
  <c r="D9" i="8"/>
  <c r="V9" i="8" s="1"/>
  <c r="D28" i="8"/>
  <c r="D52" i="8"/>
  <c r="V52" i="8" s="1"/>
  <c r="D8" i="8"/>
  <c r="V8" i="8" s="1"/>
  <c r="D25" i="8"/>
  <c r="D67" i="8"/>
  <c r="V67" i="8" s="1"/>
  <c r="D47" i="8"/>
  <c r="D4" i="8"/>
  <c r="V4" i="8" s="1"/>
  <c r="D64" i="8"/>
  <c r="V64" i="8" s="1"/>
  <c r="D45" i="8"/>
  <c r="V45" i="8" s="1"/>
  <c r="D3" i="8"/>
  <c r="V3" i="8" s="1"/>
  <c r="D17" i="8"/>
  <c r="M49" i="8"/>
  <c r="M48" i="8"/>
  <c r="M47" i="8"/>
  <c r="J54" i="8"/>
  <c r="J34" i="8"/>
  <c r="J32" i="8"/>
  <c r="J33" i="8"/>
  <c r="I28" i="8"/>
  <c r="I26" i="8"/>
  <c r="I22" i="8"/>
  <c r="I18" i="8"/>
  <c r="I36" i="8"/>
  <c r="I19" i="8"/>
  <c r="I27" i="8"/>
  <c r="I25" i="8"/>
  <c r="I21" i="8"/>
  <c r="I17" i="8"/>
  <c r="I24" i="8"/>
  <c r="I20" i="8"/>
  <c r="I29" i="8"/>
  <c r="I23" i="8"/>
  <c r="G18" i="6"/>
  <c r="G15" i="6"/>
  <c r="G7" i="6"/>
  <c r="G6" i="6"/>
  <c r="G3" i="6"/>
  <c r="G5" i="6"/>
  <c r="G14" i="6"/>
  <c r="G9" i="6"/>
  <c r="G11" i="6"/>
  <c r="G19" i="6"/>
  <c r="D4" i="9"/>
  <c r="E4" i="9" s="1"/>
  <c r="E3" i="9"/>
  <c r="D5" i="9"/>
  <c r="E5" i="9" s="1"/>
  <c r="E7" i="9"/>
  <c r="I2" i="6"/>
  <c r="D5" i="6"/>
  <c r="A51" i="13"/>
  <c r="A50" i="13"/>
  <c r="A2" i="13"/>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V40" i="8" l="1"/>
  <c r="V63" i="8"/>
  <c r="V58" i="8"/>
  <c r="V71" i="8"/>
  <c r="V21" i="8"/>
  <c r="V32" i="8"/>
  <c r="V47" i="8"/>
  <c r="V24" i="8"/>
  <c r="V22" i="8"/>
  <c r="V26" i="8"/>
  <c r="V34" i="8"/>
  <c r="V19" i="8"/>
  <c r="V25" i="8"/>
  <c r="V20" i="8"/>
  <c r="V18" i="8"/>
  <c r="V17" i="8"/>
  <c r="V29" i="8"/>
  <c r="V23" i="8"/>
  <c r="V27" i="8"/>
  <c r="V49" i="8"/>
  <c r="V28" i="8"/>
  <c r="V36" i="8"/>
  <c r="V33" i="8"/>
  <c r="V48" i="8"/>
  <c r="V54" i="8"/>
  <c r="V37" i="8"/>
  <c r="V38" i="8"/>
  <c r="C17" i="6"/>
  <c r="I17" i="6" s="1"/>
  <c r="C14" i="6"/>
  <c r="C13" i="6"/>
  <c r="I13" i="6" s="1"/>
  <c r="C19" i="6"/>
  <c r="I19" i="6" s="1"/>
  <c r="D15" i="6"/>
  <c r="I5" i="6"/>
  <c r="B9" i="6"/>
  <c r="I9" i="6" s="1"/>
  <c r="B6" i="6"/>
  <c r="I6" i="6" s="1"/>
  <c r="B3" i="6"/>
  <c r="I3" i="6" s="1"/>
  <c r="B7" i="6"/>
  <c r="I7" i="6" s="1"/>
  <c r="B11" i="6"/>
  <c r="I11" i="6" s="1"/>
  <c r="I14" i="6"/>
  <c r="C18" i="6"/>
  <c r="I18" i="6" s="1"/>
  <c r="C15" i="6"/>
  <c r="A4" i="11"/>
  <c r="A5" i="11"/>
  <c r="A11" i="11"/>
  <c r="A12" i="11"/>
  <c r="A13" i="11"/>
  <c r="A14" i="11"/>
  <c r="A15" i="11"/>
  <c r="A16" i="11"/>
  <c r="A17" i="11"/>
  <c r="A18" i="11"/>
  <c r="A19" i="11"/>
  <c r="A21" i="11"/>
  <c r="A22" i="11"/>
  <c r="A23" i="11"/>
  <c r="A24" i="11"/>
  <c r="A25" i="11"/>
  <c r="A26" i="11"/>
  <c r="A27" i="11"/>
  <c r="A28" i="11"/>
  <c r="A29" i="11"/>
  <c r="A30" i="11"/>
  <c r="A31" i="11"/>
  <c r="A32" i="11"/>
  <c r="A33" i="11"/>
  <c r="A34" i="11"/>
  <c r="A35" i="11"/>
  <c r="A2" i="11"/>
  <c r="A3" i="11"/>
  <c r="I15" i="6" l="1"/>
  <c r="A15" i="6" s="1"/>
  <c r="A17" i="6"/>
  <c r="A18" i="6"/>
  <c r="A19" i="6"/>
  <c r="A20" i="6"/>
  <c r="A14" i="6"/>
  <c r="A16" i="6"/>
  <c r="A2" i="6"/>
  <c r="A3" i="6"/>
  <c r="A4" i="6"/>
  <c r="A5" i="6"/>
  <c r="A6" i="6"/>
  <c r="A7" i="6"/>
  <c r="A8" i="6"/>
  <c r="A9" i="6"/>
  <c r="A10" i="6"/>
  <c r="A11" i="6"/>
  <c r="A12" i="6"/>
  <c r="A13" i="6"/>
  <c r="A21" i="6"/>
  <c r="A22" i="6"/>
  <c r="A74" i="8" l="1"/>
  <c r="A75" i="8"/>
  <c r="A76" i="8"/>
  <c r="A70" i="8"/>
  <c r="A71" i="8"/>
  <c r="A72" i="8"/>
  <c r="A65" i="8" l="1"/>
  <c r="A66" i="8"/>
  <c r="A64" i="8"/>
  <c r="A67" i="8"/>
  <c r="A68" i="8"/>
  <c r="A58" i="8"/>
  <c r="A59" i="8"/>
  <c r="A60" i="8"/>
  <c r="A61" i="8"/>
  <c r="A62" i="8"/>
  <c r="A63" i="8"/>
  <c r="A69" i="8"/>
  <c r="A53" i="8"/>
  <c r="A54" i="8"/>
  <c r="A55" i="8"/>
  <c r="A56" i="8"/>
  <c r="A57" i="8"/>
  <c r="A47" i="8"/>
  <c r="A48" i="8"/>
  <c r="A49" i="8"/>
  <c r="A46" i="8"/>
  <c r="A50" i="8"/>
  <c r="A51" i="8"/>
  <c r="A52" i="8"/>
  <c r="A37" i="8"/>
  <c r="A38" i="8"/>
  <c r="A39" i="8"/>
  <c r="A40" i="8"/>
  <c r="A41" i="8"/>
  <c r="A42" i="8"/>
  <c r="A43" i="8"/>
  <c r="A44" i="8"/>
  <c r="A45" i="8"/>
  <c r="A73" i="8"/>
  <c r="A77" i="8"/>
  <c r="A32" i="8" l="1"/>
  <c r="A33" i="8"/>
  <c r="A34" i="8"/>
  <c r="A35" i="8"/>
  <c r="A27" i="8"/>
  <c r="A28" i="8"/>
  <c r="A29" i="8"/>
  <c r="A30" i="8"/>
  <c r="A22" i="8"/>
  <c r="A23" i="8"/>
  <c r="A24" i="8"/>
  <c r="A25" i="8"/>
  <c r="A26" i="8"/>
  <c r="A31" i="8"/>
  <c r="A17" i="8"/>
  <c r="A18" i="8"/>
  <c r="A19" i="8"/>
  <c r="A20" i="8"/>
  <c r="A13" i="8"/>
  <c r="A14" i="8"/>
  <c r="A15" i="8"/>
  <c r="A16" i="8"/>
  <c r="A21" i="8"/>
  <c r="A7" i="8"/>
  <c r="A8" i="8"/>
  <c r="A9" i="8"/>
  <c r="A10" i="8"/>
  <c r="A11" i="8"/>
  <c r="A2" i="8"/>
  <c r="A3" i="8"/>
  <c r="A4" i="8"/>
  <c r="A5" i="8"/>
  <c r="A6" i="8"/>
  <c r="A12" i="8"/>
  <c r="A36" i="8"/>
  <c r="A78" i="8"/>
  <c r="D16" i="4" l="1"/>
  <c r="A10" i="5" l="1"/>
  <c r="A19" i="5"/>
  <c r="A23" i="5"/>
  <c r="A35" i="5"/>
  <c r="A39" i="5"/>
  <c r="A41" i="5"/>
  <c r="A44" i="5"/>
  <c r="A46" i="5"/>
  <c r="A48" i="5"/>
  <c r="A56" i="5"/>
  <c r="A58" i="5"/>
  <c r="A60" i="5"/>
  <c r="A62" i="5"/>
  <c r="A64" i="5"/>
  <c r="A67" i="5"/>
  <c r="A70" i="5"/>
  <c r="C26" i="4"/>
  <c r="D17" i="4"/>
  <c r="J34" i="5"/>
  <c r="P43" i="5"/>
  <c r="D15" i="4"/>
  <c r="D14" i="4"/>
  <c r="C10" i="4"/>
  <c r="C9" i="4"/>
  <c r="C8" i="4"/>
  <c r="C7" i="4"/>
  <c r="C6" i="4"/>
  <c r="C4" i="5" s="1"/>
  <c r="C5" i="4"/>
  <c r="C4" i="4"/>
  <c r="C3" i="4"/>
  <c r="L2" i="5" l="1"/>
  <c r="L61" i="5"/>
  <c r="E3" i="4"/>
  <c r="F3" i="4" s="1"/>
  <c r="J24" i="5"/>
  <c r="C71" i="5"/>
  <c r="C30" i="5"/>
  <c r="C59" i="5"/>
  <c r="C16" i="5"/>
  <c r="C17" i="5"/>
  <c r="C68" i="5"/>
  <c r="C69" i="5"/>
  <c r="C51" i="5"/>
  <c r="C31" i="5"/>
  <c r="C37" i="5"/>
  <c r="C29" i="5"/>
  <c r="C5" i="5"/>
  <c r="A69" i="5"/>
  <c r="R71" i="5"/>
  <c r="A71" i="5" s="1"/>
  <c r="A4" i="5"/>
  <c r="Q42" i="5"/>
  <c r="E4" i="4"/>
  <c r="F4" i="4" s="1"/>
  <c r="E7" i="4"/>
  <c r="F7" i="4" s="1"/>
  <c r="A32" i="5"/>
  <c r="J40" i="5"/>
  <c r="A40" i="5" s="1"/>
  <c r="A34" i="5"/>
  <c r="A68" i="5"/>
  <c r="A18" i="5"/>
  <c r="J33" i="5"/>
  <c r="O59" i="5"/>
  <c r="A57" i="5"/>
  <c r="K15" i="5"/>
  <c r="N52" i="5"/>
  <c r="N49" i="5"/>
  <c r="N50" i="5"/>
  <c r="N51" i="5"/>
  <c r="A45" i="5"/>
  <c r="M47" i="5"/>
  <c r="J61" i="5"/>
  <c r="J30" i="5" l="1"/>
  <c r="J29" i="5"/>
  <c r="J31" i="5"/>
  <c r="L42" i="5"/>
  <c r="L55" i="5"/>
  <c r="L53" i="5"/>
  <c r="A53" i="5" s="1"/>
  <c r="L43" i="5"/>
  <c r="L9" i="5"/>
  <c r="A9" i="5" s="1"/>
  <c r="L54" i="5"/>
  <c r="L38" i="5"/>
  <c r="J28" i="5"/>
  <c r="A28" i="5" s="1"/>
  <c r="J26" i="5"/>
  <c r="A26" i="5" s="1"/>
  <c r="A24" i="5"/>
  <c r="J27" i="5"/>
  <c r="J25" i="5"/>
  <c r="A25" i="5" s="1"/>
  <c r="A16" i="5"/>
  <c r="A59" i="5"/>
  <c r="A37" i="5"/>
  <c r="A17" i="5"/>
  <c r="A33" i="5"/>
  <c r="A47" i="5"/>
  <c r="A54" i="5"/>
  <c r="A55" i="5"/>
  <c r="A50" i="5"/>
  <c r="A49" i="5"/>
  <c r="A52" i="5"/>
  <c r="A51" i="5"/>
  <c r="L66" i="5"/>
  <c r="A61" i="5"/>
  <c r="K14" i="5"/>
  <c r="K38" i="5"/>
  <c r="K22" i="5"/>
  <c r="K12" i="5"/>
  <c r="K36" i="5"/>
  <c r="K11" i="5"/>
  <c r="K20" i="5"/>
  <c r="K13" i="5"/>
  <c r="A29" i="5"/>
  <c r="L3" i="5"/>
  <c r="L22" i="5"/>
  <c r="L27" i="5"/>
  <c r="L65" i="5"/>
  <c r="L15" i="5"/>
  <c r="L63" i="5"/>
  <c r="A38" i="5" l="1"/>
  <c r="A5" i="5"/>
  <c r="A43" i="5"/>
  <c r="A31" i="5"/>
  <c r="A21" i="5"/>
  <c r="A14" i="5"/>
  <c r="A42" i="5"/>
  <c r="A20" i="5"/>
  <c r="A63" i="5"/>
  <c r="A65" i="5"/>
  <c r="A13" i="5"/>
  <c r="A11" i="5"/>
  <c r="A12" i="5"/>
  <c r="A22" i="5"/>
  <c r="A27" i="5"/>
  <c r="A30" i="5"/>
  <c r="A36" i="5"/>
  <c r="A8" i="5"/>
  <c r="A66" i="5"/>
  <c r="A2" i="5"/>
  <c r="A3" i="5" l="1"/>
  <c r="A15" i="5"/>
  <c r="A7" i="5"/>
  <c r="A6" i="5"/>
  <c r="A35" i="3"/>
  <c r="C9" i="1" l="1"/>
  <c r="H2" i="3" l="1"/>
  <c r="D4" i="1"/>
  <c r="C8" i="1"/>
  <c r="H72" i="3" l="1"/>
  <c r="H54" i="3"/>
  <c r="H96" i="3"/>
  <c r="H74" i="3"/>
  <c r="H103" i="3"/>
  <c r="H105" i="3"/>
  <c r="H38" i="3"/>
  <c r="H76" i="3"/>
  <c r="H109" i="3"/>
  <c r="H56" i="3"/>
  <c r="H98" i="3"/>
  <c r="H91" i="3"/>
  <c r="H111" i="3"/>
  <c r="H30" i="3"/>
  <c r="H33" i="3"/>
  <c r="H122" i="3"/>
  <c r="H31" i="3"/>
  <c r="H99" i="3"/>
  <c r="H107" i="3"/>
  <c r="H134" i="3"/>
  <c r="H29" i="3"/>
  <c r="H100" i="3"/>
  <c r="H137" i="3"/>
  <c r="H12" i="3"/>
  <c r="H102" i="3"/>
  <c r="H101" i="3"/>
  <c r="H77" i="3"/>
  <c r="H110" i="3"/>
  <c r="H108" i="3"/>
  <c r="H94" i="3"/>
  <c r="H21" i="3"/>
  <c r="H32" i="3"/>
  <c r="H125" i="3"/>
  <c r="H123" i="3"/>
  <c r="H119" i="3"/>
  <c r="H87" i="3"/>
  <c r="H75" i="3"/>
  <c r="H50" i="3"/>
  <c r="H24" i="3"/>
  <c r="H67" i="3"/>
  <c r="H7" i="3"/>
  <c r="H140" i="3"/>
  <c r="H8" i="3"/>
  <c r="H66" i="3"/>
  <c r="H25" i="3"/>
  <c r="H23" i="3"/>
  <c r="H73" i="3"/>
  <c r="H5" i="3"/>
  <c r="H93" i="3"/>
  <c r="H78" i="3"/>
  <c r="H141" i="3"/>
  <c r="H9" i="3"/>
  <c r="H44" i="3"/>
  <c r="H116" i="3"/>
  <c r="H3" i="3"/>
  <c r="H118" i="3"/>
  <c r="H22" i="3"/>
  <c r="H49" i="3"/>
  <c r="H47" i="3"/>
  <c r="H64" i="3"/>
  <c r="H18" i="3"/>
  <c r="H46" i="3"/>
  <c r="C6" i="1"/>
  <c r="D10" i="3" s="1"/>
  <c r="C5" i="1"/>
  <c r="G18" i="3" s="1"/>
  <c r="D139" i="3" l="1"/>
  <c r="D131" i="3"/>
  <c r="D122" i="3"/>
  <c r="D109" i="3"/>
  <c r="D100" i="3"/>
  <c r="D89" i="3"/>
  <c r="D80" i="3"/>
  <c r="D56" i="3"/>
  <c r="D37" i="3"/>
  <c r="P37" i="3" s="1"/>
  <c r="D26" i="3"/>
  <c r="P26" i="3" s="1"/>
  <c r="D127" i="3"/>
  <c r="D95" i="3"/>
  <c r="D41" i="3"/>
  <c r="P41" i="3" s="1"/>
  <c r="D133" i="3"/>
  <c r="D111" i="3"/>
  <c r="D68" i="3"/>
  <c r="D90" i="3"/>
  <c r="D138" i="3"/>
  <c r="D130" i="3"/>
  <c r="P130" i="3" s="1"/>
  <c r="D121" i="3"/>
  <c r="D108" i="3"/>
  <c r="D99" i="3"/>
  <c r="D88" i="3"/>
  <c r="D77" i="3"/>
  <c r="P77" i="3" s="1"/>
  <c r="D54" i="3"/>
  <c r="D33" i="3"/>
  <c r="D21" i="3"/>
  <c r="D113" i="3"/>
  <c r="D70" i="3"/>
  <c r="D12" i="3"/>
  <c r="D125" i="3"/>
  <c r="D82" i="3"/>
  <c r="P82" i="3" s="1"/>
  <c r="D38" i="3"/>
  <c r="P38" i="3" s="1"/>
  <c r="D137" i="3"/>
  <c r="P137" i="3" s="1"/>
  <c r="A137" i="3" s="1"/>
  <c r="D129" i="3"/>
  <c r="D120" i="3"/>
  <c r="D107" i="3"/>
  <c r="D98" i="3"/>
  <c r="D87" i="3"/>
  <c r="D76" i="3"/>
  <c r="P76" i="3" s="1"/>
  <c r="D53" i="3"/>
  <c r="D32" i="3"/>
  <c r="D20" i="3"/>
  <c r="D135" i="3"/>
  <c r="D105" i="3"/>
  <c r="D30" i="3"/>
  <c r="D102" i="3"/>
  <c r="D39" i="3"/>
  <c r="P39" i="3" s="1"/>
  <c r="D132" i="3"/>
  <c r="D123" i="3"/>
  <c r="D81" i="3"/>
  <c r="D136" i="3"/>
  <c r="D128" i="3"/>
  <c r="P128" i="3" s="1"/>
  <c r="D119" i="3"/>
  <c r="D106" i="3"/>
  <c r="D96" i="3"/>
  <c r="D85" i="3"/>
  <c r="P85" i="3" s="1"/>
  <c r="A85" i="3" s="1"/>
  <c r="D74" i="3"/>
  <c r="D42" i="3"/>
  <c r="P42" i="3" s="1"/>
  <c r="D31" i="3"/>
  <c r="D13" i="3"/>
  <c r="D84" i="3"/>
  <c r="P84" i="3" s="1"/>
  <c r="A84" i="3" s="1"/>
  <c r="D28" i="3"/>
  <c r="D63" i="3"/>
  <c r="D134" i="3"/>
  <c r="P134" i="3" s="1"/>
  <c r="D126" i="3"/>
  <c r="D112" i="3"/>
  <c r="D103" i="3"/>
  <c r="D94" i="3"/>
  <c r="D83" i="3"/>
  <c r="D69" i="3"/>
  <c r="D40" i="3"/>
  <c r="P40" i="3" s="1"/>
  <c r="D29" i="3"/>
  <c r="D11" i="3"/>
  <c r="D91" i="3"/>
  <c r="D142" i="3"/>
  <c r="P142" i="3" s="1"/>
  <c r="D110" i="3"/>
  <c r="D101" i="3"/>
  <c r="D27" i="3"/>
  <c r="P27" i="3" s="1"/>
  <c r="G72" i="3"/>
  <c r="G88" i="3"/>
  <c r="G123" i="3"/>
  <c r="G81" i="3"/>
  <c r="G135" i="3"/>
  <c r="G74" i="3"/>
  <c r="G32" i="3"/>
  <c r="G95" i="3"/>
  <c r="G129" i="3"/>
  <c r="G63" i="3"/>
  <c r="G119" i="3"/>
  <c r="G20" i="3"/>
  <c r="G102" i="3"/>
  <c r="G82" i="3"/>
  <c r="G90" i="3"/>
  <c r="G56" i="3"/>
  <c r="G127" i="3"/>
  <c r="G21" i="3"/>
  <c r="G126" i="3"/>
  <c r="G33" i="3"/>
  <c r="G132" i="3"/>
  <c r="G138" i="3"/>
  <c r="G136" i="3"/>
  <c r="G122" i="3"/>
  <c r="G89" i="3"/>
  <c r="G99" i="3"/>
  <c r="G70" i="3"/>
  <c r="G133" i="3"/>
  <c r="G96" i="3"/>
  <c r="G111" i="3"/>
  <c r="G80" i="3"/>
  <c r="G139" i="3"/>
  <c r="G131" i="3"/>
  <c r="G112" i="3"/>
  <c r="G83" i="3"/>
  <c r="G106" i="3"/>
  <c r="G30" i="3"/>
  <c r="G121" i="3"/>
  <c r="G87" i="3"/>
  <c r="G120" i="3"/>
  <c r="G53" i="3"/>
  <c r="G91" i="3"/>
  <c r="G125" i="3"/>
  <c r="G69" i="3"/>
  <c r="G100" i="3"/>
  <c r="G68" i="3"/>
  <c r="G77" i="3"/>
  <c r="G76" i="3"/>
  <c r="G31" i="3"/>
  <c r="D3" i="1"/>
  <c r="C4" i="1"/>
  <c r="L2" i="3" s="1"/>
  <c r="P2" i="3" s="1"/>
  <c r="C3" i="1"/>
  <c r="I4" i="3" s="1"/>
  <c r="P56" i="3" l="1"/>
  <c r="P69" i="3"/>
  <c r="P87" i="3"/>
  <c r="P80" i="3"/>
  <c r="P83" i="3"/>
  <c r="P30" i="3"/>
  <c r="P70" i="3"/>
  <c r="P135" i="3"/>
  <c r="P81" i="3"/>
  <c r="A81" i="3" s="1"/>
  <c r="P129" i="3"/>
  <c r="P127" i="3"/>
  <c r="P122" i="3"/>
  <c r="P33" i="3"/>
  <c r="P138" i="3"/>
  <c r="P131" i="3"/>
  <c r="P139" i="3"/>
  <c r="I95" i="3"/>
  <c r="P95" i="3" s="1"/>
  <c r="A95" i="3" s="1"/>
  <c r="I108" i="3"/>
  <c r="P108" i="3" s="1"/>
  <c r="I136" i="3"/>
  <c r="P136" i="3" s="1"/>
  <c r="I111" i="3"/>
  <c r="P111" i="3" s="1"/>
  <c r="I11" i="3"/>
  <c r="I88" i="3"/>
  <c r="P88" i="3" s="1"/>
  <c r="I91" i="3"/>
  <c r="I132" i="3"/>
  <c r="P132" i="3" s="1"/>
  <c r="I74" i="3"/>
  <c r="P74" i="3" s="1"/>
  <c r="I105" i="3"/>
  <c r="P105" i="3" s="1"/>
  <c r="I29" i="3"/>
  <c r="P29" i="3" s="1"/>
  <c r="I100" i="3"/>
  <c r="P100" i="3" s="1"/>
  <c r="I20" i="3"/>
  <c r="P20" i="3" s="1"/>
  <c r="I72" i="3"/>
  <c r="I89" i="3"/>
  <c r="I103" i="3"/>
  <c r="I125" i="3"/>
  <c r="P125" i="3" s="1"/>
  <c r="I107" i="3"/>
  <c r="P107" i="3" s="1"/>
  <c r="I119" i="3"/>
  <c r="P119" i="3" s="1"/>
  <c r="I133" i="3"/>
  <c r="P133" i="3" s="1"/>
  <c r="I63" i="3"/>
  <c r="I99" i="3"/>
  <c r="I110" i="3"/>
  <c r="P110" i="3" s="1"/>
  <c r="I102" i="3"/>
  <c r="I106" i="3"/>
  <c r="P106" i="3" s="1"/>
  <c r="I53" i="3"/>
  <c r="P53" i="3" s="1"/>
  <c r="I112" i="3"/>
  <c r="P112" i="3" s="1"/>
  <c r="A112" i="3" s="1"/>
  <c r="I28" i="3"/>
  <c r="P28" i="3" s="1"/>
  <c r="I123" i="3"/>
  <c r="P123" i="3" s="1"/>
  <c r="I31" i="3"/>
  <c r="P31" i="3" s="1"/>
  <c r="I94" i="3"/>
  <c r="I101" i="3"/>
  <c r="I98" i="3"/>
  <c r="P98" i="3" s="1"/>
  <c r="A98" i="3" s="1"/>
  <c r="I96" i="3"/>
  <c r="P96" i="3" s="1"/>
  <c r="I113" i="3"/>
  <c r="P113" i="3" s="1"/>
  <c r="A113" i="3" s="1"/>
  <c r="I12" i="3"/>
  <c r="I90" i="3"/>
  <c r="P90" i="3" s="1"/>
  <c r="I68" i="3"/>
  <c r="I109" i="3"/>
  <c r="P109" i="3" s="1"/>
  <c r="I54" i="3"/>
  <c r="I32" i="3"/>
  <c r="P32" i="3" s="1"/>
  <c r="I21" i="3"/>
  <c r="P21" i="3" s="1"/>
  <c r="I121" i="3"/>
  <c r="P121" i="3" s="1"/>
  <c r="A121" i="3" s="1"/>
  <c r="I126" i="3"/>
  <c r="P126" i="3" s="1"/>
  <c r="I120" i="3"/>
  <c r="L12" i="3"/>
  <c r="L13" i="3"/>
  <c r="P13" i="3" s="1"/>
  <c r="L11" i="3"/>
  <c r="L10" i="3"/>
  <c r="P10" i="3" s="1"/>
  <c r="L14" i="3"/>
  <c r="P14" i="3" s="1"/>
  <c r="D5" i="1"/>
  <c r="D8" i="1"/>
  <c r="L9" i="3"/>
  <c r="L6" i="3"/>
  <c r="L5" i="3"/>
  <c r="L8" i="3"/>
  <c r="L7" i="3"/>
  <c r="L3" i="3"/>
  <c r="P3" i="3" s="1"/>
  <c r="L4" i="3"/>
  <c r="P4" i="3" s="1"/>
  <c r="I141" i="3"/>
  <c r="I22" i="3"/>
  <c r="I6" i="3"/>
  <c r="P6" i="3" s="1"/>
  <c r="I117" i="3"/>
  <c r="I49" i="3"/>
  <c r="I25" i="3"/>
  <c r="P25" i="3" s="1"/>
  <c r="I92" i="3"/>
  <c r="I62" i="3"/>
  <c r="I9" i="3"/>
  <c r="P9" i="3" s="1"/>
  <c r="I19" i="3"/>
  <c r="I67" i="3"/>
  <c r="I124" i="3"/>
  <c r="I71" i="3"/>
  <c r="I23" i="3"/>
  <c r="I73" i="3"/>
  <c r="I24" i="3"/>
  <c r="P24" i="3" s="1"/>
  <c r="I78" i="3"/>
  <c r="I5" i="3"/>
  <c r="P5" i="3" s="1"/>
  <c r="I47" i="3"/>
  <c r="I48" i="3"/>
  <c r="I93" i="3"/>
  <c r="I65" i="3"/>
  <c r="I66" i="3"/>
  <c r="I116" i="3"/>
  <c r="I43" i="3"/>
  <c r="I118" i="3"/>
  <c r="I44" i="3"/>
  <c r="I115" i="3"/>
  <c r="I50" i="3"/>
  <c r="I64" i="3"/>
  <c r="P64" i="3" s="1"/>
  <c r="I45" i="3"/>
  <c r="I140" i="3"/>
  <c r="I7" i="3"/>
  <c r="P7" i="3" s="1"/>
  <c r="I46" i="3"/>
  <c r="I16" i="3"/>
  <c r="P16" i="3" s="1"/>
  <c r="I18" i="3"/>
  <c r="P18" i="3" s="1"/>
  <c r="I8" i="3"/>
  <c r="P8" i="3" s="1"/>
  <c r="A143" i="3"/>
  <c r="A154" i="3"/>
  <c r="A150" i="3"/>
  <c r="A146" i="3"/>
  <c r="A149" i="3"/>
  <c r="A156" i="3"/>
  <c r="A151" i="3"/>
  <c r="A145" i="3"/>
  <c r="A136" i="3"/>
  <c r="A123" i="3"/>
  <c r="A130" i="3"/>
  <c r="A129" i="3"/>
  <c r="A142" i="3"/>
  <c r="A128" i="3"/>
  <c r="A58" i="3"/>
  <c r="A61" i="3"/>
  <c r="A57" i="3"/>
  <c r="A60" i="3"/>
  <c r="A52" i="3"/>
  <c r="A59" i="3"/>
  <c r="A51" i="3"/>
  <c r="A134" i="3"/>
  <c r="A87" i="3"/>
  <c r="A56" i="3"/>
  <c r="A122" i="3"/>
  <c r="A53" i="3"/>
  <c r="A138" i="3"/>
  <c r="A83" i="3"/>
  <c r="A77" i="3"/>
  <c r="A82" i="3"/>
  <c r="A70" i="3"/>
  <c r="A126" i="3"/>
  <c r="A69" i="3"/>
  <c r="A80" i="3"/>
  <c r="G93" i="3"/>
  <c r="G64" i="3"/>
  <c r="G47" i="3"/>
  <c r="G43" i="3"/>
  <c r="G117" i="3"/>
  <c r="G92" i="3"/>
  <c r="G73" i="3"/>
  <c r="G50" i="3"/>
  <c r="G46" i="3"/>
  <c r="G23" i="3"/>
  <c r="G19" i="3"/>
  <c r="G66" i="3"/>
  <c r="G62" i="3"/>
  <c r="G45" i="3"/>
  <c r="G22" i="3"/>
  <c r="G124" i="3"/>
  <c r="G115" i="3"/>
  <c r="G44" i="3"/>
  <c r="G75" i="3"/>
  <c r="G116" i="3"/>
  <c r="G86" i="3"/>
  <c r="G49" i="3"/>
  <c r="G65" i="3"/>
  <c r="G48" i="3"/>
  <c r="E8" i="1"/>
  <c r="A2" i="3"/>
  <c r="E7" i="1"/>
  <c r="E6" i="1"/>
  <c r="E4" i="1"/>
  <c r="E3" i="1"/>
  <c r="P11" i="3" l="1"/>
  <c r="P12" i="3"/>
  <c r="P65" i="3"/>
  <c r="P23" i="3"/>
  <c r="P50" i="3"/>
  <c r="P93" i="3"/>
  <c r="A93" i="3" s="1"/>
  <c r="P49" i="3"/>
  <c r="A49" i="3" s="1"/>
  <c r="A65" i="3"/>
  <c r="P115" i="3"/>
  <c r="A115" i="3" s="1"/>
  <c r="P48" i="3"/>
  <c r="P124" i="3"/>
  <c r="P117" i="3"/>
  <c r="A117" i="3" s="1"/>
  <c r="P44" i="3"/>
  <c r="P47" i="3"/>
  <c r="A47" i="3" s="1"/>
  <c r="P86" i="3"/>
  <c r="A86" i="3" s="1"/>
  <c r="P46" i="3"/>
  <c r="A46" i="3" s="1"/>
  <c r="P19" i="3"/>
  <c r="P22" i="3"/>
  <c r="P43" i="3"/>
  <c r="P75" i="3"/>
  <c r="A75" i="3" s="1"/>
  <c r="P116" i="3"/>
  <c r="P62" i="3"/>
  <c r="A62" i="3" s="1"/>
  <c r="A64" i="3"/>
  <c r="P45" i="3"/>
  <c r="A45" i="3" s="1"/>
  <c r="P66" i="3"/>
  <c r="A66" i="3" s="1"/>
  <c r="P73" i="3"/>
  <c r="A73" i="3" s="1"/>
  <c r="P92" i="3"/>
  <c r="A92" i="3" s="1"/>
  <c r="P71" i="3"/>
  <c r="A71" i="3" s="1"/>
  <c r="P54" i="3"/>
  <c r="A54" i="3" s="1"/>
  <c r="P101" i="3"/>
  <c r="A101" i="3" s="1"/>
  <c r="P102" i="3"/>
  <c r="A102" i="3" s="1"/>
  <c r="P103" i="3"/>
  <c r="A103" i="3" s="1"/>
  <c r="P94" i="3"/>
  <c r="A94" i="3" s="1"/>
  <c r="P89" i="3"/>
  <c r="A89" i="3" s="1"/>
  <c r="P91" i="3"/>
  <c r="A91" i="3" s="1"/>
  <c r="P67" i="3"/>
  <c r="A67" i="3" s="1"/>
  <c r="P68" i="3"/>
  <c r="A68" i="3" s="1"/>
  <c r="P99" i="3"/>
  <c r="A99" i="3" s="1"/>
  <c r="P72" i="3"/>
  <c r="A72" i="3" s="1"/>
  <c r="P118" i="3"/>
  <c r="A118" i="3" s="1"/>
  <c r="P120" i="3"/>
  <c r="A120" i="3" s="1"/>
  <c r="P63" i="3"/>
  <c r="A63" i="3" s="1"/>
  <c r="P78" i="3"/>
  <c r="A78" i="3" s="1"/>
  <c r="P141" i="3"/>
  <c r="A141" i="3" s="1"/>
  <c r="P140" i="3"/>
  <c r="A140" i="3" s="1"/>
  <c r="A44" i="3"/>
  <c r="A106" i="3"/>
  <c r="A116" i="3"/>
  <c r="A124" i="3"/>
  <c r="A96" i="3"/>
  <c r="A105" i="3"/>
  <c r="A108" i="3"/>
  <c r="A132" i="3"/>
  <c r="A135" i="3"/>
  <c r="A125" i="3"/>
  <c r="A119" i="3"/>
  <c r="A131" i="3"/>
  <c r="A111" i="3"/>
  <c r="A127" i="3"/>
  <c r="A100" i="3"/>
  <c r="A152" i="3"/>
  <c r="A153" i="3"/>
  <c r="A147" i="3"/>
  <c r="A76" i="3"/>
  <c r="A133" i="3"/>
  <c r="A139" i="3"/>
  <c r="A109" i="3"/>
  <c r="A110" i="3"/>
  <c r="A107" i="3"/>
  <c r="A155" i="3"/>
  <c r="A50" i="3"/>
  <c r="A158" i="3"/>
  <c r="A48" i="3"/>
  <c r="A88" i="3"/>
  <c r="A74" i="3"/>
  <c r="A90" i="3"/>
  <c r="A157" i="3"/>
  <c r="A3" i="3"/>
  <c r="A40" i="3"/>
  <c r="A30" i="3"/>
  <c r="A13" i="3"/>
  <c r="A14" i="3"/>
  <c r="A10" i="3"/>
  <c r="A33" i="3"/>
  <c r="A17" i="3"/>
  <c r="A26" i="3"/>
  <c r="A27" i="3"/>
  <c r="E5" i="1"/>
  <c r="A41" i="3"/>
  <c r="A37" i="3"/>
  <c r="A39" i="3"/>
  <c r="A42" i="3"/>
  <c r="A38" i="3"/>
  <c r="A20" i="3" l="1"/>
  <c r="A6" i="3"/>
  <c r="A8" i="3"/>
  <c r="A25" i="3"/>
  <c r="A11" i="3"/>
  <c r="A12" i="3"/>
  <c r="A28" i="3"/>
  <c r="A19" i="3"/>
  <c r="A29" i="3"/>
  <c r="A5" i="3"/>
  <c r="A43" i="3"/>
  <c r="A18" i="3"/>
  <c r="A7" i="3"/>
  <c r="A22" i="3"/>
  <c r="A24" i="3"/>
  <c r="A31" i="3"/>
  <c r="A32" i="3"/>
  <c r="A9" i="3"/>
  <c r="A4" i="3"/>
  <c r="A21" i="3"/>
  <c r="A23" i="3"/>
  <c r="A16" i="3"/>
  <c r="A2" i="41"/>
  <c r="A17" i="41"/>
  <c r="A18" i="41"/>
  <c r="A10" i="41"/>
  <c r="A21" i="41"/>
  <c r="A4" i="41"/>
  <c r="A12" i="41"/>
  <c r="A5" i="41"/>
  <c r="A13" i="41"/>
  <c r="A8" i="41"/>
  <c r="A3" i="41"/>
  <c r="A14" i="41"/>
  <c r="A6" i="41"/>
  <c r="A9" i="41"/>
  <c r="A19" i="41"/>
  <c r="A7" i="41"/>
  <c r="A15" i="41"/>
  <c r="A16" i="41"/>
</calcChain>
</file>

<file path=xl/sharedStrings.xml><?xml version="1.0" encoding="utf-8"?>
<sst xmlns="http://schemas.openxmlformats.org/spreadsheetml/2006/main" count="2397" uniqueCount="2041">
  <si>
    <t>Do you have a cough</t>
  </si>
  <si>
    <t>Do you have congestion</t>
  </si>
  <si>
    <t>Do you have phelgm</t>
  </si>
  <si>
    <t>Are you diabetic</t>
  </si>
  <si>
    <t>Column1</t>
  </si>
  <si>
    <t>Decongestant</t>
  </si>
  <si>
    <t>Guaifenasin</t>
  </si>
  <si>
    <t>Anti-Histamine</t>
  </si>
  <si>
    <t>Cough Suppressant</t>
  </si>
  <si>
    <t>Do you have fever</t>
  </si>
  <si>
    <t>Hidden</t>
  </si>
  <si>
    <t>Acetaminophen</t>
  </si>
  <si>
    <t>Are you Pregnant and/or Breast Feeding</t>
  </si>
  <si>
    <t>Are you an adult ≥ 12 yrs old</t>
  </si>
  <si>
    <t>Question Set 2</t>
  </si>
  <si>
    <t>Question Set 1</t>
  </si>
  <si>
    <t>Are you taking an SSRI, SNRI, CYP2D6 inhibitor and/or Triptan</t>
  </si>
  <si>
    <t>Are you taking an MAOI (within last 2 weeks)</t>
  </si>
  <si>
    <t>Response</t>
  </si>
  <si>
    <t>Active Ingredients</t>
  </si>
  <si>
    <t>Do you prefer a syrup (liquid)</t>
  </si>
  <si>
    <t>Do you have aches and pain</t>
  </si>
  <si>
    <t>Do you have sniffles and/or runny nose</t>
  </si>
  <si>
    <t xml:space="preserve">Are you taking any anticholinergics or CNS depressants </t>
  </si>
  <si>
    <t>Do you have hypertension (uncontrolled), glaucoma, hyperthroidism and/or seizures</t>
  </si>
  <si>
    <t>Total</t>
  </si>
  <si>
    <t>Product</t>
  </si>
  <si>
    <t>TYLENOL® Sinus Pressure and Pain</t>
  </si>
  <si>
    <t>TYLENOL® Complete Cold, Cough &amp; Flu</t>
  </si>
  <si>
    <t>TYLENOL® Complete Cold, Cough &amp; Flu Plus Mucus Relief Liquid Gels</t>
  </si>
  <si>
    <t>TYLENOL® Complete Cold, Cough &amp; Flu Plus Mucus Relief Syrup</t>
  </si>
  <si>
    <t>TYLENOL® Complete Cold, Cough &amp; Flu Plus Mucus Relief Nighttime Syrup</t>
  </si>
  <si>
    <t>TYLENOL® Cold</t>
  </si>
  <si>
    <t>TYLENOL® Flu</t>
  </si>
  <si>
    <t>TYLENOL® Cold &amp; Sinus</t>
  </si>
  <si>
    <t>TYLENOL® Sinus</t>
  </si>
  <si>
    <t>Menthol</t>
  </si>
  <si>
    <t>Do you have a sore throat</t>
  </si>
  <si>
    <t>Children’s TYLENOL® Cold &amp; Stuffy Nose (6-11yrs)</t>
  </si>
  <si>
    <t>Children's TYLENOL® Cold (6-11yrs old)</t>
  </si>
  <si>
    <t>Pain</t>
  </si>
  <si>
    <t>Allergies</t>
  </si>
  <si>
    <t>Vaginal</t>
  </si>
  <si>
    <t>Mucinex</t>
  </si>
  <si>
    <t>Children's TYLENOL® Fever &amp; Sore Throat Pain Chewables (2-11yrs)</t>
  </si>
  <si>
    <t>Infants' TYLENOL® Fever &amp; Sore Throat Pain (0-23months)</t>
  </si>
  <si>
    <t>Children's TYLENOL® Fever &amp; Sore Throat Pain (2-5yrs)</t>
  </si>
  <si>
    <t>Advil Cold &amp; Flu</t>
  </si>
  <si>
    <t>Advil Cold, Cough &amp; Flu Nighttime </t>
  </si>
  <si>
    <t>Advil Cold &amp; Sinus Caplets</t>
  </si>
  <si>
    <t>Advil Cold &amp; Sinus Daytime / Nighttime</t>
  </si>
  <si>
    <t>Advil Cold &amp; Sinus Liqui-Gels®</t>
  </si>
  <si>
    <t>Advil Cold &amp; Sinus Nighttime</t>
  </si>
  <si>
    <t>Advil Cold &amp; Sinus Plus</t>
  </si>
  <si>
    <t>Advil Cold, Sinus &amp; Flu Extra Strength </t>
  </si>
  <si>
    <t>Advil Pediatric Drops Fever from Colds or Flu (4months-3yrs)</t>
  </si>
  <si>
    <t>Buckley's Cold &amp; Sinus liquid gels- Daytime</t>
  </si>
  <si>
    <t>Buckley's Cold &amp; Sinus liquid gels- Day/Night</t>
  </si>
  <si>
    <t>Buckley's Complete + Mucus Liquid Gels-Daytime</t>
  </si>
  <si>
    <t>Buckley's Complete + Mucus Liquid Gels-Day/Night</t>
  </si>
  <si>
    <t>Buckley's Complete Liquid Gels-Nighttime</t>
  </si>
  <si>
    <t>Buckley's Complete Cough, Cold &amp; Flu Extra Strength-Daytime</t>
  </si>
  <si>
    <t>Buckley's Complete Cough, Cold &amp; Flu Extra Strength-Nighttime</t>
  </si>
  <si>
    <t>Buckley's Complete Cough, Cold &amp; Flu Extra Strength-Day/Night</t>
  </si>
  <si>
    <t>Buckley's Lozenges Bite-me Cherry</t>
  </si>
  <si>
    <t>Buckley's Lozenges Methol Outburts</t>
  </si>
  <si>
    <t>Do you have a runny nose</t>
  </si>
  <si>
    <t>Are you sneezing frequently</t>
  </si>
  <si>
    <t>Do you have an itchy nose</t>
  </si>
  <si>
    <t>Do you have nasal congestion</t>
  </si>
  <si>
    <t>AntiHistamine</t>
  </si>
  <si>
    <t>Mast Cell Stabilizer</t>
  </si>
  <si>
    <t>Flonase</t>
  </si>
  <si>
    <t>Claritin Extra Strenght Allergy + Sinus 24H</t>
  </si>
  <si>
    <t>Claritin Kids (2-12 yrs)</t>
  </si>
  <si>
    <t>Claritin-Tabs 24Hr</t>
  </si>
  <si>
    <t>Claritin Rapid Dissolve 24Hr</t>
  </si>
  <si>
    <t>Claritin Liquid Caps 24Hr</t>
  </si>
  <si>
    <t>Claritin Allergy + Sinus 12Hr</t>
  </si>
  <si>
    <t>Claritin Kids -Syrup 24Hr (2-12yrs)</t>
  </si>
  <si>
    <t>Claritin Allergy Decongestant-Nasal Spray 12Hr</t>
  </si>
  <si>
    <t>Steroid</t>
  </si>
  <si>
    <t>Reactine Extra Strength</t>
  </si>
  <si>
    <t>Reactine Liquid Gels</t>
  </si>
  <si>
    <t>Reactine Rapid Dissolve</t>
  </si>
  <si>
    <t>Reactine Regular Strength</t>
  </si>
  <si>
    <t>Reactine Complete Sinus + Allergy</t>
  </si>
  <si>
    <t>Reactine NaturEase Nasal Spray</t>
  </si>
  <si>
    <t>Reactine Children's Liquid (2-12yrs)</t>
  </si>
  <si>
    <t>Reactine Fast Melt (6+yrs)</t>
  </si>
  <si>
    <t>Saline</t>
  </si>
  <si>
    <t>Allegra 12Hr</t>
  </si>
  <si>
    <t>Allegra 24Hr</t>
  </si>
  <si>
    <t>Allegra-D 12Hr</t>
  </si>
  <si>
    <t>Benadryl Caplets</t>
  </si>
  <si>
    <t>Benadryl Liquid Gels</t>
  </si>
  <si>
    <t>Extra Strength Benadryl Total Allergy &amp; Sinus</t>
  </si>
  <si>
    <t>Benadryl Extra Srengths Allergy</t>
  </si>
  <si>
    <t>Extra Strength Benadryl Nighttime Caplets</t>
  </si>
  <si>
    <t>Benadryl Itch Stick</t>
  </si>
  <si>
    <t>Benadryl Itch Spray</t>
  </si>
  <si>
    <t>Benadryl Itch Cream</t>
  </si>
  <si>
    <t>Benadryl Liquid Elixir (6+yrs)</t>
  </si>
  <si>
    <t>Children's Benadryl Liquid (under 12yrs)</t>
  </si>
  <si>
    <t>Children's Benadryl Chewables (6-12yrs)</t>
  </si>
  <si>
    <t>Do you have hives, red and/or itchy skin</t>
  </si>
  <si>
    <t>Do you have watery or itchy eyes</t>
  </si>
  <si>
    <t>Do you have eye redness</t>
  </si>
  <si>
    <t>Aerius</t>
  </si>
  <si>
    <t>Chlor-Tripolon</t>
  </si>
  <si>
    <t>Aerius Kids (2-12yrs)</t>
  </si>
  <si>
    <t>Aerius Dual Action 12 hrs</t>
  </si>
  <si>
    <t>Ibuprofen</t>
  </si>
  <si>
    <t>Sudafed Sinus Advance</t>
  </si>
  <si>
    <t>Sudafed Head Cold &amp; Sinus</t>
  </si>
  <si>
    <t>Nasacort Allergy 24Hr</t>
  </si>
  <si>
    <t>Otrivin Natural Nasal &amp; Sinus Cleansing (Gentle, Moderate or Strong) Stream Sea Water &amp; Aloe</t>
  </si>
  <si>
    <t>Otrivin Natural Severe Congestion Relief (Moderate, Heavy) Stream Dual Action Sea Water</t>
  </si>
  <si>
    <t>Otrivin Baby Care Nasal Cleansing Natural Sea Water</t>
  </si>
  <si>
    <t>Otrivin Saline Nasal Mist</t>
  </si>
  <si>
    <t>Otrivin Medicated Complete Nasal Care Triple Action Formula</t>
  </si>
  <si>
    <t>Otrivin Medicated Cold &amp; Allergy Relief Original Formula</t>
  </si>
  <si>
    <t>Otrivin Medicated Cold &amp; Allergy Relief with Moisturizers</t>
  </si>
  <si>
    <t>Opticrom</t>
  </si>
  <si>
    <t>Do you prefer an oral medication</t>
  </si>
  <si>
    <t>Do you prefer a nasal medication</t>
  </si>
  <si>
    <t>Do you prefer eye drops</t>
  </si>
  <si>
    <t>Do you prefer a topical medication</t>
  </si>
  <si>
    <t>AK Vernacon</t>
  </si>
  <si>
    <t>Clear Eyes (not completed)</t>
  </si>
  <si>
    <t>Visine for Allergy Advance with Antihistamine</t>
  </si>
  <si>
    <t>Visine Original Red Eye (visine line not completed)</t>
  </si>
  <si>
    <t>Polysporin 1% Hydrocortisone Anti-Itch Cream (2+yrs)</t>
  </si>
  <si>
    <t xml:space="preserve">Polysporin Itch Relief Lotion </t>
  </si>
  <si>
    <t>Pramoxine/Zinc</t>
  </si>
  <si>
    <t>Napoxen</t>
  </si>
  <si>
    <t>Methocarbamol</t>
  </si>
  <si>
    <t>Diclofenac</t>
  </si>
  <si>
    <t>Capsaicin</t>
  </si>
  <si>
    <t>Column2</t>
  </si>
  <si>
    <t>anthis</t>
  </si>
  <si>
    <t>decon</t>
  </si>
  <si>
    <t>Are you on blood thinners</t>
  </si>
  <si>
    <t>Do you have treated or untreated acid reflux</t>
  </si>
  <si>
    <t>Cough and Cold</t>
  </si>
  <si>
    <t>Zinc</t>
  </si>
  <si>
    <t>ibupro</t>
  </si>
  <si>
    <t>n-steroid</t>
  </si>
  <si>
    <t>saline</t>
  </si>
  <si>
    <t>Cromolyn (5+yrs)</t>
  </si>
  <si>
    <t>mcs</t>
  </si>
  <si>
    <t>AH</t>
  </si>
  <si>
    <t>benadryl</t>
  </si>
  <si>
    <t>Do you wish to stay alert (avoid drossiness)</t>
  </si>
  <si>
    <t>TYLENOL® Rapid Release Gels</t>
  </si>
  <si>
    <t>TYLENOL® Extra Strength</t>
  </si>
  <si>
    <t>TYLENOL® Liquid Gels</t>
  </si>
  <si>
    <t>TYLENOL® Regular Strength</t>
  </si>
  <si>
    <t>TYLENOL® Ultra Relief</t>
  </si>
  <si>
    <t>TYLENOL® Arthritis Pain</t>
  </si>
  <si>
    <t>TYLENOL® Muscle Aches &amp; Body Pain</t>
  </si>
  <si>
    <t>TYLENOL® Back Pain</t>
  </si>
  <si>
    <t>APAP</t>
  </si>
  <si>
    <t>Extra Strength TYLENOL® Nighttime</t>
  </si>
  <si>
    <t>TYLENOL® Body Pain Night</t>
  </si>
  <si>
    <t>Infants' TYLENOL® Drops (0-23months)</t>
  </si>
  <si>
    <t>Children's TYLENOL® Liquid (2-11yrs)</t>
  </si>
  <si>
    <t>Children’s TYLENOL® Chewables (2-11yrs)</t>
  </si>
  <si>
    <t>Advil 12 Hour </t>
  </si>
  <si>
    <t>Advil Caplets</t>
  </si>
  <si>
    <t>Advil Day/Night Convenience Pack</t>
  </si>
  <si>
    <t>Advil Extra Strength Caplets</t>
  </si>
  <si>
    <t>Advil Extra Strength Liqui-Gels</t>
  </si>
  <si>
    <t>Advil Liqui-Gels®</t>
  </si>
  <si>
    <t>Advil Tablets</t>
  </si>
  <si>
    <t>Advil® Mini-Gels</t>
  </si>
  <si>
    <t>Advil Arthritis Pain</t>
  </si>
  <si>
    <t>Advil Muscle &amp; Joint</t>
  </si>
  <si>
    <t>Advil Nighttime</t>
  </si>
  <si>
    <t>Advil Pediatric Drops (4-36months)</t>
  </si>
  <si>
    <t>Children’s Advil (2-12yrs)</t>
  </si>
  <si>
    <t>Junior Strength Advil (2-12yrs)</t>
  </si>
  <si>
    <t>Aleve Caplets</t>
  </si>
  <si>
    <t>Aleve Nighttime</t>
  </si>
  <si>
    <t>Aleve Back &amp; Body</t>
  </si>
  <si>
    <t>Aleve Liquid Gels</t>
  </si>
  <si>
    <t>Robax Platinum®</t>
  </si>
  <si>
    <t>Robaxacet®</t>
  </si>
  <si>
    <t>Robaxisal® Extra Strength</t>
  </si>
  <si>
    <t>Robaxacet® Extra Strength</t>
  </si>
  <si>
    <t>Robaxin®</t>
  </si>
  <si>
    <t>Heat</t>
  </si>
  <si>
    <t>Robax® HeatWraps</t>
  </si>
  <si>
    <t>Voltaren Emulgel Back &amp; Muscle Pain</t>
  </si>
  <si>
    <t>Voltaren Emulgel Joint Pain</t>
  </si>
  <si>
    <t>Voltaren Emulgel Extra Strength</t>
  </si>
  <si>
    <t>ASPIRIN® Regular Strength Tablets</t>
  </si>
  <si>
    <t>ASPIRIN® Extra Strength (500mg)</t>
  </si>
  <si>
    <t>Caffeine</t>
  </si>
  <si>
    <t>Menstrual Midol® Complete</t>
  </si>
  <si>
    <t>Pyrilamine</t>
  </si>
  <si>
    <t>PMS Midol® Complete</t>
  </si>
  <si>
    <t>Pamabrom</t>
  </si>
  <si>
    <t>Teen Midol® Complete</t>
  </si>
  <si>
    <t>MAXIDOL LIQUID GELS®</t>
  </si>
  <si>
    <t>ASA/Salicylate</t>
  </si>
  <si>
    <t>ICY HOT®​ ADVANCED ​ MEDICATED SPRAY​</t>
  </si>
  <si>
    <t>ICY HOT MEDICATED PATCH</t>
  </si>
  <si>
    <t>ASPIRIN® Delayed Release Regular Caplets</t>
  </si>
  <si>
    <t>ICY HOT​ ADVANCED ​ PAIN CREAM</t>
  </si>
  <si>
    <t>ICY HOT®​ EXTRA STRENGTH CREAM​</t>
  </si>
  <si>
    <t>RUB•A535 Ice to Heat Recovery Patches</t>
  </si>
  <si>
    <t>RUB•A535 Natural Source Arnica Cream</t>
  </si>
  <si>
    <t>Arnica</t>
  </si>
  <si>
    <t>RUB•A535 Sport Warm-Up Cream</t>
  </si>
  <si>
    <t>RUB•A535 Arthritis Flare-Up Relief Cream</t>
  </si>
  <si>
    <t>RUB•A535 Arthritis Pain Relief Roll-On Lotion</t>
  </si>
  <si>
    <t>RUB•A535 Injury Ice Relief Gel</t>
  </si>
  <si>
    <t>RUB•A535 Injury Ice Relief Spray</t>
  </si>
  <si>
    <t>RUB•A535 Injury Ice to Heat Relief Cream</t>
  </si>
  <si>
    <t>RUB•A535 Back Ice to Heat Relief Patches</t>
  </si>
  <si>
    <t>RUB•A535 Back Pro Heat Relief Wraps</t>
  </si>
  <si>
    <t>RUB•A535 Muscle &amp; Joint Extra Strength Heat Cream</t>
  </si>
  <si>
    <t>RUB•A535 Muscle &amp; Joint Regular Strength Heat Cream</t>
  </si>
  <si>
    <t>RUB•A535 Muscle &amp; Joint Maximum Strength Heat Cream</t>
  </si>
  <si>
    <t>column</t>
  </si>
  <si>
    <t>Diphenhydramine</t>
  </si>
  <si>
    <t>Melatonin</t>
  </si>
  <si>
    <t>Valerian</t>
  </si>
  <si>
    <t>UNISOM® SLEEPGELS® EXTRA STRENGTH – SOFT GEL CAPSULES</t>
  </si>
  <si>
    <t>UNISOM® EXTRA STRENGTH – TABLETS</t>
  </si>
  <si>
    <t>VICKS ZZZQUIL PURE ZZZS MELATONIN SLEEP AID GUMMIES</t>
  </si>
  <si>
    <t>ZZZQUIL LIQUICAPS SLEEP-AID</t>
  </si>
  <si>
    <t>ZZZQUIL LIQUID SLEEP-AID</t>
  </si>
  <si>
    <t>Do you regularily drink alcohol</t>
  </si>
  <si>
    <t>Jamieson MELATONIN | TIMED RELEASE</t>
  </si>
  <si>
    <t>Jamieson HEALTHY SLEEP®</t>
  </si>
  <si>
    <t>Jamieson MELATONIN STRESS &amp; SLEEP SUPPORT</t>
  </si>
  <si>
    <t>Melatonin Maximum Strength 10 mg Dual Action Release</t>
  </si>
  <si>
    <t>Webber Melatonin Gummies 10 mg</t>
  </si>
  <si>
    <t>Webber Melatonin Maximum Strength 10 mg Quick dissolve</t>
  </si>
  <si>
    <t>Do you have any inflammation or swelling</t>
  </si>
  <si>
    <t>Would you like fast pain relief</t>
  </si>
  <si>
    <t>Would you prefer long acting pain relief</t>
  </si>
  <si>
    <t>Is your skin irritated, scratched or cut</t>
  </si>
  <si>
    <t>Would you like pain relief at bedtime</t>
  </si>
  <si>
    <t>Are you also in pain</t>
  </si>
  <si>
    <t>Do you also have a fever</t>
  </si>
  <si>
    <t>VICKS VAPOPATCH WITH LONG LASTING VICKS SCENTED VAPOURS FOR ADULTS &amp; CHILDREN (6+yrs)</t>
  </si>
  <si>
    <t>VICKS VAPORUB CHILDREN’S NASAL DECONGESTANT COUGH SUPPRESSANT OINTMENT (2+yrs)</t>
  </si>
  <si>
    <t>VICKS® BABYRUB™ (3months+)</t>
  </si>
  <si>
    <t>VICKS VAPORUB NASAL DECONGESTANT COUGH SUPPRESSANT OINTMENT, LAVENDER SCENT</t>
  </si>
  <si>
    <t>VAPORUB OINTMENT</t>
  </si>
  <si>
    <t>VICKS DAYQUIL COMPLETE COLD &amp; FLU RELIEF</t>
  </si>
  <si>
    <t>VICKS DAYQUIL™ COMPLETE COLD &amp; FLU LIQUID</t>
  </si>
  <si>
    <t>VICKS™ DAYQUIL AND NYQUIL COMPLETE COUGH, COLD &amp; FLU RELIEF</t>
  </si>
  <si>
    <t>DAYQUIL™ COLD &amp; FLU MULTI SYMPTOM RELIEF LIQUICAPS™</t>
  </si>
  <si>
    <t>DAYQUIL™ /NYQUIL™ COLD &amp; FLU MULTI SYMPTOM LIQUICAPS™</t>
  </si>
  <si>
    <t>DAYQUIL™ &amp; NYQUIL™ SINUS CONVENIENCE PACK</t>
  </si>
  <si>
    <t>DAYQUIL™ COLD &amp; FLU MULTI SYMPTOM RELIEF LIQUID</t>
  </si>
  <si>
    <t>DAYQUIL™ COUGH Liquid</t>
  </si>
  <si>
    <t>DAYQUIL™ COUGH &amp; CONGESTION Liquid</t>
  </si>
  <si>
    <t>DAYQUIL™ SINUS LIQUICAPS™</t>
  </si>
  <si>
    <t>NYQUIL™ COLD &amp; FLU NIGHTTIME RELIEF LIQUID/DAYQUIL™ COLD &amp; FLU MULTI-SYMPTOM RELIEF LIQUICAPS™</t>
  </si>
  <si>
    <t>VICKS NYQUIL COMPLETE COUGH, COLD &amp; FLU RELIEF</t>
  </si>
  <si>
    <t>VICKS™ NYQUIL COMPLETE COLD &amp; FLU LIQUID</t>
  </si>
  <si>
    <t>NYQUIL™ COLD &amp; FLU NIGHTTIME RELIEF LIQUICAPS™</t>
  </si>
  <si>
    <t>NYQUIL™ COLD &amp; FLU NIGHTTIME RELIEF LIQUID</t>
  </si>
  <si>
    <t>NYQUIL™ COUGH Liquid</t>
  </si>
  <si>
    <t>NYQUIL™ SINUS LIQUICAPS™</t>
  </si>
  <si>
    <t>ROBITUSSIN EXTRA STRENGTH HONEYCOUGH &amp; CONGESTION liquid</t>
  </si>
  <si>
    <t>ROBITUSSIN COUGH CONTROL Liquid</t>
  </si>
  <si>
    <t>ROBITUSSIN COUGH CONTROL EXTRA STRENGTH Liquid</t>
  </si>
  <si>
    <t>ROBITUSSINCOUGH CONTROLFOR PEOPLE WITH DIABETES Liquid</t>
  </si>
  <si>
    <t>ROBITUSSINMUCUS &amp; PHLEGM Liquid</t>
  </si>
  <si>
    <t>ROBITUSSINMUCUS &amp; PHLEGMEXTRA STRENGTH Liquid</t>
  </si>
  <si>
    <t>ROBITUSSINDM COUGHGELS</t>
  </si>
  <si>
    <t>ROBITUSSIN HONEY COUGH &amp; COLD NIGHTTIME Liquid</t>
  </si>
  <si>
    <t>ROBITUSSIN COUGH &amp; COLD Liquid</t>
  </si>
  <si>
    <t>ROBITUSSIN COUGH &amp; COLD EXTRA STRENGTH Liquid</t>
  </si>
  <si>
    <t>ROBITUSSIN TOTAL COUGH, COLD &amp; FLU Liquid</t>
  </si>
  <si>
    <t>ROBITUSSIN TOTAL COUGH, COLD &amp; FLU EXTRA STRENGTH Liquid</t>
  </si>
  <si>
    <t>ROBITUSSIN®COMPLETE DAYTIME</t>
  </si>
  <si>
    <t>ROBITUSSIN®COMPLETEDAYTIME/NIGHTTIME</t>
  </si>
  <si>
    <t>ROBITUSSIN CHILDREN’S COLD Liquid (6-12yrs)</t>
  </si>
  <si>
    <t>ROBITUSSIN CHILDREN’S COUGH &amp; COLD Liquid (6-12yrs)</t>
  </si>
  <si>
    <t>ROBITUSSIN CHILDREN’S COUGH &amp; COLD BEDTIME Liquid (6-12yrs)</t>
  </si>
  <si>
    <t>Children’s Dimetapp® Cold &amp; Allergy Liquid (6-12yrs)</t>
  </si>
  <si>
    <t>Children’s Dimetapp® Cold &amp; Cough Liquid (6-12yrs)</t>
  </si>
  <si>
    <t>Children’s Dimetapp® Day &amp; Night Value Pack Liquid (6-12yrs)</t>
  </si>
  <si>
    <t>Children’s Dimetapp® Multi-Symptom Cold &amp; Flu Liquid (6-12yrs)</t>
  </si>
  <si>
    <t>Children’s Dimetapp® Multi-Symptom Cold Relief Dye-Free Liquid (6-12yrs)</t>
  </si>
  <si>
    <t>Children’s Dimetapp® Nighttime Cold &amp; Congestion Liquid (6-12yrs)</t>
  </si>
  <si>
    <t>NEOCITRAN TOTAL COLD NIGHT</t>
  </si>
  <si>
    <t>NEOCITRAN EXTRA STRENGTH TOTAL COLD NON-DROWSY</t>
  </si>
  <si>
    <t>NEOCITRAN EXTRA STRENGTH TOTAL COLD Night</t>
  </si>
  <si>
    <t>Neocitran Extra Strenght Cold &amp; Sinus Night Apple Cinnamon</t>
  </si>
  <si>
    <t>Neocitran Extra Strenght Cold &amp; Sinus Night</t>
  </si>
  <si>
    <t>Neocitran Cold and Sore Throat Night</t>
  </si>
  <si>
    <t>Neocitran Ultra Strength Total Flu Night</t>
  </si>
  <si>
    <t>Neocitran Ultra Strength Total Flu Non-Drowsy</t>
  </si>
  <si>
    <t>Neocitran Extra Strength Cold &amp; Congestion Non-Drowsy</t>
  </si>
  <si>
    <t>Anti-Fungal</t>
  </si>
  <si>
    <t>Moisterizer</t>
  </si>
  <si>
    <t>Probiotic</t>
  </si>
  <si>
    <t>PROBACLAC VAGINAL PROBIOTIC</t>
  </si>
  <si>
    <t>Vagisil PROHYDRATE® MOISTURIZING GEL</t>
  </si>
  <si>
    <t>VAGISTAT® 3-DAY YEAST INFECTION TREATMENT CREAM</t>
  </si>
  <si>
    <t>MONISTAT® 1-DAY TREATMENT</t>
  </si>
  <si>
    <t>MONISTAT® 1-DAY TREATMENT COMBINATION PACK</t>
  </si>
  <si>
    <t>MONISTAT® 3-DAY TREATMENT COMBINATION PACK WITH OVULE®</t>
  </si>
  <si>
    <t>MONISTAT® 3-DAY TREATMENT COMBINATION PACK WITH SUPPOSITORIES</t>
  </si>
  <si>
    <t>MONISTAT® 3-DAY TREATMENT COMBINATION PACK WITH PREFILLED CREAM</t>
  </si>
  <si>
    <t>MONISTAT® 3-DAY TREATMENT CREAM</t>
  </si>
  <si>
    <t>MONISTAT® 7-DAY TREATMENT COMBINATION PACK</t>
  </si>
  <si>
    <t>MONISTAT® 7-DAY TREATMENT CREAM</t>
  </si>
  <si>
    <t>Acid</t>
  </si>
  <si>
    <t>CanesBalance® Bacterial Vaginosis(BV) Vagina Gel</t>
  </si>
  <si>
    <t>Canesten® 1-DAY COMBI-PAK COMFORTAB</t>
  </si>
  <si>
    <t>Canesten® 3-DAY COMBI-PAK COMFORTAB®</t>
  </si>
  <si>
    <t>CanesOral® – Combi-Pak</t>
  </si>
  <si>
    <t>CanesOral®</t>
  </si>
  <si>
    <t>Canesten® 1-DAY Combi-Pak Cream</t>
  </si>
  <si>
    <t>Canesten® 1-DAY Cream</t>
  </si>
  <si>
    <t>Canesten® 3-DAY Cream</t>
  </si>
  <si>
    <t>Canesten® 6-DAY Cream</t>
  </si>
  <si>
    <t>Canesten® – External Cream</t>
  </si>
  <si>
    <t>RepHresh™ Pro-B™ Probiotic</t>
  </si>
  <si>
    <t>RepHresh™ Clean Balance™</t>
  </si>
  <si>
    <t>RepHresh Vaginal Gel</t>
  </si>
  <si>
    <t>Benylin All‑In‑One® COLD AND FLU Caplets</t>
  </si>
  <si>
    <t>Benylin All‑In‑One® COLD AND FLU DAY/NIGHT Caplets</t>
  </si>
  <si>
    <t>Benylin All‑In‑One® COLD AND FLU LIQUID GELS</t>
  </si>
  <si>
    <t>Benylin All‑In‑One® COLD AND FLU NIGHT Caplets</t>
  </si>
  <si>
    <t>Benylin All‑In‑One® COLD AND FLU NIGHT Syrup</t>
  </si>
  <si>
    <t>Benylin All‑In‑One® COLD AND FLU Syrup</t>
  </si>
  <si>
    <t>Benylin All‑In‑One® COLD AND FLU with Warming Sensation Syrup</t>
  </si>
  <si>
    <t>Benylin For Children All‑In‑One® COLD AND FEVER NIGHTTIME Syrup (6-12yrs)</t>
  </si>
  <si>
    <t>Benylin For Children All‑In‑One® COLD AND FEVER Syrup (6-12yrs)</t>
  </si>
  <si>
    <t>MUCUS &amp; PHLEGM PLUS COLD RELIEF Caplets</t>
  </si>
  <si>
    <t>MUCUS &amp; PHLEGM PLUS COLD RELIEF NIGHT Syrup</t>
  </si>
  <si>
    <t>MUCUS &amp; PHLEGM PLUS COLD RELIEF Syrup</t>
  </si>
  <si>
    <t>MUCUS &amp; PHLEGM PLUS COUGH CONTROL Syrup</t>
  </si>
  <si>
    <t>MUCUS &amp; PHLEGM Syrup</t>
  </si>
  <si>
    <t>Chest Congestion &amp; Cold Syrup</t>
  </si>
  <si>
    <t>Cough &amp; Chest Congestion Syrup</t>
  </si>
  <si>
    <t>Cough &amp; Chest Congestion with Warming Sensation Syrup</t>
  </si>
  <si>
    <t>Cough Plus Cold Relief Syrup</t>
  </si>
  <si>
    <t>Dry Cough NIGHT Syrup</t>
  </si>
  <si>
    <t>Dry Cough Syrup</t>
  </si>
  <si>
    <t>Tickly Throat Cough Syrup</t>
  </si>
  <si>
    <t>For Children Cough &amp; Cold Syrup (6-12yrs)</t>
  </si>
  <si>
    <t>For Children Cough NIGHT Syrup (6-12yrs)</t>
  </si>
  <si>
    <t>For Children Dry Cough Syrup (6-12yrs)</t>
  </si>
  <si>
    <t>Cold &amp; Sinus DAY/NIGHT Tablets</t>
  </si>
  <si>
    <t>Cold &amp; Sinus PLUS+ Tablets</t>
  </si>
  <si>
    <t>SORE THROAT &amp; COUGH Syrup</t>
  </si>
  <si>
    <t>Sore Throat Lozenge</t>
  </si>
  <si>
    <t>Strepsils Honey &amp; Lemon Lozenges</t>
  </si>
  <si>
    <t>Antiseptic</t>
  </si>
  <si>
    <t>Strepsils Extra Triple Action Blackcurrant Lozenges</t>
  </si>
  <si>
    <t>Strepsils Sore Throat &amp; Cough</t>
  </si>
  <si>
    <t>Anesthetic</t>
  </si>
  <si>
    <t>Cepacol Sensations - Honey &amp; Lemon</t>
  </si>
  <si>
    <t>Cepacol Sensations -Sucrose Free Lemon</t>
  </si>
  <si>
    <t>Cepacol sensations - Sore Throat &amp; Cough</t>
  </si>
  <si>
    <t>Cepacol Sensations - Sore Throat &amp; Blocked Nose</t>
  </si>
  <si>
    <t>Cepacol Extra Strength - Sucrose Free Cherry</t>
  </si>
  <si>
    <t>Cepacol Extra Strength - Sucrose Free Honey &amp; Lemon</t>
  </si>
  <si>
    <t>Cepacol Extra Strength - Sucrose Free Orange</t>
  </si>
  <si>
    <t>Cepacol Children - Fruity Strawberry (6-12yrs)</t>
  </si>
  <si>
    <t>Cepacol InstaMax Cherry</t>
  </si>
  <si>
    <t>Cepacol InstaMax Berry</t>
  </si>
  <si>
    <t>PEG</t>
  </si>
  <si>
    <t>Glycerin</t>
  </si>
  <si>
    <t>Docusate</t>
  </si>
  <si>
    <t>Senna</t>
  </si>
  <si>
    <t>Loperamide</t>
  </si>
  <si>
    <t>Calcium</t>
  </si>
  <si>
    <t>PPI</t>
  </si>
  <si>
    <t>Simeticone</t>
  </si>
  <si>
    <t>Column12</t>
  </si>
  <si>
    <t>Column13</t>
  </si>
  <si>
    <t>Are you taking blood thinners</t>
  </si>
  <si>
    <t>Do you have treated or untreated upset stomach or ulcers</t>
  </si>
  <si>
    <t>Do you have hypertension (uncontrolled), glaucoma, hyperthyroidism and/or seizures</t>
  </si>
  <si>
    <t>Do you need a fast acting product</t>
  </si>
  <si>
    <t>Are you taking any blood thinners</t>
  </si>
  <si>
    <t>Do you have mild to moderate pain</t>
  </si>
  <si>
    <t>Do you frequently drink alcohol</t>
  </si>
  <si>
    <t>Have you have infrequent insomnia</t>
  </si>
  <si>
    <t>Would you prefer a more natural option</t>
  </si>
  <si>
    <t>Would you prefer a fast acting product</t>
  </si>
  <si>
    <t>Would you prefer a long acting product</t>
  </si>
  <si>
    <t>Would you like a genital hygiene product</t>
  </si>
  <si>
    <t>Would you like a vaginal lubricant</t>
  </si>
  <si>
    <t>Would you like a vaginal moisturizer</t>
  </si>
  <si>
    <t>Do you have a yeast infection</t>
  </si>
  <si>
    <t>Do you have bacterial vaginosis</t>
  </si>
  <si>
    <t>Cleanser</t>
  </si>
  <si>
    <t>Hemmorhoidal</t>
  </si>
  <si>
    <t>Bismuth</t>
  </si>
  <si>
    <t>IMODIUM®LIQUI-GELS®</t>
  </si>
  <si>
    <t>IMODIUM® Calming Liquid</t>
  </si>
  <si>
    <t>IMODIUM® Quick Dissolve</t>
  </si>
  <si>
    <t>IMODIUM® Complete Caplets</t>
  </si>
  <si>
    <t>Do you prefer a liquid</t>
  </si>
  <si>
    <t>Would you like fast relief</t>
  </si>
  <si>
    <t>RestoraLAX</t>
  </si>
  <si>
    <t>METAMUCIL FIBRE CAPSULES PLUS CALCIUM</t>
  </si>
  <si>
    <t>METAMUCIL FIBRE CAPSULES</t>
  </si>
  <si>
    <t>METAMUCIL ORANGE SMOOTH POWDER (6+yrs)</t>
  </si>
  <si>
    <t>METAMUCIL POWDER WITH NO ADDED SWEETENER (6+yrs)</t>
  </si>
  <si>
    <t>METAMUCIL SMOOTH TEXTURE SUGAR FREE ORANGE FIBRE POWDER (6+yrs)</t>
  </si>
  <si>
    <t>METAMUCIL ORIGINAL COARSE POWDER (6+yrs)</t>
  </si>
  <si>
    <t>METAMUCIL PINK LEMONADE SUGAR FREE SMOOTH POWDER (6+yrs)</t>
  </si>
  <si>
    <t>METAMUCIL SUGAR FREE ORANGE FIBRE SINGLES (6+yrs)</t>
  </si>
  <si>
    <t>METAMUCIL SMOOTH TEXTURE SUGAR FREE BERRY FIBRE POWDER (6+yrs)</t>
  </si>
  <si>
    <t>Ginger</t>
  </si>
  <si>
    <t>SENOKOT® Laxative (6+yrs)</t>
  </si>
  <si>
    <t>SENOKOT®•S Laxative Plus Stool Softener (6+yrs)</t>
  </si>
  <si>
    <t>SENOKOT® Extra Strength Laxative (6+yrs)</t>
  </si>
  <si>
    <t>SENOKOT® For Women coated laxative (6+yrs)</t>
  </si>
  <si>
    <t>SENOKOT® Laxative Syrup (6+yrs)</t>
  </si>
  <si>
    <t>SENOKOT® Ginger relief for upset stomach (6+yrs)</t>
  </si>
  <si>
    <t>Colace® Regular Strength (2+yrs)</t>
  </si>
  <si>
    <t>Colace® Clear Soft Gels (2+yrs)</t>
  </si>
  <si>
    <t>Colace® 2-IN-1 Tablets (2+yrs)</t>
  </si>
  <si>
    <t>Dimenhydrinate</t>
  </si>
  <si>
    <t>GRAVOL IMMEDIATE RELEASE &amp; LONG ACTING CAPLET</t>
  </si>
  <si>
    <t>GRAVOL LIQUID GEL CAPSULES</t>
  </si>
  <si>
    <t>GRAVOL COMFORT-SHAPED SUPPOSITORIES</t>
  </si>
  <si>
    <t>GRAVOL EASY TO SWALLOW TABLETS (6+yrs)</t>
  </si>
  <si>
    <t>GRAVOL QUICK DISSOLVE CHEWABLE (6+yrs)</t>
  </si>
  <si>
    <t>GRAVOL KIDS QUICK DISSOLVE CHEWABLE (2+yrs)</t>
  </si>
  <si>
    <t>GRAVOL KIDS LIQUID (2+yrs)</t>
  </si>
  <si>
    <t>GRAVOL KIDS COMFORT SHAPED SUPPOSITORIES (2+yrs)</t>
  </si>
  <si>
    <t>GRAVOL GINGER LIQUID GEL CAPSULES (6+yrs)</t>
  </si>
  <si>
    <t>GRAVOL GINGER TABLETS (6+yrs)</t>
  </si>
  <si>
    <t>GRAVOL GINGER CHEWABLE LOZENGES (6+yrs)</t>
  </si>
  <si>
    <t>ENO Antacid Effervescing Powder</t>
  </si>
  <si>
    <t>ENO Antacid Effervescing Powder Single Dose Packets</t>
  </si>
  <si>
    <t>Gas-X Extra Strength Chewables</t>
  </si>
  <si>
    <t>Gas-X Ultra Strength Softgels</t>
  </si>
  <si>
    <t>TUMS Extra Strength</t>
  </si>
  <si>
    <t>TUMS Smoothies</t>
  </si>
  <si>
    <t>TUMS Ultra Strength</t>
  </si>
  <si>
    <t>TUMS Regular Strength</t>
  </si>
  <si>
    <t>TUMS Chewies</t>
  </si>
  <si>
    <t>Total Options</t>
  </si>
  <si>
    <t>Insomnia</t>
  </si>
  <si>
    <t>Naproxen</t>
  </si>
  <si>
    <t>Salicylate</t>
  </si>
  <si>
    <t>Antihistamine</t>
  </si>
  <si>
    <t>Do you have a headache/migraine</t>
  </si>
  <si>
    <t>Do you have menstrual cramping/pain</t>
  </si>
  <si>
    <t>Would you like a natural product</t>
  </si>
  <si>
    <t>Do you drink alcohol frequently</t>
  </si>
  <si>
    <t>Would you like an oral product</t>
  </si>
  <si>
    <t>Would you like a vaginal tablet</t>
  </si>
  <si>
    <t>Pepto Bismol Original Liquid</t>
  </si>
  <si>
    <t>Pepto Bismol Cherry Liquid</t>
  </si>
  <si>
    <t>Pepto Bismol Chewable Tablets Original</t>
  </si>
  <si>
    <t>Pepto Bismol Chewable Tablets Cherry</t>
  </si>
  <si>
    <t>Pepto Bismol Original Caplets</t>
  </si>
  <si>
    <t>Pepto Bismol To-go Cherry Chewable Tablets</t>
  </si>
  <si>
    <t>Pepto-bismol Extra Strength Liquid</t>
  </si>
  <si>
    <t>Pepto Bismol Extra Strength Cherry Liquid</t>
  </si>
  <si>
    <t>Kids Chewable Tablets Bubblegum (2+yrs)</t>
  </si>
  <si>
    <t>Do you have diarrhea</t>
  </si>
  <si>
    <t>Do you have constipation</t>
  </si>
  <si>
    <t>Do you have nausea</t>
  </si>
  <si>
    <t>Do you have heartburn, indigestion and/or upset stomach</t>
  </si>
  <si>
    <t>GAVISCON® TABLETS</t>
  </si>
  <si>
    <t>ZANTAC 75® Regular Strength</t>
  </si>
  <si>
    <t>ZANTAC 150® Maximum Strength Cool Mint</t>
  </si>
  <si>
    <t>ZANTAC 150® Maximum Strength</t>
  </si>
  <si>
    <t>H2RA</t>
  </si>
  <si>
    <t>PEPCID COMPLETE® (12+yrs)</t>
  </si>
  <si>
    <t>Maximum Strength PEPCID AC® (12+yrs)</t>
  </si>
  <si>
    <t>Original Strength PEPCID AC® (12+yrs)</t>
  </si>
  <si>
    <t>NEXIUM® 24HR</t>
  </si>
  <si>
    <t>OLEX DELAYED-RELEASE TABLETS</t>
  </si>
  <si>
    <t>LACTAID® Fast Act Chewables</t>
  </si>
  <si>
    <t>LACTAID® Fast Act Caplets</t>
  </si>
  <si>
    <t>LACTAID® Original Strength Caplets</t>
  </si>
  <si>
    <t>Gaviscon® Liquid</t>
  </si>
  <si>
    <t>Base/Salts</t>
  </si>
  <si>
    <t>FLEET® SALINE ENEMA (12+yrs)</t>
  </si>
  <si>
    <t>FLEET ENEMA EXTRA® (12+yrs)</t>
  </si>
  <si>
    <t>fast enemas</t>
  </si>
  <si>
    <t>FLEET® MINERAL OIL ENEMA (12+yrs)</t>
  </si>
  <si>
    <t>Mineral Oil</t>
  </si>
  <si>
    <t>Bisacodyl</t>
  </si>
  <si>
    <t>FLEET® BISACODYL ENEMA (12+yrs)</t>
  </si>
  <si>
    <t>FLEET® LIQUID GLYCERIN SUPPOSITORIES (6+yrs)</t>
  </si>
  <si>
    <t>FLEET® GLYCERIN SUPPOSITORIES (6+yrs)</t>
  </si>
  <si>
    <t>Pedia-Lax® Glycerin Suppositories (2-6yrs)</t>
  </si>
  <si>
    <t>Pedia-Lax® Chewable Tablets (2-12yrs)</t>
  </si>
  <si>
    <t>Pedia-Lax® Liquid Stool Softener (2-12yrs)</t>
  </si>
  <si>
    <t>Pedia-Lax® Liquid Glycerin Suppositories (2-6yrs)</t>
  </si>
  <si>
    <t>Pedia-Lax® Enema (2-12yrs)</t>
  </si>
  <si>
    <t>Pedia-Lax® Probiotic Yums® (2-12yrs)</t>
  </si>
  <si>
    <t>Moisturizer</t>
  </si>
  <si>
    <t>Would you like to prevent yeast/bacterial infection</t>
  </si>
  <si>
    <t>Odor Eliminator</t>
  </si>
  <si>
    <t>Are you Pregnant and/or Diabetic</t>
  </si>
  <si>
    <t>Would you like a cream/gel</t>
  </si>
  <si>
    <t>Dulcolax® Suppositories</t>
  </si>
  <si>
    <t>fast</t>
  </si>
  <si>
    <t>Dulcolax® Laxative Tablets (6+yrs)</t>
  </si>
  <si>
    <t>Dulcolax® For Women Laxative Tablets</t>
  </si>
  <si>
    <t>DulcoComfort® Stool Softener (6+yrs)</t>
  </si>
  <si>
    <t>beano® Tablets</t>
  </si>
  <si>
    <t>Enzyme</t>
  </si>
  <si>
    <t>Citro-Mag® - Lemon/Lime</t>
  </si>
  <si>
    <t>Citro-Mag® - Cherry</t>
  </si>
  <si>
    <t>Phillips'® Fiber Good® Gummies plus Energy Support∗</t>
  </si>
  <si>
    <t>Phillips'® Fiber Good® Gummies plus Metabolism Support∗</t>
  </si>
  <si>
    <t>Phillips'® Fiber Good® Gummies (4+yrs)</t>
  </si>
  <si>
    <t>Fiber</t>
  </si>
  <si>
    <t>Phillips'® Laxative Caplets</t>
  </si>
  <si>
    <t>Phillips'® Milk of Magnesia (6+yrs)</t>
  </si>
  <si>
    <t>Phillips'® Stool Softener Liquid Gels (6+yrs)</t>
  </si>
  <si>
    <t>Phillips'® Colon Health® Probiotic Capsules</t>
  </si>
  <si>
    <t>Phillips'® Colon Health® Probiotic Gummies</t>
  </si>
  <si>
    <t>ELECTROLYTE GASTRO FOR ADULTS</t>
  </si>
  <si>
    <t>PEDIATRIC ELECTROLYTE FOR CHILDREN</t>
  </si>
  <si>
    <t>ALIGN PROBIOTIC SUPPLEMENT CHEWABLES FOR ADULTS</t>
  </si>
  <si>
    <t>ALIGN JR. PROBIOTIC SUPPLEMENT CHEWABLES FOR KIDS (6+yrs)</t>
  </si>
  <si>
    <t>ALIGN PROBIOTIC SUPPLEMENT</t>
  </si>
  <si>
    <t>ALIGN ADVANCED PROBIOTIC SUPPLEMENT</t>
  </si>
  <si>
    <t>Would you like long acting or once daily relief</t>
  </si>
  <si>
    <t>Do you prefer an oral tablet, gel or lozenge</t>
  </si>
  <si>
    <t>Children's TYLENOL® Cold &amp; Cough Nighttime Liquid (6-11yrs)</t>
  </si>
  <si>
    <t>Children's TYLENOL® Cold &amp; Cough Liquid (6-11yrs)</t>
  </si>
  <si>
    <t>Children’s TYLENOL® Complete Cold Cough &amp; Fever Liquid (6-11yrs)</t>
  </si>
  <si>
    <t>Children’s TYLENOL® Complete Cold Cough &amp; Fever Nighttime Liquid (6-11yrs)</t>
  </si>
  <si>
    <t>Buckley's Jack &amp; Jill Cough &amp; Cold Cherry Flavour Liquid (6-12yrs)</t>
  </si>
  <si>
    <t>Buckley's Jack &amp; Jill Bedtime Cough &amp; Cold Grape Flavour Liquid (6-12yrs)</t>
  </si>
  <si>
    <t>CHILDREN'S NYQUIL™ COLD &amp; COUGH MEDICINE Liquid (6+yrs)</t>
  </si>
  <si>
    <t>Children’s Advil Cold and Flu Multi-symptom Liquid (6-12yrs)</t>
  </si>
  <si>
    <t>Children’s Advil Cold Liquid (6-12yrs)</t>
  </si>
  <si>
    <t>Children’s Advil Fever from Colds or Flu Liquid (2-12yrs)</t>
  </si>
  <si>
    <t>Junior Strength Advil Fever from Cold or Flu tabs (2-12yrs)</t>
  </si>
  <si>
    <t>Buckley's Original Mixture Liquid</t>
  </si>
  <si>
    <t>Buckley's Original Mixture Nighttime Liquid</t>
  </si>
  <si>
    <t>Buckley's Complete Liquid</t>
  </si>
  <si>
    <t>Buckley's Complete + Mucus Liquid</t>
  </si>
  <si>
    <t>Buckley's Cough, Chest Congestion Liquid</t>
  </si>
  <si>
    <t>Buckley's Cough, Mucus and Phlegm Liquid</t>
  </si>
  <si>
    <t>BENYLIN® Cough &amp; Chest Congestion for People with Diabetes Liquid</t>
  </si>
  <si>
    <t>Anesthetic/Antiseptic</t>
  </si>
  <si>
    <t>Do you have treated/untreated acid reflux or hypertension</t>
  </si>
  <si>
    <t>Do you have uncontrolled hypertension</t>
  </si>
  <si>
    <t>Are you on warfarin therapy</t>
  </si>
  <si>
    <t>Lubricant</t>
  </si>
  <si>
    <t>Gynatrof</t>
  </si>
  <si>
    <t>K-Y® JELLY Personal Lubricant</t>
  </si>
  <si>
    <t>K-Y® SILK-E® Vaginal Moisturizer and Personal Lubricant</t>
  </si>
  <si>
    <t>K-Y® GENTLE SENSITIVE JELLY Personal Lubricant</t>
  </si>
  <si>
    <t>K-Y LIQUID® Personal Lubricant</t>
  </si>
  <si>
    <t>K-Y® SENSUAL SILK® Personal Lubricant</t>
  </si>
  <si>
    <t>K-Y TOUCH® 2-in-1 WARMING® Oil and Personal Lubricant</t>
  </si>
  <si>
    <t>K-Y WARMING LIQUID® Personal Lubricant</t>
  </si>
  <si>
    <t>K-Y WARMING® Jelly Personal Lubricant</t>
  </si>
  <si>
    <t>K-Y® YOURS+MINE COUPLES LUBRICANTS®</t>
  </si>
  <si>
    <t>ASTROGLIDE Liquid</t>
  </si>
  <si>
    <t>ASTROGLIDE Gel</t>
  </si>
  <si>
    <t>ASTROGLIDE Ultra Gentle Gel</t>
  </si>
  <si>
    <t>ASTROGLIDE Glycerin &amp; Paraben Free</t>
  </si>
  <si>
    <t>ASTROGLIDE X Silicone Gel</t>
  </si>
  <si>
    <t>ASTROGLIDE Warming Liquid</t>
  </si>
  <si>
    <t>ASTROGLIDE Strawberry Liquid</t>
  </si>
  <si>
    <t>Replens Long-Lasting Vaginal Moisturizer</t>
  </si>
  <si>
    <t>Replens Silky Smooth Lubricant</t>
  </si>
  <si>
    <t>Replens External Comfort Gel</t>
  </si>
  <si>
    <t>Monistat Care Stay Fresh Gel</t>
  </si>
  <si>
    <t>VAGISIL ODOR BLOCK® DAILY INTIMATE WASH</t>
  </si>
  <si>
    <t>Vagisil pH BALANCE DAILY INTIMATE WASH</t>
  </si>
  <si>
    <t>Vagisil SENSITIVE PLUS DAILY INTIMATE WASH</t>
  </si>
  <si>
    <t>Vagisil SCENTSITIVE SCENTS® PEACH BLOSSOM DAILY INTIMATE WASH</t>
  </si>
  <si>
    <t>Vagisil SCENTSITIVE SCENTS® WHITE JASMINE DAILY INTIMATE WASH</t>
  </si>
  <si>
    <t>column2</t>
  </si>
  <si>
    <t>Calamine Lotion</t>
  </si>
  <si>
    <t>Would you like to prevent dehydration</t>
  </si>
  <si>
    <t>Question Set 3</t>
  </si>
  <si>
    <t>Are you taking opioids or have a gastrointestinal obstruction</t>
  </si>
  <si>
    <t>Do you have gas or bloating</t>
  </si>
  <si>
    <t>Enzymes</t>
  </si>
  <si>
    <t>Gastrointestinal</t>
  </si>
  <si>
    <t>Are you immunocompromised or immunosupressed</t>
  </si>
  <si>
    <t>Column8</t>
  </si>
  <si>
    <t>Column9</t>
  </si>
  <si>
    <t>Preservative</t>
  </si>
  <si>
    <t>Ointment</t>
  </si>
  <si>
    <t>Gel</t>
  </si>
  <si>
    <t>Drops</t>
  </si>
  <si>
    <t>VISINE® Environmental Relief (6+yrs)</t>
  </si>
  <si>
    <t>not preg</t>
  </si>
  <si>
    <t>VISINE® Eye Revival (6+yrs)</t>
  </si>
  <si>
    <t>BAC-Free</t>
  </si>
  <si>
    <t>VISINE® Tired Eye Relief (6+yrs)</t>
  </si>
  <si>
    <t>REFRESH® RELIEVA™ PF MULTIDOSE</t>
  </si>
  <si>
    <t>REFRESH® RELIEVA™</t>
  </si>
  <si>
    <t>REFRESH® RELIEVATM FOR CONTACTS</t>
  </si>
  <si>
    <t>Soft Preservative</t>
  </si>
  <si>
    <t>purite</t>
  </si>
  <si>
    <t>REFRESH OPTIVE MEGA-3® PRESERVATIVE-FREE</t>
  </si>
  <si>
    <t>REFRESH OPTIVE® ADVANCED</t>
  </si>
  <si>
    <t>REFRESH OPTIVE® ADVANCED PRESERVATIVE-FREE</t>
  </si>
  <si>
    <t>REFRESH OPTIVE®</t>
  </si>
  <si>
    <t>REFRESH OPTIVE® PRESERVATIVE-FREE</t>
  </si>
  <si>
    <t>REFRESH TEARS®</t>
  </si>
  <si>
    <t>REFRESH PLUS®</t>
  </si>
  <si>
    <t>REFRESH® Classic</t>
  </si>
  <si>
    <t>REFRESH OPTIVE® GEL DROPS</t>
  </si>
  <si>
    <t>REFRESH® CELLUVISC®</t>
  </si>
  <si>
    <t>REFRESH LIQUIGEL®</t>
  </si>
  <si>
    <t>REFRESH P.M.®</t>
  </si>
  <si>
    <t>REFRESH® LACRI-LUBE®</t>
  </si>
  <si>
    <t>REFRESH CONTACTS®</t>
  </si>
  <si>
    <t>Contact Compatible</t>
  </si>
  <si>
    <t>lipid layer defficiency product</t>
  </si>
  <si>
    <t>lasik</t>
  </si>
  <si>
    <t>Systane® COMPLETE Lubricant Eye Drop</t>
  </si>
  <si>
    <t>Systane® ULTRA HYDRATION PRESERVATIVE FREE Lubricant Eye Drops</t>
  </si>
  <si>
    <t>polyquad</t>
  </si>
  <si>
    <t>Systane® ULTRA HYDRATION Lubricant Eye Drops</t>
  </si>
  <si>
    <t>Systane® ULTRA Lubricant Eye Drops</t>
  </si>
  <si>
    <t>Systane® BALANCE Lubricant Eye Drops</t>
  </si>
  <si>
    <t>Systane® ULTRA Preservative Free Lubricant Eye Drops</t>
  </si>
  <si>
    <t>Systane® GEL DROPS Lubricant Eye Drops</t>
  </si>
  <si>
    <t>Systane® Gel</t>
  </si>
  <si>
    <t>Systane® BION TEARS® Lubricant Eye Drops</t>
  </si>
  <si>
    <t>Systane® OINTMENT Lubricant Eye Ointment</t>
  </si>
  <si>
    <t>Lanolin</t>
  </si>
  <si>
    <t>hydraSense® for Dry Eyes</t>
  </si>
  <si>
    <t>hydraSense® Advanced for Dry Eyes</t>
  </si>
  <si>
    <t>hydraSense® Night Therapy for Dry Eyes</t>
  </si>
  <si>
    <t>hydraSense® for Allergy Therapy</t>
  </si>
  <si>
    <t>Soothe XP Emollient (Lubricant) Eye Drops</t>
  </si>
  <si>
    <t>Soothe XP Emollient (Lubricant) Eye Drops Preservative Free</t>
  </si>
  <si>
    <t>Soothe Lubricant Eye Drops Maximum Hydration</t>
  </si>
  <si>
    <t>Soothe Lubricant Eye Drops Hydration</t>
  </si>
  <si>
    <t>Soothe Lubricant Eye Drops - Preservative Free</t>
  </si>
  <si>
    <t>Soothe Lubricant Eye Ointment</t>
  </si>
  <si>
    <t>Advanced Eye Relief Dry Eye</t>
  </si>
  <si>
    <t>OPTI-FREE® Puremoist® Rewetting Drops</t>
  </si>
  <si>
    <t>OPTI-FREE® Replenish® Rewetting Drops</t>
  </si>
  <si>
    <t>OPTI-FREE® Express® Rewetting Drops</t>
  </si>
  <si>
    <t>Blink Contacts® Lubricating Eye Drops</t>
  </si>
  <si>
    <t>Blink® Tears Lubricating Eye Drops</t>
  </si>
  <si>
    <t>Blink GelTears® Lubricating Eye Drops</t>
  </si>
  <si>
    <t>Blink® Tears Preservative Free Lubricating Eye Drops</t>
  </si>
  <si>
    <t>TheraTears Extra Dry Eye Therapy Lubricant Eye Drops</t>
  </si>
  <si>
    <t>TheraTears Dry Eye Therapy Lubricant Eye Drops</t>
  </si>
  <si>
    <t>TheraTears Dry Eye Therapy Lubricant Eye Drops-Preservative Free</t>
  </si>
  <si>
    <t>TheraTears Liquid Gel Nighttime Dry Eye Therapy Lubricant Eye Gel-Preservative Free</t>
  </si>
  <si>
    <t>GENTEAL® TEARS MILD LIQUID DROPS</t>
  </si>
  <si>
    <t>GENTEAL® Tears MODERATE LIQUID DROPS</t>
  </si>
  <si>
    <t>PRESERVATIVE FREE MODERATE LIQUID DROPS</t>
  </si>
  <si>
    <t>GENTEAL® TearsSEVERE EYE OINTMENT</t>
  </si>
  <si>
    <t>GENTEAL® TearsLUBRICANT EYE GEL</t>
  </si>
  <si>
    <t>CLEAR EYES PURE RELIEF® FOR DRY EYES</t>
  </si>
  <si>
    <t>CLEAR EYES PURE RELIEF® MULTI-SYMPTOM</t>
  </si>
  <si>
    <t>CLEAR EYES® REDNESS RELIEF</t>
  </si>
  <si>
    <t>CLEAR EYES® MAXIMUM REDNESS RELIEF</t>
  </si>
  <si>
    <t>CLEAR EYES® COOLING COMFORT REDNESS RELIEF</t>
  </si>
  <si>
    <t>CLEAR EYES® TRAVELER'S EYE RELIEF</t>
  </si>
  <si>
    <t>CLEAR EYES® MAXIMUM ITCHY EYE RELIEF</t>
  </si>
  <si>
    <t>CLEAR EYES® NATURAL TEARS LUBRICANT</t>
  </si>
  <si>
    <t>CLEAR EYES® ADVANCED DRY &amp; ITCHY EYE RELIEF</t>
  </si>
  <si>
    <t>CLEAR EYES® CONTACT LENS MULTI-ACTION RELIEF</t>
  </si>
  <si>
    <t>CLEAR EYES® COMPLETE 7 SYMPTOM RELIEF</t>
  </si>
  <si>
    <t>CLEAR EYES® TRIPLE ACTION</t>
  </si>
  <si>
    <t xml:space="preserve">VISINE® for Red Eye – Workplace </t>
  </si>
  <si>
    <t>Visine Original</t>
  </si>
  <si>
    <t>Visine Advance Triple Action</t>
  </si>
  <si>
    <t>Polysporin EYE &amp; EAR DROPS FOR PINK EYE (all ages)</t>
  </si>
  <si>
    <t>Antibiotic</t>
  </si>
  <si>
    <t>Optimyxin® Eye drops Antibiotic</t>
  </si>
  <si>
    <t>Do you have pink eye</t>
  </si>
  <si>
    <t>Do you have mild dry eye</t>
  </si>
  <si>
    <t>Do you have severe dry eye</t>
  </si>
  <si>
    <t>Do you wear contacts</t>
  </si>
  <si>
    <t>Are you sensitive to wool</t>
  </si>
  <si>
    <t>Can you use decongestants</t>
  </si>
  <si>
    <t>Column11</t>
  </si>
  <si>
    <t>POLYSPORIN® Complete Ointment</t>
  </si>
  <si>
    <t>POLYSPORIN® Triple Antibiotic Ointment</t>
  </si>
  <si>
    <t>POLYSPORIN® Plus Pain Relief Cream</t>
  </si>
  <si>
    <t>POLYSPORIN® Kids Cream</t>
  </si>
  <si>
    <t>POLYSPORIN® Original Antibiotic Ointment</t>
  </si>
  <si>
    <t>POLYSPORIN® Original Antibiotic Cream</t>
  </si>
  <si>
    <t>POLY TO GO® First Aid Antiseptic / Pain Relieving Spray</t>
  </si>
  <si>
    <t>POLYSPORIN® ECZEMA ESSENTIALS® Flare-Up Relief Cream</t>
  </si>
  <si>
    <t>POLYSPORIN® ECZEMA ESSENTIALS® 1% Hydrocortisone Anti-Itch Cream</t>
  </si>
  <si>
    <t>POLYSPORIN® 1% Hydrocortisone Anti-Itch Cream</t>
  </si>
  <si>
    <t>POLYSPORIN® Itch Relief Lotion</t>
  </si>
  <si>
    <t>POLYSPORIN® Cracked Skin Healing Ointment</t>
  </si>
  <si>
    <t>POLYSPORIN® Cracked Skin Healing Balm</t>
  </si>
  <si>
    <t>POLYSPORIN® Visible Lip Health Overnight Renewal Therapy</t>
  </si>
  <si>
    <t>Tinactin® Athlete's Foot Cream</t>
  </si>
  <si>
    <t>Tinactin® Athlete’s Foot Liquid Spray</t>
  </si>
  <si>
    <t>Tinactin® Athlete’s Foot Powder Spray</t>
  </si>
  <si>
    <t>Tinactin® Athlete’s Foot Deodorant Powder Spray</t>
  </si>
  <si>
    <t>Tinactin®Athlete’s Foot Super Absorbent Powder</t>
  </si>
  <si>
    <t>Tinactin® Jock Itch Cream</t>
  </si>
  <si>
    <t>Tinactin® Jock Itch Powder Spray</t>
  </si>
  <si>
    <t>Goldbond ECZEMA RELIEF 1% HYDROCORTISONE CREAM</t>
  </si>
  <si>
    <t>Goldbond ANTI-ITCH CREAM</t>
  </si>
  <si>
    <t>PROVACARE PROBIOTIC VAGINAL CARE OVULES</t>
  </si>
  <si>
    <t>2+</t>
  </si>
  <si>
    <t>all ages</t>
  </si>
  <si>
    <t>AntiFungal</t>
  </si>
  <si>
    <t>Goldbond ANTI-ITCH LOTION</t>
  </si>
  <si>
    <t>GoldBond PAIN RELIEVING FOOT CREAM</t>
  </si>
  <si>
    <t>Goldbond MOISTURIZING FOOT CREAM</t>
  </si>
  <si>
    <t>Goldbond EXTRA-STRENGTH BODY LOTION</t>
  </si>
  <si>
    <t>Goldbond ORIGINAL STRENGTH BODY LOTION</t>
  </si>
  <si>
    <t>Goldbond DIABETIC'S DRY SKIN RELIEF FOOT CREAM</t>
  </si>
  <si>
    <t>Goldbond HEALING HAND CREAM</t>
  </si>
  <si>
    <t>Goldbond RESTORING SKIN THERAPY LOTION</t>
  </si>
  <si>
    <t>Micatin Antifungal Cream</t>
  </si>
  <si>
    <t>Micatin Antifungal Spray</t>
  </si>
  <si>
    <t>Salicylic Acid</t>
  </si>
  <si>
    <t>OXY® Total Care™ Creamy Facial Cleanser</t>
  </si>
  <si>
    <t>OXY® Total Care™ Vitamin C Serum</t>
  </si>
  <si>
    <t>OXY® Total Care™ Clarifying Moisturizer</t>
  </si>
  <si>
    <t>Peroxide</t>
  </si>
  <si>
    <t>OXY Acne Cleanser</t>
  </si>
  <si>
    <t>OXY 3-in-1 Acne Pads</t>
  </si>
  <si>
    <t>OXY Sensitive Face Wash</t>
  </si>
  <si>
    <t>OXY Rapid Spot Treatment</t>
  </si>
  <si>
    <t>OXY On-The-Go Acne Stick</t>
  </si>
  <si>
    <t>OXY Deep Pore Cleansing Pads</t>
  </si>
  <si>
    <t>OXY Overnight Acne Reducing Patches</t>
  </si>
  <si>
    <t>Clearasil Rapid Rescue Spot Treatment Cream</t>
  </si>
  <si>
    <t>Clearasil Rapid Rescue Spot Treatment Gel</t>
  </si>
  <si>
    <t>Clearasil Stubborn Acne Control 5in1 Exfoliating Wash</t>
  </si>
  <si>
    <t>Clearasil Stubborn Acne Control 5in1 Daily Pads</t>
  </si>
  <si>
    <t>Clearasil Rapid Rescue Deep Treatment Scrub</t>
  </si>
  <si>
    <t>Clearsail Rapid Rescue Deep Treatment Pads</t>
  </si>
  <si>
    <t>Clearsil Rapid Rescue Deep Treatment Wash</t>
  </si>
  <si>
    <t>Clearasil Stubborn Acne Control 5in1 Weekly Scrub</t>
  </si>
  <si>
    <t>Clearasil Rapid Action Treatment Lotion</t>
  </si>
  <si>
    <t>Clearasil Stubborn Acne Control 5in1 Concealing Treatment Cream</t>
  </si>
  <si>
    <t>Clearasil Stubborn Acne Control 5in1 Spot Treatment Cream</t>
  </si>
  <si>
    <t>Clearasil Stubborn Acne Control 5in1 One Minute Mask</t>
  </si>
  <si>
    <t>Clearasil Gentle Prevention Daily Clean Wash</t>
  </si>
  <si>
    <t>Clearasil Gentle Prevention Daily Clean Pads</t>
  </si>
  <si>
    <t>CLEAN &amp; CLEAR® Acne Triple Clear™ Clay Mask</t>
  </si>
  <si>
    <t>Acne Triple Clear™ Bubble Foam Cleanser</t>
  </si>
  <si>
    <t>Acne Triple Clear™ Exfoliating Scrub</t>
  </si>
  <si>
    <t>Acne Triple Clear™ Gel Cleanser</t>
  </si>
  <si>
    <t>CLEAN &amp; CLEAR® PERSA-GEL® 5</t>
  </si>
  <si>
    <t>CLEAN &amp; CLEAR® CONTINUOUS CONTROL® Acne Cleanser</t>
  </si>
  <si>
    <t>CLEAN &amp; CLEAR ADVANTAGE® Acne Control Moisturizer</t>
  </si>
  <si>
    <t>CLEAN &amp; CLEAR ADVANTAGE® Acne Control 3-in-1 Foaming Wash</t>
  </si>
  <si>
    <t>CLEAN &amp; CLEAR ADVANTAGE® Acne Spot Treatment</t>
  </si>
  <si>
    <t>CLEAN &amp; CLEAR® Blackhead Clearing Astringent</t>
  </si>
  <si>
    <t>CLEAN &amp; CLEAR ESSENTIALS® Dual Action Moisturizer</t>
  </si>
  <si>
    <t>CLEAN &amp; CLEAR ESSENTIALS® Deep Cleaning Astringent</t>
  </si>
  <si>
    <t>CLEAN &amp; CLEAR ESSENTIALS® Deep Cleaning Astringent for Sensitive Skin</t>
  </si>
  <si>
    <t>CLEAN &amp; CLEAR® BLACKHEAD ERASER® Scrub</t>
  </si>
  <si>
    <t>Cryogenic</t>
  </si>
  <si>
    <t>COMPOUND W® NITROFREEZE™ (4+yrs)</t>
  </si>
  <si>
    <t>COMPOUND W FREEZE OFF® WART REMOVAL (4+yrs)</t>
  </si>
  <si>
    <t>COMPOUND W® COMPLETE WART KIT</t>
  </si>
  <si>
    <t>COMPOUND W® 2-IN-1 TREATMENT KIT</t>
  </si>
  <si>
    <t>COMPOUND W FREEZE OFF® PLANTAR WART REMOVAL KIT</t>
  </si>
  <si>
    <t>COMPOUND W FREEZE OFF® ADVANCED WART REMOVER</t>
  </si>
  <si>
    <t>COMPOUND W® ONE STEP STRIPS FOR KIDS (3+yrs)</t>
  </si>
  <si>
    <t>COMPOUND W® ONE STEP INVISIBLE STRIPS</t>
  </si>
  <si>
    <t>COMPOUND W® ONE STEP PLANTAR FOOT PADS</t>
  </si>
  <si>
    <t>COMPOUND W® ONE STEP PADS</t>
  </si>
  <si>
    <t>COMPOUND W® FAST ACTING WART REMOVAL GEL</t>
  </si>
  <si>
    <t>COMPOUND W® FAST ACTING WART REMOVAL LIQUID</t>
  </si>
  <si>
    <t>T/Gel Daily Control® 2-in-1 Dandruff Shampoo Plus Conditioner</t>
  </si>
  <si>
    <t>T/Gel® Therapeutic Shampoo-Extra Strength</t>
  </si>
  <si>
    <t>Coal Tar</t>
  </si>
  <si>
    <t>T/Sal® Therapeutic Shampoo-Scalp Build-Up Control</t>
  </si>
  <si>
    <t>T/Gel® Therapeutic Shampoo-Stubborn Itch</t>
  </si>
  <si>
    <t>T/Gel® Therapeutic Shampoo-Original Formula</t>
  </si>
  <si>
    <t>POLYSPORIN® Plus Pain Relief Ear Drops (6+yrs)</t>
  </si>
  <si>
    <t>POLYSPORIN® Eye &amp; Ear Drops (6+yrs)</t>
  </si>
  <si>
    <t>Auralgan Ear Drops</t>
  </si>
  <si>
    <t>Optimyxin® Ear drops </t>
  </si>
  <si>
    <t>Solvent</t>
  </si>
  <si>
    <t>Cerumol Ear Wax Removal Drops (12+yrs)</t>
  </si>
  <si>
    <t>Murine® Ear Earwax Removal System</t>
  </si>
  <si>
    <t>Preservative-Free</t>
  </si>
  <si>
    <t>Drop</t>
  </si>
  <si>
    <t>Lasik</t>
  </si>
  <si>
    <t>Lipid Layer</t>
  </si>
  <si>
    <t>Do you prefer an oral tablet or capsule</t>
  </si>
  <si>
    <t>Would you like a suppository or rectal product</t>
  </si>
  <si>
    <t>Did you have laser eye surgery (LASIK)</t>
  </si>
  <si>
    <t>LASIK</t>
  </si>
  <si>
    <t>Do you have swimmer's ear (outer ear) infection</t>
  </si>
  <si>
    <t>Do you have excess ear wax</t>
  </si>
  <si>
    <r>
      <t xml:space="preserve">Are you an adult </t>
    </r>
    <r>
      <rPr>
        <b/>
        <sz val="11"/>
        <color theme="1"/>
        <rFont val="Calibri"/>
        <family val="2"/>
      </rPr>
      <t>≥ 12 years old</t>
    </r>
  </si>
  <si>
    <t>Would you like long acting or overnight relief</t>
  </si>
  <si>
    <t>Eye</t>
  </si>
  <si>
    <t>Are you sensitive to benzalkonium chloride (preservative)</t>
  </si>
  <si>
    <t>Are you allergic to anesthetics (i.e lidocaine, benzocaine)</t>
  </si>
  <si>
    <t>Do you have minor ear pain</t>
  </si>
  <si>
    <t>Ear</t>
  </si>
  <si>
    <t>UVA/UVB</t>
  </si>
  <si>
    <t>NEUTROGENA CLEAR FACE® Lotion</t>
  </si>
  <si>
    <t>Body</t>
  </si>
  <si>
    <t>Lotion</t>
  </si>
  <si>
    <t>NEUTROGENA® ULTRA SHEER® WATER-LIGHT® Daily Face Sunscreen SPF 60</t>
  </si>
  <si>
    <t>Oxy/Avobenzone</t>
  </si>
  <si>
    <t>NEUTROGENA® ULTRA SHEER® Face &amp; Body Stick Sunscreen SPF 50+</t>
  </si>
  <si>
    <t>Stick</t>
  </si>
  <si>
    <t>NEUTROGENA® ULTRA SHEER® Face Sunscreen</t>
  </si>
  <si>
    <t>NEUTROGENA® HYDRO BOOST Water Gel Sunscreen</t>
  </si>
  <si>
    <t>NEUTROGENA® BEACH DEFENSE® Sunscreen Spray</t>
  </si>
  <si>
    <t>NEUTROGENA® BEACH DEFENSE® Sunscreen Lotion</t>
  </si>
  <si>
    <t>NEUTROGENA® ULTRA SHEER® Body Mist Sunscreens</t>
  </si>
  <si>
    <t>NEUTROGENA® ULTRA SHEER® Dry-Touch Lotion</t>
  </si>
  <si>
    <t>NEUTROGENA Sheer Zinc™ Body</t>
  </si>
  <si>
    <t>NEUTROGENA Sheer Zinc™ Face</t>
  </si>
  <si>
    <t>Hypoallergenic</t>
  </si>
  <si>
    <t>Fragrance-Free</t>
  </si>
  <si>
    <t>Oil-Free</t>
  </si>
  <si>
    <t>NEUTROGENA® COOLDRY SPORT™ Sunscreen Lotion</t>
  </si>
  <si>
    <t>NEUTROGENA® COOLDRY SPORT™ Sunscreen Spray</t>
  </si>
  <si>
    <t>NEUTROGENA® WET SKIN® Sunscreen Spray Kids</t>
  </si>
  <si>
    <t>NEUTROGENA® BEACH DEFENSE® Sunscreen Spray Kids</t>
  </si>
  <si>
    <t>Coppertone SPORT® Sunscreen Continuous Spray</t>
  </si>
  <si>
    <t>Coppertone SPORT® Sunscreen Lotion</t>
  </si>
  <si>
    <t>Coppertone® Sunscreen Lotion SPF 50 Defend &amp; Care Face</t>
  </si>
  <si>
    <t>Coppertone® Sunscreen Lotion SPF 50 Defend &amp; Care</t>
  </si>
  <si>
    <t>Coppertone® Mineral Sunscreen Lotion Pure &amp; Simple Face</t>
  </si>
  <si>
    <t>Coppertone® Mineral Sunscreen Lotion Pure &amp; Simple</t>
  </si>
  <si>
    <t>Coppertone® Sunscreen Spray SPF 50 Defend &amp; Care</t>
  </si>
  <si>
    <t>Coppertone® Tanning Sunscreen Lotion</t>
  </si>
  <si>
    <t>Coppertone® WaterBABIES® Whipped Sunscreen</t>
  </si>
  <si>
    <t>Coppertone® WaterBABIES® Sunscreen Lotion</t>
  </si>
  <si>
    <t>Coppertone ® Mineral Sunscreen Lotion Pure &amp; Simple Baby</t>
  </si>
  <si>
    <t>Coppertone® KIDS Sunscreen Lotion</t>
  </si>
  <si>
    <t>Coppertone® Mineral Sunscreen Lotion Pure &amp; Simple Kids</t>
  </si>
  <si>
    <t>Coppertone® Sunscreen Lotion</t>
  </si>
  <si>
    <t>Coppertone® KIDS Continuous Spray</t>
  </si>
  <si>
    <t>Coppertone® Sunscreen Continuous Spray</t>
  </si>
  <si>
    <t>Coppertone® Sunscreen Stick WaterBABIES®</t>
  </si>
  <si>
    <t>HAWAIIAN TROPIC® ISLAND SPORT® LOTION SUNSCREEN</t>
  </si>
  <si>
    <t>HAWAIIAN TROPIC® ISLAND SPORT® CLEAR SPRAY SUNSCREEN</t>
  </si>
  <si>
    <t>HAWAIIAN TROPIC® DUO DEFENCE™ REFRESH SUNSCREEN MIST</t>
  </si>
  <si>
    <t>HAWAIIAN TROPIC® DUO DEFENCE™</t>
  </si>
  <si>
    <t>HAWAIIAN TROPIC® SILK HYDRATION® WEIGHTLESS™ SUNSCREEN</t>
  </si>
  <si>
    <t>HAWAIIAN TROPIC® SILK HYDRATION® WEIGHTLESS™ FACE SUNSCREEN</t>
  </si>
  <si>
    <t>HAWAIIAN TROPIC® SILK HYDRATION® WEIGHTLESS™ CLEAR SPRAY SUNSCREEN</t>
  </si>
  <si>
    <t>HAWAIIAN TROPIC® SHEER TOUCH ULTRA RADIANCE LOTION SUNSCREEN</t>
  </si>
  <si>
    <t>HAWAIIAN TROPIC® PROTECTIVE ARGAN DRY OIL SUNSCREEN SPRAY</t>
  </si>
  <si>
    <t>HAWAIIAN TROPIC® SUNSCREEN OIL PUMP SPRAY</t>
  </si>
  <si>
    <t>HAWAIIAN TROPIC® LOTION SUNSCREEN</t>
  </si>
  <si>
    <t>AVEENO® SENSITIVE SKIN SPF 50 SUNSCREEN</t>
  </si>
  <si>
    <t>AVEENO® SENSITIVE SKIN FACE SPF 50</t>
  </si>
  <si>
    <t>AVEENO® ACTIVE NATURALS PROTECT + HYDRATE® SPF 30</t>
  </si>
  <si>
    <t>AVEENO® ACTIVE NATURALS PROTECT + HYDRATE® SPF 45</t>
  </si>
  <si>
    <t>AVEENO® ACTIVE NATURALS PROTECT + HYDRATE® SPF 60</t>
  </si>
  <si>
    <t>AVEENO® BABY SENSITIVE SKIN SUNSCREEN SPF 50</t>
  </si>
  <si>
    <t>AVEENO® BABY SENSITIVE SKIN FACE SUNSCREEN STICK SPF 50</t>
  </si>
  <si>
    <t>BANANA BOAT® SPORT FOR KIDS SUNSCREEN STICK</t>
  </si>
  <si>
    <t>BANANA BOAT® SIMPLY PROTECT™ BABY SUNSCREEN LOTION</t>
  </si>
  <si>
    <t>BANANA BOAT® SIMPLY PROTECT™ KIDS SUNSCREEN LOTION SPRAY</t>
  </si>
  <si>
    <t>BANANA BOAT® SIMPLY PROTECT™ KIDS SUNSCREEN LOTION</t>
  </si>
  <si>
    <t>BANANA BOAT® KIDS SUNSCREEN LOTION</t>
  </si>
  <si>
    <t>BANANA BOAT® SPORT FOR KIDS LOTION SPRAY</t>
  </si>
  <si>
    <t>BANANA BOAT® KIDS TEAR FREE SUNSCREEN SPRAY</t>
  </si>
  <si>
    <t>BANANA BOAT® SPORT SUNSCREEN STICK</t>
  </si>
  <si>
    <t>BANANA BOAT® SIMPLY PROTECT™ SPORT SUNSCREEN LOTION</t>
  </si>
  <si>
    <t>BANANA BOAT® SIMPLY PROTECT™ SPORT SUNSCREEN SPRAY</t>
  </si>
  <si>
    <t>BANANA BOAT® SPORT PERFORMANCE® LOTION SUNSCREENS WITH POWERSTAY TECHNOLOGY®</t>
  </si>
  <si>
    <t>BANANA BOAT® SPORT PERFORMANCE® WITH POWERSTAY TECHNOLOGY® SUNSCREEN SPRAYS</t>
  </si>
  <si>
    <t>BANANA BOAT® SPORT PERFORMANCE® COOLZONE® SUNSCREENS</t>
  </si>
  <si>
    <t>BANANA BOAT® SIMPLY PROTECT SENSITIVE™ SUNSCREEN LOTION</t>
  </si>
  <si>
    <t>BANANA BOAT® SIMPLY PROTECT SENSITIVE™ FACE SUNSCREEN LOTION</t>
  </si>
  <si>
    <t>BANANA BOAT® DRY BALANCETM SUNSCREEN LOTIONS</t>
  </si>
  <si>
    <t>BANANA BOAT® DRY BALANCETM SUNSCREEN SPRAYS</t>
  </si>
  <si>
    <t>BANANA BOAT® SUNCOMFORT™ SUNSCREEN SPRAYS</t>
  </si>
  <si>
    <t>BANANA BOAT® ALOE VERA WITH VITAMIN E LIP BALM</t>
  </si>
  <si>
    <t>BANANA BOAT® SUNSCREEN OIL SPRAY</t>
  </si>
  <si>
    <t>Spray/Whip/Oil</t>
  </si>
  <si>
    <t>Garnier Ombrelle CompleteSensitive Advanced Body And Face Lotion Duo SPF 60</t>
  </si>
  <si>
    <t>Garnier Ombrelle FaceFace Stick SPF 50+</t>
  </si>
  <si>
    <t>Garnier Ombrelle CompleteContinuous Spray SPF 30</t>
  </si>
  <si>
    <t>Garnier Ombrelle KidsWet'N Protect Lotion SPF 60</t>
  </si>
  <si>
    <t>Garnier Ombrelle SportSpray SPF 30</t>
  </si>
  <si>
    <t>Garnier Ombrelle Sport Endurance SPF 30</t>
  </si>
  <si>
    <t>Garnier Ombrelle SportContinuous Spray SPF 45</t>
  </si>
  <si>
    <t>Garnier Ombrelle CompleteSensitive Advanced Body And Face Lotion SPF 60</t>
  </si>
  <si>
    <t>Garnier Ombrelle Kids Wet'N Protect Cream SPF 45</t>
  </si>
  <si>
    <t>Garnier Ombrelle KidsWet'N Protect Lotion SPF 30</t>
  </si>
  <si>
    <t>Garnier Ombrelle Face Antishine Cream SPF 60</t>
  </si>
  <si>
    <t>Would you like a tanning or low SPF product</t>
  </si>
  <si>
    <t>Would you like a medium SPF product</t>
  </si>
  <si>
    <t>Would you like a high SPF product</t>
  </si>
  <si>
    <t>Do you prefer a stick</t>
  </si>
  <si>
    <t>Do you prefer a spray</t>
  </si>
  <si>
    <t>Do you prefer a lotion or cream</t>
  </si>
  <si>
    <t>Are you sensitive to PABA, oxybenzone or avobenzone</t>
  </si>
  <si>
    <t>Do you have acne or prefer non-comedogenic product</t>
  </si>
  <si>
    <t>Do you need a product for your face or lips</t>
  </si>
  <si>
    <t>Do you need a product for your body</t>
  </si>
  <si>
    <t>Do you prefer a physical block or mineral sunscreen</t>
  </si>
  <si>
    <t>Do you prefer a waterpoof/resistant product</t>
  </si>
  <si>
    <t>Do you prefer a hypoallergenic product</t>
  </si>
  <si>
    <t>Do you prefer a fragrance-free product</t>
  </si>
  <si>
    <t>Do you prefer an oil-free product</t>
  </si>
  <si>
    <t>Water resistent/proof</t>
  </si>
  <si>
    <t>Kids</t>
  </si>
  <si>
    <t>Would you like broad spectrum sun protection</t>
  </si>
  <si>
    <t>AVEENO® CRACKED SKIN RELIEF CICA BALM</t>
  </si>
  <si>
    <t>AVEENO® CRACKED SKIN RELIEF CICA OINTMENT</t>
  </si>
  <si>
    <t>Would you prefer a lotion</t>
  </si>
  <si>
    <t>Would you prefer a gel</t>
  </si>
  <si>
    <t>Would you prefer a cream</t>
  </si>
  <si>
    <t>Would you prefer a solution</t>
  </si>
  <si>
    <t>Cream</t>
  </si>
  <si>
    <t>Solution</t>
  </si>
  <si>
    <t>Would you prefer salicylic acid</t>
  </si>
  <si>
    <t>Are you using retinoic acid or dapsone</t>
  </si>
  <si>
    <t>Would you prefer benzoyl peroxide</t>
  </si>
  <si>
    <t>Rubber</t>
  </si>
  <si>
    <t>Pramoxine</t>
  </si>
  <si>
    <t>Would you prefer a cleanser</t>
  </si>
  <si>
    <t>Spot Treatment</t>
  </si>
  <si>
    <t>Would you prefer a spot treatment</t>
  </si>
  <si>
    <t>Nizoral®</t>
  </si>
  <si>
    <t>Selenium Sulfide</t>
  </si>
  <si>
    <t>Selsun Blue Normal-Oily Hair</t>
  </si>
  <si>
    <t>Selsun Blue 2-In-One</t>
  </si>
  <si>
    <t>Selsun Blue ACTIV Hydration</t>
  </si>
  <si>
    <t>Selsun Blue Itch &amp; Dry Scalp</t>
  </si>
  <si>
    <t>Selsun Blue Itchy Dry Scalp Citrus Blast</t>
  </si>
  <si>
    <t>Selsun Blue Extra Strenght</t>
  </si>
  <si>
    <t>for dandruff, itching and flaking, contraindicated within 48hrs of hair dye and perm product application, rinse 5min for perms, dyes or bleached hair</t>
  </si>
  <si>
    <t>for itch and flakes</t>
  </si>
  <si>
    <t>for itchy scalp</t>
  </si>
  <si>
    <t>for seborrhea, tinea versicolor, dandruff, itching and flaking, contraindicated within 48hrs of hair dye and perm product application, rinse 5min for perms, dyes or bleached hair</t>
  </si>
  <si>
    <t>Tarsum Relief Shampoo</t>
  </si>
  <si>
    <t>psoriasis, seborrheic dermatitis, and severe dandruff.</t>
  </si>
  <si>
    <t>Urea</t>
  </si>
  <si>
    <t>TriDerma Psoriasis Control® Shampoo</t>
  </si>
  <si>
    <t>TriDerma Soothing Shampoo</t>
  </si>
  <si>
    <t>Oat Protein</t>
  </si>
  <si>
    <t>dry scaly scalp, flakes</t>
  </si>
  <si>
    <t>itching, flaking, irritation, scaling, redness</t>
  </si>
  <si>
    <t>DermaZinc® Shampoo</t>
  </si>
  <si>
    <t>Zinc Pyrithione</t>
  </si>
  <si>
    <t>anti-itching, anti-flaking, anti-fungal agents available for treating seborrheic dermatitis, dandruff</t>
  </si>
  <si>
    <t>Dr. Scholl’s® Dual Action Freeze Away® Wart Remover</t>
  </si>
  <si>
    <t>Dr. Scholl's® Clear Away® Wart Remover</t>
  </si>
  <si>
    <t>Dr. Scholl’s® Clear Away® Wart Remover Fast Acting Liquid</t>
  </si>
  <si>
    <t>Do you have diabetes, immunosuppression or poor/reduced circulation</t>
  </si>
  <si>
    <t xml:space="preserve">Are you sensitive/allergic to rubber or wool </t>
  </si>
  <si>
    <t>Would you prefer cryotherapy system</t>
  </si>
  <si>
    <t>Pad</t>
  </si>
  <si>
    <t>Liquid/Gel</t>
  </si>
  <si>
    <t>Would you prefer a topical liquid or gel</t>
  </si>
  <si>
    <t>Common Warts</t>
  </si>
  <si>
    <t>Plantar</t>
  </si>
  <si>
    <t>Would you prefer a topical pad, patch or strip</t>
  </si>
  <si>
    <t>Would you like to treat a common wart</t>
  </si>
  <si>
    <t>Would you like to treat a plantar wart</t>
  </si>
  <si>
    <t>Emtrix®</t>
  </si>
  <si>
    <t>Head&amp;Sholders DEEP MOISTURE ANTI-DANDRUFF SHAMPOO</t>
  </si>
  <si>
    <t>Head&amp;Sholders CLASSIC CLEAN ANTI-DANDRUFF SHAMPOO</t>
  </si>
  <si>
    <t>Head&amp;Sholders ITCHY SCALP CARE ANTI-DANDRUFF SHAMPOO</t>
  </si>
  <si>
    <t>Head&amp;Sholders CLINICAL STRENGTH ANTI-DANDRUFF SHAMPOO</t>
  </si>
  <si>
    <t>flakes, itch, dryness</t>
  </si>
  <si>
    <t>flakes, itch, dryness, seborrheic dermatitis</t>
  </si>
  <si>
    <t>itch and flaking, anti dandruf, anti seborrheic dermatitis</t>
  </si>
  <si>
    <t>flaky itchy , anti dandruf,seborrhetic dermatitis, psoriasis</t>
  </si>
  <si>
    <t>itch, flaky, dandruf, psoriasis,seborrhetic dermatitis</t>
  </si>
  <si>
    <t>itch, dandruf, seborrhetic dermatitis, psoriasis</t>
  </si>
  <si>
    <t>dandruf, seborrhetic dermatitis, psoriasis</t>
  </si>
  <si>
    <t>coal tar can stain light coloured hair</t>
  </si>
  <si>
    <t>dandruf</t>
  </si>
  <si>
    <t>Do you have flaky scalp</t>
  </si>
  <si>
    <t>Do you have scalp scales</t>
  </si>
  <si>
    <t>Would you prefer a selenium product</t>
  </si>
  <si>
    <t>Do you have scalp redness, inflammation</t>
  </si>
  <si>
    <t>Would you prefer a zinc pyrithione product</t>
  </si>
  <si>
    <t>Would you prefer a salicylic acid product</t>
  </si>
  <si>
    <t>Would you prefer a coal tar product</t>
  </si>
  <si>
    <t>Would you prefer a ketoconazole product</t>
  </si>
  <si>
    <t>Do you have dry or itchy scalp</t>
  </si>
  <si>
    <t>Have you used bleach, tint or perm product within 2 days</t>
  </si>
  <si>
    <t>Do you have light, bleached, tinted or permed hair</t>
  </si>
  <si>
    <t>Do you have severe dandruff or seborrhea</t>
  </si>
  <si>
    <t>Do you have a fungal skin infection</t>
  </si>
  <si>
    <t>Do you have a fungal nail infection</t>
  </si>
  <si>
    <t>Are you diabetic or immunocompromised</t>
  </si>
  <si>
    <t>Fungi Nail® Pen</t>
  </si>
  <si>
    <t>Fungi Nail® Liquid</t>
  </si>
  <si>
    <t>Fungi Nail® Ointment</t>
  </si>
  <si>
    <t>Bactine® Max Pain Relieving Cleansing Spray</t>
  </si>
  <si>
    <t>Do you prefer a spray or powder</t>
  </si>
  <si>
    <t>Do you prefer an azole antifungal</t>
  </si>
  <si>
    <t>Cream/Ointment</t>
  </si>
  <si>
    <t>Spray/Powder</t>
  </si>
  <si>
    <t>Azole</t>
  </si>
  <si>
    <t>Would you like pain relief</t>
  </si>
  <si>
    <t>Undecylenic/lactic acid</t>
  </si>
  <si>
    <t>Are you trying to prevent a bacterial skin infection</t>
  </si>
  <si>
    <t xml:space="preserve">Do you prefer a cream, lotion or ointment </t>
  </si>
  <si>
    <t>Do you prefer a tolnaftate or acid antifungal</t>
  </si>
  <si>
    <t>Are you sensitive or allergic to anesthetics</t>
  </si>
  <si>
    <t>Occlusive</t>
  </si>
  <si>
    <t>Humectant</t>
  </si>
  <si>
    <t>Emollient</t>
  </si>
  <si>
    <t>Bath Oil</t>
  </si>
  <si>
    <t>Colloidal Oat</t>
  </si>
  <si>
    <t>Balm</t>
  </si>
  <si>
    <t>Hypoallergic</t>
  </si>
  <si>
    <t>Goldbond ECZEMA RELIEF SKIN PROTECTANT CREAM</t>
  </si>
  <si>
    <t>Goldbond ECZEMA RELIEF SKIN PROTECTANT LOTION</t>
  </si>
  <si>
    <t>Goldbond MOISTURIZING SKIN THERAPY LOTION</t>
  </si>
  <si>
    <t>Goldbond MOISTURIZING SKIN THERAPY CREAM</t>
  </si>
  <si>
    <t>NEUTROGENA® Hydro Boost Body Gel Cream</t>
  </si>
  <si>
    <t>NEUTROGENA® Hydro Boost Body Gel Cream, Fragrance-Free</t>
  </si>
  <si>
    <t>Non-comedogenic</t>
  </si>
  <si>
    <t>NEUTROGENA® Hydro Boost Gel Cream Eye</t>
  </si>
  <si>
    <t>NEUTROGENA NATURALS® Multi-Vitamin Nourishing Night Cream</t>
  </si>
  <si>
    <t>NEUTROGENA® Deep Moisture Night Cream</t>
  </si>
  <si>
    <t>NEUTROGENA® Hydro Boost Gel Cream Extra-Dry Skin</t>
  </si>
  <si>
    <t>NEUTROGENA® Hydro Boost Gel Cream</t>
  </si>
  <si>
    <t>AVEENO® STRESS RELIEF MOISTURIZING LOTION</t>
  </si>
  <si>
    <t>AVEENO® SKIN RELIEF MOISTURIZING LOTION</t>
  </si>
  <si>
    <t>AVEENO® INTENSE RELIEF MOISTURE REPAIR CREAM FOR EXTRA DRY SKIN</t>
  </si>
  <si>
    <t>AVEENO® ANTI-ITCH LOTION</t>
  </si>
  <si>
    <t>AVEENO® DAILY MOISTURIZING BODY YOGURT APRICOT &amp; HONEY LOTION</t>
  </si>
  <si>
    <t>AVEENO® DAILY MOISTURIZING BODY YOGURT VANILLA &amp; OATS LOTION</t>
  </si>
  <si>
    <t>AVEENO® DAILY MOISTURIZING LOTION</t>
  </si>
  <si>
    <t>AVEENO® DAILY MOISTURIZING LOTION SHEER HYDRATION</t>
  </si>
  <si>
    <t>AVEENO® ECZEMA CARE HAND CREAM</t>
  </si>
  <si>
    <t>AVEENO® ECZEMA CARE ITCH RELIEF BALM</t>
  </si>
  <si>
    <t>AVEENO® POSITIVELY RADIANT® BODY LOTION</t>
  </si>
  <si>
    <t>AVEENO® SKIN RELIEF MOISTURIZING LOTION DIABETICS' DRY SKIN</t>
  </si>
  <si>
    <t>AVEENO® SKIN RELIEF GENTLE SCENT® MOISTURIZING LOTION COCONUT</t>
  </si>
  <si>
    <t>AVEENO® SKIN RELIEF GENTLE SCENT® MOISTURIZING LOTION CHAMOMILE</t>
  </si>
  <si>
    <t>AVEENO® SKIN RELIEF HAND CREAM</t>
  </si>
  <si>
    <t>AVEENO® INTENSE RELIEF OVERNIGHT CREAM</t>
  </si>
  <si>
    <t>AVEENO® POSITIVELY RADIANT® INTENSIVE NIGHT CREAM</t>
  </si>
  <si>
    <t>AVEENO® Intense Relief Hand Cream</t>
  </si>
  <si>
    <t>AVEENO® Skin Relief Moisturizing Cream</t>
  </si>
  <si>
    <t>AVEENO® Daily Moisturizing Hand Cream</t>
  </si>
  <si>
    <t>AVEENO® Skin Relief Moisturizing Lotion Cooling Menthol</t>
  </si>
  <si>
    <t>AVEENO® Eczema Care Moisturizing Cream</t>
  </si>
  <si>
    <t>UREMOL® 10% Cream</t>
  </si>
  <si>
    <t>UREMOL® 10% Lotion</t>
  </si>
  <si>
    <t>UREMOL® 20% Cream</t>
  </si>
  <si>
    <t>CeraVe Moisturizing Cream</t>
  </si>
  <si>
    <t xml:space="preserve">CeraVe Moisturizing Lotion </t>
  </si>
  <si>
    <t>CeraVe PM Facial Moisturizing Lotion</t>
  </si>
  <si>
    <t>Cetaphil Moisturizing Lotion</t>
  </si>
  <si>
    <t>Cetaphil DailyAdvance Lotion</t>
  </si>
  <si>
    <t>Cetaphil Moisturizing Cream</t>
  </si>
  <si>
    <t>Cetaphil Barrier Cream</t>
  </si>
  <si>
    <t>Cetaphil Daily Hydrating Lotion</t>
  </si>
  <si>
    <t>Cetaphil Hydrating Night Cream</t>
  </si>
  <si>
    <t>Cetaphil PRO RESTORADERM Eczema Soothing Moisturizer</t>
  </si>
  <si>
    <t>Glaxal* Base Moisturizing Cream</t>
  </si>
  <si>
    <t>Glaxal* Base Moisturizing Lotion VitE</t>
  </si>
  <si>
    <t>Vaseline® Petroleum Jelly Original</t>
  </si>
  <si>
    <t>Vaseline® Petroleum Jelly Cocoa Butter</t>
  </si>
  <si>
    <t>Vaseline® Intensive Care® Dry Skin Repair Lotion</t>
  </si>
  <si>
    <t>Vaseline® Intensive Care® Cocoa Radiant Lotion</t>
  </si>
  <si>
    <t>Vaseline® Intensive Care® Cocoa Radiant Body Butter</t>
  </si>
  <si>
    <t>Vaseline® Intensive Care® Aloe Vera Lotion</t>
  </si>
  <si>
    <t>Paraben</t>
  </si>
  <si>
    <t>Vaseline Clinical Care™ Extremely Dry Skin Rescue Lotion</t>
  </si>
  <si>
    <t>Vaseline Clinical Care™ Extremely Dry Skin Rescue Overnight Cream</t>
  </si>
  <si>
    <t>Glysomed Body Lotion</t>
  </si>
  <si>
    <t>Glysomed Eczema Control</t>
  </si>
  <si>
    <t>Glysomed Foot Balm</t>
  </si>
  <si>
    <t>Glysomed Hand Cream</t>
  </si>
  <si>
    <t>Glysomed Fragrance-Free Hand Cream</t>
  </si>
  <si>
    <t>Glysomed Extreme Repair</t>
  </si>
  <si>
    <t>Do you have itchy skin</t>
  </si>
  <si>
    <t>Do you have mild dry skin</t>
  </si>
  <si>
    <t>Do you have severe dry skin</t>
  </si>
  <si>
    <t>Do you have sensitive skin</t>
  </si>
  <si>
    <t>Are you allergic or sensitive to fragrances</t>
  </si>
  <si>
    <t>Are you allergic or sensitive to lanolin</t>
  </si>
  <si>
    <t>Are you allergic or sensitive to parabens</t>
  </si>
  <si>
    <t>Do you need an emollient</t>
  </si>
  <si>
    <t>Do you need a humectant</t>
  </si>
  <si>
    <t>Do you need an occlusive</t>
  </si>
  <si>
    <t>Do you need a bath oil</t>
  </si>
  <si>
    <t>Do you have acne or acne-prone skin</t>
  </si>
  <si>
    <t xml:space="preserve"> </t>
  </si>
  <si>
    <t>Fragrancy-Free</t>
  </si>
  <si>
    <t>Would you prefer an ointment/balm</t>
  </si>
  <si>
    <t>Would you like a colloidal oat product</t>
  </si>
  <si>
    <t>Column7</t>
  </si>
  <si>
    <t>Digital Indicator</t>
  </si>
  <si>
    <t>Clearblue Pregnancy Test with Weeks Indicator</t>
  </si>
  <si>
    <t>Gestation Indicator</t>
  </si>
  <si>
    <t>Pregnancy</t>
  </si>
  <si>
    <t>Ovulation</t>
  </si>
  <si>
    <t>5 days early</t>
  </si>
  <si>
    <t>Clearblue Ultra Early Pregnancy Test</t>
  </si>
  <si>
    <t>6 days early</t>
  </si>
  <si>
    <t>3min</t>
  </si>
  <si>
    <t>Clearblue Rapid Detection Pregnancy Test</t>
  </si>
  <si>
    <t>1min</t>
  </si>
  <si>
    <t>day 0</t>
  </si>
  <si>
    <t>Clearblue Pregancy Test Combo Pack</t>
  </si>
  <si>
    <t>Fastest</t>
  </si>
  <si>
    <t>Clearblue Advanced Digital Ovulation Test</t>
  </si>
  <si>
    <t>LH</t>
  </si>
  <si>
    <t>hCG</t>
  </si>
  <si>
    <t>2 fertile days</t>
  </si>
  <si>
    <t>4 fertile days</t>
  </si>
  <si>
    <t>Clearblue Digital Ovulation Test</t>
  </si>
  <si>
    <t>First Response</t>
  </si>
  <si>
    <t>FIRST RESPONSE™ Early Result Pregnancy Test</t>
  </si>
  <si>
    <t>FIRST RESPONSE™ Triple Check Pregnancy Test Kit</t>
  </si>
  <si>
    <t>combo</t>
  </si>
  <si>
    <t>FIRST RESPONSE™ Rapid Result Pregnancy Test</t>
  </si>
  <si>
    <t>FIRST RESPONSE™ Test And Confirm Pregnancy Test</t>
  </si>
  <si>
    <t>FIRST RESPONSE™ Digital Pregnancy Test</t>
  </si>
  <si>
    <t>FIRST RESPONSE™ Ovulation Plus Pregnancy Test</t>
  </si>
  <si>
    <t>Pregmate Pregnancy Test Strips</t>
  </si>
  <si>
    <t>5days</t>
  </si>
  <si>
    <t>5min</t>
  </si>
  <si>
    <t>Pregmate Pregnancy Midstream Tests</t>
  </si>
  <si>
    <t>Line Indicator</t>
  </si>
  <si>
    <t>Would you like to test for pregnancy</t>
  </si>
  <si>
    <t>Would you like to test for fertility</t>
  </si>
  <si>
    <t>Would you prefer a digital display</t>
  </si>
  <si>
    <t>Would you prefer a "line" display</t>
  </si>
  <si>
    <t>Would you like to test for pregnancy before a missed period</t>
  </si>
  <si>
    <t>Would you like to determine 2 most fertile days</t>
  </si>
  <si>
    <t>Would you like to determine 4 most fertile days</t>
  </si>
  <si>
    <t>Would you like the fastest result</t>
  </si>
  <si>
    <t>Would you like an indication of conception date</t>
  </si>
  <si>
    <t>Are you taking hCG containing fertility drugs, corticosteroids or hormones</t>
  </si>
  <si>
    <t>Are you taking hormones or fertility medications</t>
  </si>
  <si>
    <t>Would you like a pregnancy test combo</t>
  </si>
  <si>
    <t>Would you like an ovulation/pregnancy test combo</t>
  </si>
  <si>
    <t>FIRST RESPONSE™ Advanced Digital Ovulation Test</t>
  </si>
  <si>
    <t>FIRST RESPONSE™ Easy Read Ovulation Test</t>
  </si>
  <si>
    <t>Do you prefer a topical product</t>
  </si>
  <si>
    <t>Are you in mild/moderate pain</t>
  </si>
  <si>
    <t>Do you have kidney disease, gall stones, dehydration or salt restrictions</t>
  </si>
  <si>
    <t>Pre missed period</t>
  </si>
  <si>
    <t>Light Smoker</t>
  </si>
  <si>
    <t>Heavy Smoker</t>
  </si>
  <si>
    <t>Patch</t>
  </si>
  <si>
    <t>Inhaler</t>
  </si>
  <si>
    <t>Lozenge</t>
  </si>
  <si>
    <t>Gum</t>
  </si>
  <si>
    <t>Mist</t>
  </si>
  <si>
    <t>NICORETTE® Inhaler</t>
  </si>
  <si>
    <t>NICODERM® STEP 1 - 21MG PATCH</t>
  </si>
  <si>
    <t>NICODERM® Step 2- 14mg Patch</t>
  </si>
  <si>
    <t>NICODERM® Step 3- 7mg Patch</t>
  </si>
  <si>
    <t>Habitrol Nicotine Transdermal System Stop Smoking Aid, Step 1 (21 mg)</t>
  </si>
  <si>
    <t>Habitrol Nicotine Transdermal System Stop Smoking Aid, Step 2 (14 mg)</t>
  </si>
  <si>
    <t>Habitrol Nicotine Transdermal System Stop Smoking Aid, Step 3 (7 mg)</t>
  </si>
  <si>
    <t>Column10</t>
  </si>
  <si>
    <t>Battery</t>
  </si>
  <si>
    <t>Plug-In</t>
  </si>
  <si>
    <t>NICORETTE® Gum 2mg</t>
  </si>
  <si>
    <t>NICORETTE® Gum 4mg</t>
  </si>
  <si>
    <t>NICORETTE® Lozenge 2mg</t>
  </si>
  <si>
    <t>NICORETTE® Lozenge 4mg</t>
  </si>
  <si>
    <t>Thrive® gum 4mg</t>
  </si>
  <si>
    <t>Thrive® gum 2mg</t>
  </si>
  <si>
    <t>Thrive® lozenges 1mg</t>
  </si>
  <si>
    <t>Thrive® lozenges 2mg</t>
  </si>
  <si>
    <t>Thrive® Complete™ Gum 2mg</t>
  </si>
  <si>
    <t>Thrive® Complete™ Gum 4mg</t>
  </si>
  <si>
    <t>Mint</t>
  </si>
  <si>
    <t>Flavor</t>
  </si>
  <si>
    <t>NICORETTE® QuickMist® 1mg</t>
  </si>
  <si>
    <t>Do you have heart disease</t>
  </si>
  <si>
    <t>Are you pregnant or nursing</t>
  </si>
  <si>
    <t>Do you have chronic upset stomach or ulcers</t>
  </si>
  <si>
    <t>Would you like a spray product</t>
  </si>
  <si>
    <t>Would you like a chewing gum product</t>
  </si>
  <si>
    <t>Would you like a lozenge product</t>
  </si>
  <si>
    <t>Would you like a patch product</t>
  </si>
  <si>
    <t>Would you like an inhaler product</t>
  </si>
  <si>
    <t>Are you a regular light smoker</t>
  </si>
  <si>
    <t>Are you a regular heavy smoker</t>
  </si>
  <si>
    <t>Would you prefer a mint flavoured product</t>
  </si>
  <si>
    <t>Would you prefer other flavour options</t>
  </si>
  <si>
    <t xml:space="preserve">LifeSource Premium Blood Pressure Monitor </t>
  </si>
  <si>
    <t>Single User</t>
  </si>
  <si>
    <t>Multi-User</t>
  </si>
  <si>
    <t>Irregular Beat indicator</t>
  </si>
  <si>
    <t>Wide Cuff</t>
  </si>
  <si>
    <t>Size Cuff</t>
  </si>
  <si>
    <t xml:space="preserve">LifeSource Blood Pressure Monitor with Large Cuff </t>
  </si>
  <si>
    <t>LifeSource Blood Pressure Monitor</t>
  </si>
  <si>
    <t>Wireless</t>
  </si>
  <si>
    <t>LifeSourece Premium Wireless Blood Pressure Monitor</t>
  </si>
  <si>
    <t>Verbal Assist</t>
  </si>
  <si>
    <t>LifeSource Premium Blood Pressure Monitor with Verbal Assistance</t>
  </si>
  <si>
    <t>LifeSource Premium Blood Pressure Monitor with Pre-Formed Cuff</t>
  </si>
  <si>
    <t>Reading Reminder</t>
  </si>
  <si>
    <t>LifeSource Premium Blood Pressure Monitor with Extra Large Cuff</t>
  </si>
  <si>
    <t>LifeSource Ultraconnect Premium Wireless Blood Pressure Monitor</t>
  </si>
  <si>
    <t>LifeSource Blood Pressure Monitor with Small Cuff</t>
  </si>
  <si>
    <t>Omron Bronze Upper Arm Blood Pressure Monitor</t>
  </si>
  <si>
    <t>One Touch Button</t>
  </si>
  <si>
    <t>Omron 3 Series Upper Arm Blood Pressure Monitor</t>
  </si>
  <si>
    <t>Omron Silver Wireless Upper Arm Blood Pressure Monitor</t>
  </si>
  <si>
    <t>Omron 5 Series Wireless Upper Arm Blood Pressure Monitor</t>
  </si>
  <si>
    <t>Omron Gold Wireless Upper Arm Blood Pressure Monitor</t>
  </si>
  <si>
    <t>Omron Platinum Wireless Upper Arm Blood Pressure Monitor</t>
  </si>
  <si>
    <t>Omron 7 Series Wireless Upper Arm Blood Pressure Monitor</t>
  </si>
  <si>
    <t>Omron 10 Series Wireless Upper Arm Blood Pressure Monitor</t>
  </si>
  <si>
    <t xml:space="preserve">Panasonic Portable Blood Pressure Monitor </t>
  </si>
  <si>
    <t>Would you like a battery operated device</t>
  </si>
  <si>
    <t>Would you like batteries included</t>
  </si>
  <si>
    <t>Would you like a wireless device (links to phone/tablet)</t>
  </si>
  <si>
    <t xml:space="preserve">Would you like log data for single user </t>
  </si>
  <si>
    <t>Would you like to log data for multiple separate users</t>
  </si>
  <si>
    <t>Would you like a wide size range cuff</t>
  </si>
  <si>
    <t>Would you like a sized cuff</t>
  </si>
  <si>
    <t>Would you like a motion and fit sensor</t>
  </si>
  <si>
    <t>Would you like an irregular heart rate sensor</t>
  </si>
  <si>
    <t>Would you like an AC adapter included</t>
  </si>
  <si>
    <t>Would you like one-touch operation</t>
  </si>
  <si>
    <t xml:space="preserve">Would you like a device with verbal assistance </t>
  </si>
  <si>
    <t>Would you like a device with measurement reminders</t>
  </si>
  <si>
    <t>Nix Ultra® Shampoo</t>
  </si>
  <si>
    <t>wet hair</t>
  </si>
  <si>
    <t>dry hair</t>
  </si>
  <si>
    <t>Pesticide</t>
  </si>
  <si>
    <t>Pesticide-free</t>
  </si>
  <si>
    <t>Resultz®</t>
  </si>
  <si>
    <t>Resistance-Free</t>
  </si>
  <si>
    <t>NYDA ®</t>
  </si>
  <si>
    <t>10min</t>
  </si>
  <si>
    <t>Overnight</t>
  </si>
  <si>
    <t>R&amp;C® 2in1 Shampoo + Conditioner</t>
  </si>
  <si>
    <t>Nix® Crème Rinse</t>
  </si>
  <si>
    <t>Product Options</t>
  </si>
  <si>
    <t>Are you sensitive/allergic to ragweed or chrysanthemum</t>
  </si>
  <si>
    <t>Would you like a product with pediculicide activity</t>
  </si>
  <si>
    <t>Would you like a pesticide-free product</t>
  </si>
  <si>
    <t>Would you like a pesticide containing product</t>
  </si>
  <si>
    <t>Would you prefer a product with 10min application</t>
  </si>
  <si>
    <t>Would you prefer a product with overnight application</t>
  </si>
  <si>
    <t>Would you prefer to apply to damp hair</t>
  </si>
  <si>
    <t>Would you prefer to apply to dry hair</t>
  </si>
  <si>
    <t>Lice</t>
  </si>
  <si>
    <t>No Conditioner</t>
  </si>
  <si>
    <t>Can you avoid use of a hair conditioner</t>
  </si>
  <si>
    <t>Do you have a sensitivity/allergy to mineral oil</t>
  </si>
  <si>
    <t>Is there significant pesticide resistance in your area</t>
  </si>
  <si>
    <t>premethyrin</t>
  </si>
  <si>
    <t>mineral oil</t>
  </si>
  <si>
    <t>premethyin + metabolism block</t>
  </si>
  <si>
    <t>isop myristate</t>
  </si>
  <si>
    <t>dimethicone</t>
  </si>
  <si>
    <t>Are you using product on adult or child ≥ 2 yrs old</t>
  </si>
  <si>
    <t>Would you like a product for baby or kids</t>
  </si>
  <si>
    <t>Are you sensitive to preservatives</t>
  </si>
  <si>
    <t>Do you have a lipid layer deficiency of the eye</t>
  </si>
  <si>
    <t>Contour Next</t>
  </si>
  <si>
    <t>Accurate</t>
  </si>
  <si>
    <t>2nd Chance</t>
  </si>
  <si>
    <t>Large Display</t>
  </si>
  <si>
    <t>Simple/Automated</t>
  </si>
  <si>
    <t>Contour Next One</t>
  </si>
  <si>
    <t>Smart Phone</t>
  </si>
  <si>
    <t>Contour Next Link</t>
  </si>
  <si>
    <t>Pump Compatible</t>
  </si>
  <si>
    <t>Contour Next EZ</t>
  </si>
  <si>
    <t>EZ Health Oracle</t>
  </si>
  <si>
    <t>Talking</t>
  </si>
  <si>
    <t>Light Display</t>
  </si>
  <si>
    <t>Ketone</t>
  </si>
  <si>
    <t>BG Star</t>
  </si>
  <si>
    <t>Accu-Chek Guide</t>
  </si>
  <si>
    <t>Accu-Chek Aviva</t>
  </si>
  <si>
    <t>Accu-Chek Aviva Connect</t>
  </si>
  <si>
    <t>Accu-Chek Aviva Nano</t>
  </si>
  <si>
    <t>OneTouch Verio Reflect™</t>
  </si>
  <si>
    <t>OneTouch Verio Flex®</t>
  </si>
  <si>
    <t>OneTouch Verio®</t>
  </si>
  <si>
    <t>OneTouch Verio® IQ</t>
  </si>
  <si>
    <t>OneTouch UltraMini®</t>
  </si>
  <si>
    <t>OneTouch Ultra®2</t>
  </si>
  <si>
    <t>FreeStyle Libre</t>
  </si>
  <si>
    <t>FreeStyle Precision Neo</t>
  </si>
  <si>
    <t>FreeStyle Lite</t>
  </si>
  <si>
    <t>Dexcom G6 CGM</t>
  </si>
  <si>
    <t>Sensor</t>
  </si>
  <si>
    <t>Color</t>
  </si>
  <si>
    <t>FreeStyle Insulix</t>
  </si>
  <si>
    <t>Dose Calulator</t>
  </si>
  <si>
    <t>Anusol Plus Ointment</t>
  </si>
  <si>
    <t>Anusol Multi-Symptom Ointment</t>
  </si>
  <si>
    <t>Anusol Cleansing Wipes</t>
  </si>
  <si>
    <t>Anusol Plus Suppository</t>
  </si>
  <si>
    <t>Anusol Multi-Symptom Suppository</t>
  </si>
  <si>
    <t>PreparationH Soothing Relief Cleansing &amp; Cooling Wipes</t>
  </si>
  <si>
    <t>PreparationH Soothing Relief Anti-Itch Cream</t>
  </si>
  <si>
    <t>PreparationH Rapid Relief with Lidocaine Cream</t>
  </si>
  <si>
    <t>PreparartionH Rapid Relief Totables Wipes</t>
  </si>
  <si>
    <t>PreparationH Ointment</t>
  </si>
  <si>
    <t>PreparationH Multi-Symptom Pain Relief Cream</t>
  </si>
  <si>
    <t>PreparationH Cooling Gel</t>
  </si>
  <si>
    <t>PreparationH Anti-Itch Cream</t>
  </si>
  <si>
    <t>PreparationH Suppositories</t>
  </si>
  <si>
    <t>PreparationH Totables</t>
  </si>
  <si>
    <t>PreparationH Medicated Wipes</t>
  </si>
  <si>
    <t>PreparationH Medicated Wipes for Women</t>
  </si>
  <si>
    <t>Vasoconstrictor</t>
  </si>
  <si>
    <t>Hemovel</t>
  </si>
  <si>
    <t>Venixxa</t>
  </si>
  <si>
    <t>7 days</t>
  </si>
  <si>
    <t xml:space="preserve">7 days </t>
  </si>
  <si>
    <t>less tablets</t>
  </si>
  <si>
    <t>TUCKS® Medicated Cooling Pads</t>
  </si>
  <si>
    <t>Would you like an easy to use meter</t>
  </si>
  <si>
    <t>Do you have issues drawing sufficient blood</t>
  </si>
  <si>
    <t>Would you like a large display</t>
  </si>
  <si>
    <t>Would you like a talking device</t>
  </si>
  <si>
    <t>Would you like to measure ketones</t>
  </si>
  <si>
    <t>Would you like assistance with insulin dosing</t>
  </si>
  <si>
    <t>Are you experiencing itch</t>
  </si>
  <si>
    <t>Are you experiencing inflammation</t>
  </si>
  <si>
    <t>Are you experiencing pain</t>
  </si>
  <si>
    <t>Do you prefer an ointment</t>
  </si>
  <si>
    <t>Do you prefer a suppository</t>
  </si>
  <si>
    <t>Would you prefer a wipes</t>
  </si>
  <si>
    <t>Would you prefer an oral product</t>
  </si>
  <si>
    <t>Are you allergic/sensitive to wool</t>
  </si>
  <si>
    <t>lactic acid</t>
  </si>
  <si>
    <t>Prevegyne</t>
  </si>
  <si>
    <t>ascorbic acid vaginal suppository</t>
  </si>
  <si>
    <t>Cystoplus®</t>
  </si>
  <si>
    <t>Base</t>
  </si>
  <si>
    <t>uti pain drink</t>
  </si>
  <si>
    <t>Do you have cystitis (bladder inflammation)</t>
  </si>
  <si>
    <t>Would you like an astringent</t>
  </si>
  <si>
    <t>Would you like an anesthetic</t>
  </si>
  <si>
    <t>Would you like a steroid</t>
  </si>
  <si>
    <t>Would you like a vasoconstrictor</t>
  </si>
  <si>
    <t>Supp</t>
  </si>
  <si>
    <t>Wipe</t>
  </si>
  <si>
    <t>Do you prefer a cream/gel</t>
  </si>
  <si>
    <t>Would you like a protectant/lubricant</t>
  </si>
  <si>
    <t>Mineral</t>
  </si>
  <si>
    <t>Would you like a meter with quasi lab level accuracy</t>
  </si>
  <si>
    <t>Would you like a meter with color coded readings</t>
  </si>
  <si>
    <t>Are you computer savvy</t>
  </si>
  <si>
    <t>Would you like a backlighted meter</t>
  </si>
  <si>
    <t>Would you prefer an implanted sensor instead of strips</t>
  </si>
  <si>
    <t>Would you like a meter designed around insulin pump</t>
  </si>
  <si>
    <t>BIOTÈNE DRY MOUTHMOISTURIZING MOUTHWASH</t>
  </si>
  <si>
    <t>BIOTÈNE DRY MOUTHMOISTURIZING SPRAY</t>
  </si>
  <si>
    <t>BIOTÈNE DRY MOUTH ORALBALANCE MOISTURIZING GEL</t>
  </si>
  <si>
    <t>Mouth Kote Dry Mouth Spray</t>
  </si>
  <si>
    <t>MOI-STIR Spray</t>
  </si>
  <si>
    <t>XyliMelts</t>
  </si>
  <si>
    <t>X-PUR Pastille</t>
  </si>
  <si>
    <t>X-PUR Gum</t>
  </si>
  <si>
    <t>Xylitol</t>
  </si>
  <si>
    <t>Parabens</t>
  </si>
  <si>
    <t>Yerba Santa</t>
  </si>
  <si>
    <t>Saliva Substitute</t>
  </si>
  <si>
    <t>Biotène® DRY MOUTH lozenges</t>
  </si>
  <si>
    <t>DENTEK™ ORAMOIST® DRY MOUTH RELIEF PATCH</t>
  </si>
  <si>
    <t>Do you prefer a product for "as needed use"</t>
  </si>
  <si>
    <t>Would you like a saliva stimulator</t>
  </si>
  <si>
    <t>Do you prefer a mouth wash</t>
  </si>
  <si>
    <t>Do you prefer a gel</t>
  </si>
  <si>
    <t>Do you prefer lozenges or gum</t>
  </si>
  <si>
    <t>Do you prefer an oral patch</t>
  </si>
  <si>
    <t>Would you like an mucous thinner</t>
  </si>
  <si>
    <t>Are you sensitive/allergic to parabens</t>
  </si>
  <si>
    <t>Do you prefer a long-acting or overnight product</t>
  </si>
  <si>
    <t>Would you like a saliva substitute</t>
  </si>
  <si>
    <t>Question Set</t>
  </si>
  <si>
    <t>Would you like large bandages</t>
  </si>
  <si>
    <t>Would you like small bandages</t>
  </si>
  <si>
    <t>BAND-AID® HYDRO SEAL™ ADVANCED HEALING BLISTER HEEL Bandages, 6 Count</t>
  </si>
  <si>
    <t>BAND-AID® HYDRO SEAL™ ADVANCED HEALING LARGE Bandages, 6 Count</t>
  </si>
  <si>
    <t>BAND-AID® HYDRO SEAL™ ADVANCED HEALING EXTRA LARGE Bandages, 3 Count</t>
  </si>
  <si>
    <t>BAND-AID® Brand Blister Cushions for Fingers &amp; Toes, 8 Count</t>
  </si>
  <si>
    <t>BAND-AID® HYDRO SEAL Advanced Healing Finger Bandages, 10 Count</t>
  </si>
  <si>
    <t>Waterproof</t>
  </si>
  <si>
    <t>Multi-Day</t>
  </si>
  <si>
    <t>Specific</t>
  </si>
  <si>
    <t>Single-Day</t>
  </si>
  <si>
    <t>General</t>
  </si>
  <si>
    <t>Assorted</t>
  </si>
  <si>
    <t>Small</t>
  </si>
  <si>
    <t>Medium</t>
  </si>
  <si>
    <t>Large</t>
  </si>
  <si>
    <t>X-Large</t>
  </si>
  <si>
    <t>Hydrocolloid</t>
  </si>
  <si>
    <t>BAND-AID® SKIN-FLEX® Bandages Extra Large, All One Size, 7 Count</t>
  </si>
  <si>
    <t>BAND-AID® SKIN-FLEX® Bandages Value Pack, Assorted Sizes, 60 Count</t>
  </si>
  <si>
    <t>BAND-AID® SKIN-FLEX® Bandages, All One Size, 25 Count</t>
  </si>
  <si>
    <t>BAND-AID® SKIN-FLEX Bandages, Assorted Sizes, 20 Count</t>
  </si>
  <si>
    <t>Water-resistant</t>
  </si>
  <si>
    <t>BAND-AID® TOUGH-STRIPS® Bandages Value Pack, All One Size, 60 Count</t>
  </si>
  <si>
    <t>BAND-AID® TOUGH-STRIPS® Bandages, All One Size, 20 Count</t>
  </si>
  <si>
    <t>BAND-AID® TOUGH-STRIPS® FINGER-CARE Bandages, Assorted Sizes, 15 Count</t>
  </si>
  <si>
    <t>BAND-AID® TOUGH-STRIPS® EXTRA LARGE Bandages, All One Size, 10 Count</t>
  </si>
  <si>
    <t>Flexible</t>
  </si>
  <si>
    <t>Tough</t>
  </si>
  <si>
    <t>BAND-AID® WATER BLOCK® TOUGH-STRIPS® Bandages, All One Size, 20 Count</t>
  </si>
  <si>
    <t>BAND-AID® WATER BLOCK® TOUGH-STRIPS® EXTRA LARGE Bandages, All One Size, 10 Count</t>
  </si>
  <si>
    <t>BAND-AID® WET-FLEX® Bandages, Assorted Sizes, 60 Count</t>
  </si>
  <si>
    <t>BAND-AID® WATER BLOCK® CLEAR Bandages, Assorted Sizes, 30 Count</t>
  </si>
  <si>
    <t>BAND-AID® WATER BLOCK® KNUCKLE &amp; FINGERTIP Bandages, Assorted Sizes, 20 Count</t>
  </si>
  <si>
    <t>BAND-AID® WATER BLOCK® LARGE Bandages, All One Size, 10 Count</t>
  </si>
  <si>
    <t>BAND-AID® WATER BLOCK™ TAPE, 0.5 in x 10 yds</t>
  </si>
  <si>
    <t>Plaster</t>
  </si>
  <si>
    <t>Tape</t>
  </si>
  <si>
    <t>Non-Stick Pad</t>
  </si>
  <si>
    <t>BAND-AID® with POLYSPORIN® INFECTION DEFENSE™ Bandages, Assorted Sizes, 20 Count</t>
  </si>
  <si>
    <t>AntiBiotic</t>
  </si>
  <si>
    <t>BAND-AID® FLEXIBLE FABRIC Bandages Value Pack, Assorted Sizes, 80 Count</t>
  </si>
  <si>
    <t>BAND-AID® FLEXIBLE FABRIC Bandages Family Pack, Assorted Sizes, 50 Count</t>
  </si>
  <si>
    <t>BAND-AID® FLEXIBLE FABRIC KNUCKLE &amp; FINGERTIP Bandages, Assorted Sizes, 20 Count</t>
  </si>
  <si>
    <t>BAND-AID® FLEXIBLE FABRIC EXTRA LARGE Bandages, All One Size, 10 Count</t>
  </si>
  <si>
    <t>BAND-AID® FLEXIBLE FABRIC Bandages Travel Pack, All One Size, 8 Count</t>
  </si>
  <si>
    <t>BAND-AID® TRU-STAY™ SHEER STRIPS COMFORT-FLEX®  Bandages, Assorted Sizes, 80 Count</t>
  </si>
  <si>
    <t>BAND-AID® TRU-STAY™ SHEER STRIPS COMFORT-FLEX® Bandages, Assorted Sizes, 60 Count</t>
  </si>
  <si>
    <t>BAND-AID® TRU-STAY™ CLEAR STRIPS COMFORT-FLEX® Bandages, Assorted Sizes, 45 Count</t>
  </si>
  <si>
    <t>Column52</t>
  </si>
  <si>
    <t>Variety Pack</t>
  </si>
  <si>
    <t>BAND-AID® VARIETY PACK Bandages, Assorted Sizes, 30 Count</t>
  </si>
  <si>
    <t>BAND-AID® DISNEY MICKEY MOUSE BANDAGES, 100% WATERPROOF, ALL ONE SIZE, 15CT</t>
  </si>
  <si>
    <t>BAND-AID® DISNEY PRINCESS BANDAGES, 100% WATERPROOF, ALL ONE SIZE, 15CT</t>
  </si>
  <si>
    <t>BAND-AID® PAW PATROL BANDAGES, ASSORTED SIZES, 20 COUNT</t>
  </si>
  <si>
    <t>BAND-AID® DISNEY FROZEN BANDAGES, ASSORTED SIZES, 20 COUNT</t>
  </si>
  <si>
    <t>BAND-AID® DISNEY PIXAR INCREDIBLES 2 BANDAGES, ASSORTED SIZES, 20 COUNT</t>
  </si>
  <si>
    <t>BAND-AID® MARVEL SPIDER-MAN BANDAGES, ASSORTED SIZES, 20 COUNT</t>
  </si>
  <si>
    <t>BAND-AID® MARVEL AVENGERS BANDAGES, ASSORTED SIZES, 20 COUNT</t>
  </si>
  <si>
    <t>BAND-AID® STAR WARS BANDAGES, ASSORTED SIZES, 20 COUNT</t>
  </si>
  <si>
    <t>BAND-AID® NICKELODEON SHIMMER AND SHINE BANDAGES, ASSORTED SIZES 20 COUNT</t>
  </si>
  <si>
    <t>BAND-AID® HELLO KITTY BANDAGES, ASSORTED SIZES 20 COUNT</t>
  </si>
  <si>
    <t>BAND-AID® DISNEY PIXAR CARS BANDAGES, ASSORTED SIZES, 20 COUNT</t>
  </si>
  <si>
    <t>BAND-AID® WATER BLOCK® LARGE ADHESIVE PAD, ALL ONE SIZE, 6 COUN</t>
  </si>
  <si>
    <t>BAND-AID® HURT-FREE® WRAP, 2 IN X 5 YDS</t>
  </si>
  <si>
    <t>BAND-AID® TOUGH CLOTH TAPE™, 1 IN X 10 YDS</t>
  </si>
  <si>
    <t>latex/rubber - allergy</t>
  </si>
  <si>
    <t>BAND-AID® HURT-FREE® PAPER TAPE, 1 IN X 10 YDS</t>
  </si>
  <si>
    <t>BAND-AID® FLEXIBLE ROLLED GAUZE MEDIUM VALUE PACK, 3 IN X 3.2 YDS, 5 STERILE ROLLS</t>
  </si>
  <si>
    <t>BAND-AID® FLEXIBLE ROLLED GAUZE SMALL, 2 IN X 5 YDS, 1 STERILE ROLL</t>
  </si>
  <si>
    <t>BAND-AID® FLEXIBLE ROLLED GAUZE MEDIUM, 3 IN X 5 YDS, 1 STERILE ROLL</t>
  </si>
  <si>
    <t>BAND-AID® FLEXIBLE ROLLED GAUZE LARGE, 4 IN X 5 YDS, 1 STERILE ROLL</t>
  </si>
  <si>
    <t>BAND-AID® CUSHION-CARE™ GAUZE PADS SMALL VALUE PACK, 2 IN X 2 IN, 25 COUNT</t>
  </si>
  <si>
    <t>BAND-AID® CUSHION-CARE™ GAUZE PADS MEDIUM VALUE PACK, 3 IN X 3 IN, 25 COUNT</t>
  </si>
  <si>
    <t>BAND-AID® CUSHION-CARE™ GAUZE PADS SMALL, 2 IN X 2 IN, 10 COUNT</t>
  </si>
  <si>
    <t>BAND-AID® CUSHION-CARE™ GAUZE PADS MEDIUM, 3 IN X 3 IN, 10 COUNT</t>
  </si>
  <si>
    <t>BAND-AID® CUSHION-CARE™ GAUZE PADS LARGE, 4 IN X 4 IN, 10 COUNT</t>
  </si>
  <si>
    <t>BAND-AID® HURT-FREE® NON-STICK PADS SMALL, 1.5 IN X 2 IN, 10 COUNT</t>
  </si>
  <si>
    <t>BAND-AID® HURT-FREE® NON-STICK PADS MEDIUM, 2 IN X 3 IN, 10 COUNT</t>
  </si>
  <si>
    <t>BAND-AID® HURT-FREE® NON-STICK PADS LARGE, 3 IN X 4 IN, 10 COUNT</t>
  </si>
  <si>
    <t>NEW-SKIN LIQUID BANDAGE</t>
  </si>
  <si>
    <t>NEW-SKIN LIQUID BANDAGE SPRAY</t>
  </si>
  <si>
    <t>Liquid</t>
  </si>
  <si>
    <t>Elastoplast Hi-Stretch Support and Compression Bandages</t>
  </si>
  <si>
    <t>Elastoplast Elastic Tubular Support Bandage</t>
  </si>
  <si>
    <t>Elastoplast Cohesive Compression Bandage</t>
  </si>
  <si>
    <t>Elastoplast Conforming Bandage</t>
  </si>
  <si>
    <t>Elastoplast Crepe Bandages</t>
  </si>
  <si>
    <t>Elastoplast Non-Stick Dressings</t>
  </si>
  <si>
    <t>Elastoplast Blister Plaster Small - toes/feet</t>
  </si>
  <si>
    <t>Elastoplast SOS Mix Pack Blister Plasters</t>
  </si>
  <si>
    <t>Elastoplast Large Blister Plaster</t>
  </si>
  <si>
    <t>Elastoplast Blister Plaster XL</t>
  </si>
  <si>
    <t>Elastoplast Sensitive Plasters</t>
  </si>
  <si>
    <t>Elastoplast First Aid Spray Plaster</t>
  </si>
  <si>
    <t>Elastoplast Limited Edition Coloured Plasters</t>
  </si>
  <si>
    <t>Elastoplast Peppa Pig Plasters</t>
  </si>
  <si>
    <t>Elastoplast Hypoallergenic Transparent Spots</t>
  </si>
  <si>
    <t>Elastoplast Kitchen Kit</t>
  </si>
  <si>
    <t>Elastoplast Plastic Water-Resistant Plasters</t>
  </si>
  <si>
    <t>Elastoplast Antibacterial Fabric Plasters</t>
  </si>
  <si>
    <t>Elastoplast Antibacterial Sensitive Plasters </t>
  </si>
  <si>
    <t>Elastoplast Antibacterial Waterproof Plasters</t>
  </si>
  <si>
    <t>Elastoplast Aqua Protect Waterproof Plasters</t>
  </si>
  <si>
    <t>Elastoplast Aqua Protect XXL Sterile Waterproof Dressing</t>
  </si>
  <si>
    <t>Elastoplast Heavy Fabric Waterproof Plasters</t>
  </si>
  <si>
    <t>Elastoplast Fabric Extra Flexible Plasters</t>
  </si>
  <si>
    <t>Elastoplast Finger Strips</t>
  </si>
  <si>
    <t>Elastoplast Elastic Fabric Roll Plaster</t>
  </si>
  <si>
    <t>Products</t>
  </si>
  <si>
    <t>Would you like assorted size bandages</t>
  </si>
  <si>
    <t>Would you like a variety type bandages</t>
  </si>
  <si>
    <t>Would you like flexible product</t>
  </si>
  <si>
    <t>Would you like a tough product</t>
  </si>
  <si>
    <t>Would you like a hydrocolloid product</t>
  </si>
  <si>
    <t>Would you like a liquid bandage</t>
  </si>
  <si>
    <t>Would you like a medical tape</t>
  </si>
  <si>
    <t>Would you like a gauze pad</t>
  </si>
  <si>
    <t>Nexcare™ Foot Protection Tape</t>
  </si>
  <si>
    <t>Nexcare™ Toe Blister Comfort Cushions, CCT-05</t>
  </si>
  <si>
    <t>Nexcare™ Heel Blister Comfort Cushions, CCH-04</t>
  </si>
  <si>
    <t>Nexcare™ All-in-One Adhesive Pad H3564-CA, 2 3/8 in x 4 in (6 cm x 10 cm), 5/Pack</t>
  </si>
  <si>
    <t>Nexcare™ Tegaderm™ +Pad Waterproof Transparent Dressing, H3584</t>
  </si>
  <si>
    <t>Nexcare™ Cushioned Adhesive Pad AWP-34-CA, Waterproof, 3 in x 4 in, 4/Pack</t>
  </si>
  <si>
    <t>Nexcare™ Advanced Healing Hydrocolloid Pad AHD-06-CA, Waterproof, 3 in x 4 in</t>
  </si>
  <si>
    <t>Nexcare™ Ultra Stretch Adhesive Pad SFP34-CA, 3 in x 4 in</t>
  </si>
  <si>
    <t>Nexcare™ Tegaderm™ Waterproof Transparent Dressing</t>
  </si>
  <si>
    <t>Nexcare™ Strong Hold Pain-Free Removal Adhesive Pad SSD34-CA, 3 in x 4 in</t>
  </si>
  <si>
    <t>Nexcare™ Heavy Duty Fabric Bandages, tan, assorted sizes</t>
  </si>
  <si>
    <t>Nexcare™ Comfort Bandages, CS102</t>
  </si>
  <si>
    <t>Nexcare™ Waterproof Bandages, CL50</t>
  </si>
  <si>
    <t>Nexcare™ Liquid Bandage Spray, 118-03-CA</t>
  </si>
  <si>
    <t>no stinging, preservatives, alcohol, fragrances</t>
  </si>
  <si>
    <t>Nexcare™ Blister Waterproof Bandages, BWB-06-CA</t>
  </si>
  <si>
    <t>Nexcare™ Max Hold Waterproof Bandages</t>
  </si>
  <si>
    <t>Nexcare™ Tattoo™ Waterproof Bandages - Cool Collection</t>
  </si>
  <si>
    <t>Diabetic</t>
  </si>
  <si>
    <t>High Protein</t>
  </si>
  <si>
    <t>Product2</t>
  </si>
  <si>
    <t>Underwear</t>
  </si>
  <si>
    <t>Pads</t>
  </si>
  <si>
    <t>BOOST® Original</t>
  </si>
  <si>
    <t>Gluten-Free</t>
  </si>
  <si>
    <t>Color-Free</t>
  </si>
  <si>
    <t>Sweeter-Free</t>
  </si>
  <si>
    <t>BOOST® High Protein</t>
  </si>
  <si>
    <t>Flavours</t>
  </si>
  <si>
    <t>Prebiotic</t>
  </si>
  <si>
    <t>Antioxidants</t>
  </si>
  <si>
    <t>BOOST Plus®</t>
  </si>
  <si>
    <t>Gain/Maintain Weight</t>
  </si>
  <si>
    <t>BOOST® Very High Calorie</t>
  </si>
  <si>
    <t>Kosher</t>
  </si>
  <si>
    <t>Fluid Restricted</t>
  </si>
  <si>
    <t>BOOST Glucose Control®</t>
  </si>
  <si>
    <t>BOOST Max™ Nutritional Shake</t>
  </si>
  <si>
    <t>Soy-Free</t>
  </si>
  <si>
    <t>BOOST® Mobility</t>
  </si>
  <si>
    <t>Bone/Mobility</t>
  </si>
  <si>
    <t>BOOST® Women</t>
  </si>
  <si>
    <t>Women</t>
  </si>
  <si>
    <t>Men</t>
  </si>
  <si>
    <t>BOOST® Men</t>
  </si>
  <si>
    <t>BOOST Breeze®</t>
  </si>
  <si>
    <t>Halal</t>
  </si>
  <si>
    <t>BOOST Glucose Control® High Protein</t>
  </si>
  <si>
    <t>BOOST® High Protein Drink Mix</t>
  </si>
  <si>
    <t>BOOST® Pudding</t>
  </si>
  <si>
    <t>BOOST® Soothe</t>
  </si>
  <si>
    <t>Ensure® High Protein</t>
  </si>
  <si>
    <t>Ensure® Regular</t>
  </si>
  <si>
    <t>Ensure® High Protein [16 g of protein]</t>
  </si>
  <si>
    <t>Ensure® Protein Max</t>
  </si>
  <si>
    <t>Ensure® Plus Calories</t>
  </si>
  <si>
    <t>Ensure® scFOS Fibre</t>
  </si>
  <si>
    <t>GLUCERNA® NUTRITIONAL DRINK</t>
  </si>
  <si>
    <t>GLUCERNA® BAR</t>
  </si>
  <si>
    <t>Weight Loss</t>
  </si>
  <si>
    <t>SlimFast Original Shakes</t>
  </si>
  <si>
    <t>SlimFast Original Shake Mix</t>
  </si>
  <si>
    <t>SlimFast Advanced Nutrition Shakes</t>
  </si>
  <si>
    <t>SlimFast Advanced Nutrition Shake Mix</t>
  </si>
  <si>
    <t>SlimFast Keto Shake Mix</t>
  </si>
  <si>
    <t>SlimFast Keto Shake Bars</t>
  </si>
  <si>
    <t>SlimFast Keto Shake Snacks</t>
  </si>
  <si>
    <t>Keto</t>
  </si>
  <si>
    <t>SlimFast Bake Shop Bars</t>
  </si>
  <si>
    <t>Would you like a product for weight loss</t>
  </si>
  <si>
    <t>Would you like a product for weight gain/maintenance</t>
  </si>
  <si>
    <t>Would you like a poduct with multiple flavour options</t>
  </si>
  <si>
    <t>Would you like a product promoting bone/muscle strength</t>
  </si>
  <si>
    <t>Would you like a high protein product</t>
  </si>
  <si>
    <t>Would you like a high fiber product</t>
  </si>
  <si>
    <t>Woul you like a product for diabetics (low sugar)</t>
  </si>
  <si>
    <t>Would you like a soy-free product</t>
  </si>
  <si>
    <t>Would you like a gluten-free product</t>
  </si>
  <si>
    <t>Would you like a product free of colouring agents</t>
  </si>
  <si>
    <t>Would you like a sweetner-free product</t>
  </si>
  <si>
    <t>Would you like a lactose-free product</t>
  </si>
  <si>
    <t>Would you like a product with prebiotics</t>
  </si>
  <si>
    <t>Would you like a product with antioxidants</t>
  </si>
  <si>
    <t>Would you like a keto product</t>
  </si>
  <si>
    <t>Would you like a kosher product</t>
  </si>
  <si>
    <t>Would you like a halal product</t>
  </si>
  <si>
    <t>Do you prefer a bar/candy or snack product</t>
  </si>
  <si>
    <t>Do you prefer a pudding product</t>
  </si>
  <si>
    <t>Do you prefer a shake/drink product</t>
  </si>
  <si>
    <t>Do you prefer a shake mix/powder product</t>
  </si>
  <si>
    <t>clear, cooling for mouth pain, drink/shake</t>
  </si>
  <si>
    <t>Would you like a soothing product (mouth pain)</t>
  </si>
  <si>
    <t>Would you like a non-stick pad</t>
  </si>
  <si>
    <t>Would you like antiseptic/antibiotic product</t>
  </si>
  <si>
    <t>Would you like standard bandage</t>
  </si>
  <si>
    <t>SIMILAC PRO-ADVANCE® STEP 1</t>
  </si>
  <si>
    <t>Products2</t>
  </si>
  <si>
    <t>Immune Support</t>
  </si>
  <si>
    <t>DHA</t>
  </si>
  <si>
    <t>non-GMO</t>
  </si>
  <si>
    <t>Cow Milk</t>
  </si>
  <si>
    <t>Lutein</t>
  </si>
  <si>
    <t>Soy</t>
  </si>
  <si>
    <t>Vit E</t>
  </si>
  <si>
    <t>0-12 Mnths</t>
  </si>
  <si>
    <t>SIMILAC® SIMPLY NURTURE</t>
  </si>
  <si>
    <t>Powder</t>
  </si>
  <si>
    <t>ReadyUse</t>
  </si>
  <si>
    <t>SIMILAC® ADVANCE® STEP 1</t>
  </si>
  <si>
    <t>SIMILAC® STEP 1</t>
  </si>
  <si>
    <t>SIMILAC® LOWER IRON</t>
  </si>
  <si>
    <t>Low Fe</t>
  </si>
  <si>
    <t>SIMILAC TOTAL COMFORT</t>
  </si>
  <si>
    <t>SIMILAC® SENSITIVE® LACTOSE SENSITIVITY</t>
  </si>
  <si>
    <t>lactose-sensitive</t>
  </si>
  <si>
    <t>Con Liq</t>
  </si>
  <si>
    <t>SIMILAC® ALIMENTUM®</t>
  </si>
  <si>
    <t>SIMILAC® ISOMIL® WITH DHA</t>
  </si>
  <si>
    <t>Lactose-free</t>
  </si>
  <si>
    <t>SIMILAC® NEOSURE®</t>
  </si>
  <si>
    <t>for preterm-fattening</t>
  </si>
  <si>
    <t>Enriched</t>
  </si>
  <si>
    <t>SIMILAC PRO-ADVANCE® STEP 2</t>
  </si>
  <si>
    <t>6-24 Mnths</t>
  </si>
  <si>
    <t>Ca+ Enriched</t>
  </si>
  <si>
    <t>SIMILAC® ADVANCE® STEP 2</t>
  </si>
  <si>
    <t>SIMILAC® STEP 2</t>
  </si>
  <si>
    <t>GO &amp; GROW BY SIMILACTM STEP 3</t>
  </si>
  <si>
    <t>12-36 Mnths</t>
  </si>
  <si>
    <t>Fe+ Enriched</t>
  </si>
  <si>
    <t>Enfamil A+® Infant Formula</t>
  </si>
  <si>
    <t>Enfamil A+ Gentlease</t>
  </si>
  <si>
    <t>Enfamil A+ 2 Infant Formula</t>
  </si>
  <si>
    <t>Enfagrow A+ Toddler Drink</t>
  </si>
  <si>
    <t>Enfamil A+ for frequent Spit Up</t>
  </si>
  <si>
    <t>rice starch</t>
  </si>
  <si>
    <t>Enfamil A+ Soy</t>
  </si>
  <si>
    <t>Nutramigen® A+® with LGG®</t>
  </si>
  <si>
    <t>PURAMINO A+ ®</t>
  </si>
  <si>
    <t>amino acids</t>
  </si>
  <si>
    <t>PURAMINO A+ JUNIOR</t>
  </si>
  <si>
    <t>Pregestimil A+</t>
  </si>
  <si>
    <t>Hydrolate</t>
  </si>
  <si>
    <t>fat malabsorption amino acids</t>
  </si>
  <si>
    <t>specialized</t>
  </si>
  <si>
    <t>Enfamil A+ EnfaCare</t>
  </si>
  <si>
    <t>premature-sterile</t>
  </si>
  <si>
    <t>Enfamil Infant Formula</t>
  </si>
  <si>
    <t>Enfamil Lower Iron Infant Formula</t>
  </si>
  <si>
    <t>Enfamil 2 Infant Formula</t>
  </si>
  <si>
    <t>PediaSure Complete®</t>
  </si>
  <si>
    <t>GOOD START SOOTHE Baby Formula</t>
  </si>
  <si>
    <t>Stage 1 baby formula | Nestlé® Good Start®</t>
  </si>
  <si>
    <t>Stage 2 baby formula | NESTLE GOOD START</t>
  </si>
  <si>
    <t>Nestle® Good Grow Stage 3 Nutritional Toddler Drink</t>
  </si>
  <si>
    <t>Organic baby formula | GOOD START</t>
  </si>
  <si>
    <t>Lactose free formula | GOOD START Alsoy Baby Formula</t>
  </si>
  <si>
    <t>Gauze Roll</t>
  </si>
  <si>
    <t>Gauze Pad</t>
  </si>
  <si>
    <t>Compression</t>
  </si>
  <si>
    <t>Would you like a compression bandage</t>
  </si>
  <si>
    <t>Would you like a gauze roll</t>
  </si>
  <si>
    <t>Do you need a waterproof product</t>
  </si>
  <si>
    <t>Would you need a water-ressistant product</t>
  </si>
  <si>
    <t>Would you like a porous or absorbent product</t>
  </si>
  <si>
    <t>Absorbent/Porous</t>
  </si>
  <si>
    <t>Would you like a single-use/day product</t>
  </si>
  <si>
    <t>Would you like a multi-day product</t>
  </si>
  <si>
    <t>Would you like a purpose-built bandage</t>
  </si>
  <si>
    <t>Would you like extra large bandages</t>
  </si>
  <si>
    <t>Would you like a medium bandages</t>
  </si>
  <si>
    <t>Decorated</t>
  </si>
  <si>
    <t>Gentle</t>
  </si>
  <si>
    <t>Clear</t>
  </si>
  <si>
    <t>Self-Adhering</t>
  </si>
  <si>
    <t>Would you like a decorated product</t>
  </si>
  <si>
    <t>Would you like a gentle product</t>
  </si>
  <si>
    <t>Would you like a clear product</t>
  </si>
  <si>
    <t>Would you like a self-adhering product</t>
  </si>
  <si>
    <t>Would you like a hypoallergenic product</t>
  </si>
  <si>
    <t>Would you like a product with omega fatty acids</t>
  </si>
  <si>
    <t>Would you like a product with dietary fiber</t>
  </si>
  <si>
    <t>Would you like a product for lactose-sensitive child</t>
  </si>
  <si>
    <t>Would you like a product with lutein</t>
  </si>
  <si>
    <t>Would you like a product with vitamin E</t>
  </si>
  <si>
    <t>Would you like a low-iron product</t>
  </si>
  <si>
    <t>Would you like a high-iron product</t>
  </si>
  <si>
    <t>Would you like a hydrolysed product</t>
  </si>
  <si>
    <t>Would you like an enriched product</t>
  </si>
  <si>
    <t>Would you like a high calcium product</t>
  </si>
  <si>
    <t>Do you prefer powder formula</t>
  </si>
  <si>
    <t>Do you prefer liquid concentrate formula</t>
  </si>
  <si>
    <t>Do you prefer ready to use formula</t>
  </si>
  <si>
    <t>Do you prefer a kosher or halal product</t>
  </si>
  <si>
    <t>Do you prefer an organic product</t>
  </si>
  <si>
    <t>Would you like a product for children</t>
  </si>
  <si>
    <t>Drink</t>
  </si>
  <si>
    <t>Bar/Snack</t>
  </si>
  <si>
    <t>Pudding</t>
  </si>
  <si>
    <t>Would you like a product for fluid-restricted or low sodium diet</t>
  </si>
  <si>
    <t>Soothe</t>
  </si>
  <si>
    <t>Kosher/Halal</t>
  </si>
  <si>
    <t>gluten-free</t>
  </si>
  <si>
    <t>Organic</t>
  </si>
  <si>
    <t>Would you like a product containing cow milk + soy</t>
  </si>
  <si>
    <t>Hormone-free</t>
  </si>
  <si>
    <t>Would you like a product for adults (general)</t>
  </si>
  <si>
    <t>Would you like a product for men (specifically)</t>
  </si>
  <si>
    <t>Would you like a product for women (specifically)</t>
  </si>
  <si>
    <t>Adult</t>
  </si>
  <si>
    <t>Guards</t>
  </si>
  <si>
    <t>Briefs</t>
  </si>
  <si>
    <t>TENA Very Light Liners Long</t>
  </si>
  <si>
    <t>Men's</t>
  </si>
  <si>
    <t>Women's</t>
  </si>
  <si>
    <t>Panty Liners</t>
  </si>
  <si>
    <t>Long</t>
  </si>
  <si>
    <t>TENA Very Light Liners Regular</t>
  </si>
  <si>
    <t>Regular</t>
  </si>
  <si>
    <t>TENA Intimates Light Ultra Thin Pads Regular</t>
  </si>
  <si>
    <t>Light 2-3/7</t>
  </si>
  <si>
    <t>TENA Intimates Ultra Thin Light Pads Long</t>
  </si>
  <si>
    <t>TENA Intimates Moderate Thin Pads Long</t>
  </si>
  <si>
    <t>Daily</t>
  </si>
  <si>
    <t>Nightly</t>
  </si>
  <si>
    <t>TENA Intimates Overnight Pads</t>
  </si>
  <si>
    <t>TENA Intimates Pads Moderate Regular</t>
  </si>
  <si>
    <t>TENA Intimates Pads Moderate Long</t>
  </si>
  <si>
    <t>TENA Intimates Ultimate Pads</t>
  </si>
  <si>
    <t>Heavy 6-7/7</t>
  </si>
  <si>
    <t>Post Partum</t>
  </si>
  <si>
    <t>TENA Intimates Maximum Pads Long</t>
  </si>
  <si>
    <t>Moderate 4-5/7</t>
  </si>
  <si>
    <t>TENA Pads Moderate with Aloe Vera Long</t>
  </si>
  <si>
    <t>TENA MEN Very Light Protective Shield - Level 0</t>
  </si>
  <si>
    <t>V-Light 0-1/7</t>
  </si>
  <si>
    <t>TENA MEN Light Protective Guards - Level 1</t>
  </si>
  <si>
    <t>TENA MEN Moderate Protective Guards - Level 2</t>
  </si>
  <si>
    <t>TENA MEN Super Guard - Level 3</t>
  </si>
  <si>
    <t>TENA Overnight Underwear</t>
  </si>
  <si>
    <t>TENA Ultimate Underwear</t>
  </si>
  <si>
    <t>TENA Women STYLISH Underwear</t>
  </si>
  <si>
    <t>TENA Proskin Maximum Absorbency Underwear for Women</t>
  </si>
  <si>
    <t>TENA Super Plus Heavy Underwear</t>
  </si>
  <si>
    <t>TENA MEN Protective Underwear Super Plus Absorbency</t>
  </si>
  <si>
    <t>TENA Proskin Maximum Absorbency Underwear for Men</t>
  </si>
  <si>
    <t>TENA Stretch Ultra Briefs</t>
  </si>
  <si>
    <t>Super 8/8</t>
  </si>
  <si>
    <t>Xlarge</t>
  </si>
  <si>
    <t>XXL</t>
  </si>
  <si>
    <t>TENA Super Briefs</t>
  </si>
  <si>
    <t>TENA Small Briefs</t>
  </si>
  <si>
    <t>TENA Ultra Briefs</t>
  </si>
  <si>
    <t>TENA Proskin Unisex Briefs</t>
  </si>
  <si>
    <t>TENA Bariatric Briefs</t>
  </si>
  <si>
    <t>Bariatric (XXXL)</t>
  </si>
  <si>
    <t>TENA Stretch Super Briefs</t>
  </si>
  <si>
    <t>Depend® FIT-FLEX® Underwear for Women</t>
  </si>
  <si>
    <t>Depend Silhouette® Classic Underwear for Women</t>
  </si>
  <si>
    <t>Depend Silhouette® Expressions Underwear for Women</t>
  </si>
  <si>
    <t>Depend® Night Defense® Underwear for Women</t>
  </si>
  <si>
    <t>Depend® Shields for Men</t>
  </si>
  <si>
    <t>Shield</t>
  </si>
  <si>
    <t>Depend® Guards for Men</t>
  </si>
  <si>
    <t>Depend Real Fit® Underwear for Men</t>
  </si>
  <si>
    <t>Depend® FIT-FLEX® Underwear for Men</t>
  </si>
  <si>
    <t>Depend® Protection with Tabs</t>
  </si>
  <si>
    <t>Poise MICROLINERS</t>
  </si>
  <si>
    <t>POISE DAILY LINERS</t>
  </si>
  <si>
    <t>POISE LINERS WITH WINGS</t>
  </si>
  <si>
    <t>POISE ULTRA THIN PADS-MODERATE</t>
  </si>
  <si>
    <t>POISE ULTRA THIN PADS-LIGHT</t>
  </si>
  <si>
    <t>POISE ORIGINAL PADS-MODERATE</t>
  </si>
  <si>
    <t>POISE ORIGINAL PADS-LIGHT</t>
  </si>
  <si>
    <t>POISE ULTRA THIN PADS WITH WINGS</t>
  </si>
  <si>
    <t>POISE ULTRA THIN PADS-MAXIMUM</t>
  </si>
  <si>
    <t>POISE ORIGINAL PADS - MAXIMUM</t>
  </si>
  <si>
    <t>POISE ULTRA THIN PADS WITH WINGS - MAXIMUM</t>
  </si>
  <si>
    <t>POISE ULTRA THIN PADS-ULTIMATE</t>
  </si>
  <si>
    <t>POISE ORIGINAL PADS-ULTIMATE</t>
  </si>
  <si>
    <t>POISE OVERNIGHT PADS-ULTIMATE</t>
  </si>
  <si>
    <t>ALWAYS DISCREET Liners-Regular</t>
  </si>
  <si>
    <t>ALWAYS DISCREET Liners-Short</t>
  </si>
  <si>
    <t>ALWAYS DISCREET LINER-LONG</t>
  </si>
  <si>
    <t>ALWAYS DISCREET Light Pads</t>
  </si>
  <si>
    <t>ALWAYS DISCREET Moderate REGUALR Pads</t>
  </si>
  <si>
    <t>ALWAYS DISCREET Moderate LONG Pads</t>
  </si>
  <si>
    <t>ALWAYS DISCREET HEAVY LONG PADS</t>
  </si>
  <si>
    <t>ALWAYS DISCREET HEAVY REGULAR PADS</t>
  </si>
  <si>
    <t>ALWAYS DISCREET EXTRA HEAVY REGULAR PADS</t>
  </si>
  <si>
    <t>ALWAYS DISCREET EXTRA HEAVY LONG PADS</t>
  </si>
  <si>
    <t>ALWAYS DISCREET Maximum Protection Underwear-XL</t>
  </si>
  <si>
    <t>ALWAYS DISCREET Maximum Protection Underwear-XXL</t>
  </si>
  <si>
    <t>ALWAYS DISCREET Maximum Protection Underwear-S/M</t>
  </si>
  <si>
    <t>ALWAYS DISCREET Maximum Protection Underwear-L</t>
  </si>
  <si>
    <t>ALWAYS DISCREET OVERNIGHT Maximum Protection Underwear-S/M</t>
  </si>
  <si>
    <t>ALWAYS DISCREET OVERNIGHT Maximum Protection Underwear-L</t>
  </si>
  <si>
    <t>Always Discreet Boutique Incontinence Liners, Very Light</t>
  </si>
  <si>
    <t>Always Discreet Boutique Pads, Moderate-Regular</t>
  </si>
  <si>
    <t>Always Discreet Boutique Pads, HEAVY-LONG</t>
  </si>
  <si>
    <t>Always Discreet Boutique Pads, EXTRA HEAVY-LONG</t>
  </si>
  <si>
    <t>ALWAYS DISCREET Boutique Underwear Peach-S/M</t>
  </si>
  <si>
    <t>ALWAYS DISCREET Boutique Underwear Peach-L</t>
  </si>
  <si>
    <t>ALWAYS DISCREET Boutique Underwear Peach-XL</t>
  </si>
  <si>
    <t>ALWAYS DISCREET Boutique Underwear BLACK-S/M</t>
  </si>
  <si>
    <t>ALWAYS DISCREET Boutique Underwear BLACK-L</t>
  </si>
  <si>
    <t>Attends Advanced Briefs</t>
  </si>
  <si>
    <t>Attends Advanced Underwear</t>
  </si>
  <si>
    <t>Attends Bariatric Briefs</t>
  </si>
  <si>
    <t>Attends Briefs</t>
  </si>
  <si>
    <t>Attends Briefs with Overnight Protection</t>
  </si>
  <si>
    <t>Attends Care Poly Briefs</t>
  </si>
  <si>
    <t>Attends Classic Briefs</t>
  </si>
  <si>
    <t>Attends Premier Briefs</t>
  </si>
  <si>
    <t>Attends Stretch Briefs</t>
  </si>
  <si>
    <t>Attends Youth/Small Briefs</t>
  </si>
  <si>
    <t>Attends Bariatric Protective Underwear</t>
  </si>
  <si>
    <t>Attends Belted Undergarments</t>
  </si>
  <si>
    <t>Attends Discreet Men's Underwear</t>
  </si>
  <si>
    <t>Attends Discreet Women's Underwear</t>
  </si>
  <si>
    <t>Attends Overnight Underwear with Extended Wear Protection</t>
  </si>
  <si>
    <t>Attends Premier Underwear</t>
  </si>
  <si>
    <t>Attends Underwear Extra Absorbency</t>
  </si>
  <si>
    <t>Attends Guards for Men</t>
  </si>
  <si>
    <t>Attends Discreet Men's Guards</t>
  </si>
  <si>
    <t>Attends Discreet Male Shields</t>
  </si>
  <si>
    <t>Attends Discreet Women's Maximum Long Pads</t>
  </si>
  <si>
    <t>Attends Discreet Women's Maximum Pads</t>
  </si>
  <si>
    <t>Attends Discreet Women's Moderate Pads</t>
  </si>
  <si>
    <t>Attends Discreet Women's Ultimate Pads</t>
  </si>
  <si>
    <t>Attends Discreet Women's Ultra Thin Pads</t>
  </si>
  <si>
    <t>Prevail® Women's Pantiliners</t>
  </si>
  <si>
    <t>Prevail® Bladder Control Pads-Light</t>
  </si>
  <si>
    <t>Prevail® Bladder Control Pads-Moderate</t>
  </si>
  <si>
    <t>Prevail® Bladder Control Pads-Maximum</t>
  </si>
  <si>
    <t>Prevail® Bladder Control Pads-Ultimate</t>
  </si>
  <si>
    <t>Prevail® Bladder Control Pads-Overnight</t>
  </si>
  <si>
    <t>Prevail PER-FIT® WOMEN PROTECTIVE UNDERWEAR</t>
  </si>
  <si>
    <t>Prevail PROTECTIVE UNDERWEAR FOR WOMEN</t>
  </si>
  <si>
    <t>Prevail WOMEN'S OVERNIGHT UNDERWEAR</t>
  </si>
  <si>
    <t>Prevail MALE GUARDS</t>
  </si>
  <si>
    <t>Prevail PER-FIT® MEN PROTECTIVE UNDERWEAR</t>
  </si>
  <si>
    <t>Prevail PROTECTIVE UNDERWEAR FOR MEN</t>
  </si>
  <si>
    <t>Prevail MEN'S OVERNIGHT UNDERWEAR</t>
  </si>
  <si>
    <t>Prevail Per-Fit360°™ Briefs</t>
  </si>
  <si>
    <t>PREVAIL AIR™ STRETCHABLE BRIEFS</t>
  </si>
  <si>
    <t>Prevail BREEZERS360°™ BRIEFS</t>
  </si>
  <si>
    <t>Prevail SPECIALTY SIZES BRIEFS</t>
  </si>
  <si>
    <t>PREVAIL AIR™ OVERNIGHT BRIEFS</t>
  </si>
  <si>
    <t>Would you like a product specifically for men</t>
  </si>
  <si>
    <t>Would you like a product specifically for women</t>
  </si>
  <si>
    <t>Would you like a unisex product</t>
  </si>
  <si>
    <t>Would you like a product for daily wear</t>
  </si>
  <si>
    <t>Would you like a product for use at night or extended time</t>
  </si>
  <si>
    <t>Would you like a product post partum incontinence</t>
  </si>
  <si>
    <t>Do you prefer an underwear product</t>
  </si>
  <si>
    <t>Do you prefer a pad product</t>
  </si>
  <si>
    <t>Do you prefer a panty liner product</t>
  </si>
  <si>
    <t>Do you prefer a guard or shield product</t>
  </si>
  <si>
    <t>Do you prefer briefs</t>
  </si>
  <si>
    <t>Would you like a product for very light incontinence</t>
  </si>
  <si>
    <t>Would you like a product for light incontinence</t>
  </si>
  <si>
    <t>Would you like a product for moderate incontinence</t>
  </si>
  <si>
    <t>Would you like a product for heavy incontinence</t>
  </si>
  <si>
    <t>Would you like a product for super heavy incontinence</t>
  </si>
  <si>
    <t>Would you prefer a regular length product</t>
  </si>
  <si>
    <t>Would you prefer a long length product</t>
  </si>
  <si>
    <t>Would you prefer a product for size small</t>
  </si>
  <si>
    <t>Would you prefer a product for size medium</t>
  </si>
  <si>
    <t>Would you prefer a product for size large</t>
  </si>
  <si>
    <t>Would you prefer a product for size extra large</t>
  </si>
  <si>
    <t>Would you prefer a product for bariatric use</t>
  </si>
  <si>
    <t>Would you prefer a product for size double extra large</t>
  </si>
  <si>
    <t>Unisex</t>
  </si>
  <si>
    <t>HealthSearch by Pharmbot</t>
  </si>
  <si>
    <t xml:space="preserve">Health-Index </t>
  </si>
  <si>
    <t>Health Source</t>
  </si>
  <si>
    <t>Health Seeker by Pharmbot</t>
  </si>
  <si>
    <t>Health Directory, list, listing, register, catalogue,record</t>
  </si>
  <si>
    <t xml:space="preserve">Health Aid, assistant, </t>
  </si>
  <si>
    <t>Pharm-Assist</t>
  </si>
  <si>
    <t>Would you like a product with probiotics/immune support</t>
  </si>
  <si>
    <t>Would you like a step 1 product (0-12 months)</t>
  </si>
  <si>
    <t>Would you like a step 2 product (6-12 months)</t>
  </si>
  <si>
    <t>Would you like a step 3 product (12-36 months)</t>
  </si>
  <si>
    <t>Portable</t>
  </si>
  <si>
    <t>Fast Acting</t>
  </si>
  <si>
    <t>Long Acting</t>
  </si>
  <si>
    <t>Topical</t>
  </si>
  <si>
    <t>Tab</t>
  </si>
  <si>
    <t>Oral</t>
  </si>
  <si>
    <t>Nasal</t>
  </si>
  <si>
    <t>Eye Drops</t>
  </si>
  <si>
    <t>Cream/Oint</t>
  </si>
  <si>
    <t>Fast</t>
  </si>
  <si>
    <t>Vag Tab</t>
  </si>
  <si>
    <t>Pregnant</t>
  </si>
  <si>
    <t>Not Pregnant</t>
  </si>
  <si>
    <t>Orajel™ Natural Source Homeopathic Nighttime Teething Gel</t>
  </si>
  <si>
    <t>Orajel™ Natural Source Homeopathic Teething Gel</t>
  </si>
  <si>
    <t>Orajel™ Touch-Free Cold Sore Treatment</t>
  </si>
  <si>
    <t>Orajel™ 3X medicated Severe Toothache &amp; Gum Relief Plus</t>
  </si>
  <si>
    <t>Orajel™ Double Action Toothache and Gum Relief</t>
  </si>
  <si>
    <t>Orajel™ Maximum Strength Toothache Pain Relief Gel</t>
  </si>
  <si>
    <t>Orajel™ Maximum Toothache Relief Liquid</t>
  </si>
  <si>
    <t>Orajel™ Maximum Strength PM Toothache &amp; Gum Relief Paste</t>
  </si>
  <si>
    <t>Orajel™ Regular Strength Toothache Pain Relief Gel</t>
  </si>
  <si>
    <t>Orajel™ Canker Sore Gel</t>
  </si>
  <si>
    <t>Anbesol® Regular Strength Cool Mint Gel</t>
  </si>
  <si>
    <t>Anbesol® Regular Strength Cool Mint Liquid</t>
  </si>
  <si>
    <t>Anbesol® Cold Sore Therapy</t>
  </si>
  <si>
    <t>Anbesol® Maximum Strength Gel</t>
  </si>
  <si>
    <t>Anbesol® Maximum Strength Liquid</t>
  </si>
  <si>
    <t>Kank-A® Mouth Pain Liquid</t>
  </si>
  <si>
    <t>Kank-A® SoftBrush®</t>
  </si>
  <si>
    <t>ABREVA CREAM</t>
  </si>
  <si>
    <t>Lip Clear® Lysine+® Ointment</t>
  </si>
  <si>
    <t>SuperLysine+® Ointment</t>
  </si>
  <si>
    <t>GUM® Canker-X® Pain Relief Gel</t>
  </si>
  <si>
    <t>Canker Sores BeGONE Stick™</t>
  </si>
  <si>
    <t>Cold Sores BeGONE Stick™</t>
  </si>
  <si>
    <r>
      <t>2</t>
    </r>
    <r>
      <rPr>
        <sz val="11"/>
        <color theme="1"/>
        <rFont val="Calibri"/>
        <family val="2"/>
      </rPr>
      <t>° AH</t>
    </r>
  </si>
  <si>
    <r>
      <t>1</t>
    </r>
    <r>
      <rPr>
        <sz val="11"/>
        <color theme="0"/>
        <rFont val="Calibri"/>
        <family val="2"/>
      </rPr>
      <t>°</t>
    </r>
    <r>
      <rPr>
        <i/>
        <sz val="11"/>
        <color theme="0"/>
        <rFont val="Calibri"/>
        <family val="2"/>
      </rPr>
      <t xml:space="preserve"> AH</t>
    </r>
  </si>
  <si>
    <t>Do you have muscle tension or back/neck pain</t>
  </si>
  <si>
    <t>Rectal</t>
  </si>
  <si>
    <t>Fast-Acting</t>
  </si>
  <si>
    <t>Long-Acting</t>
  </si>
  <si>
    <t>Do you have type I or type II diabetes</t>
  </si>
  <si>
    <t>Antacid-Salt</t>
  </si>
  <si>
    <t>Electrolytes</t>
  </si>
  <si>
    <t>Laxative-Salt</t>
  </si>
  <si>
    <t>Non-Preg</t>
  </si>
  <si>
    <t>Are you lactose intolerant</t>
  </si>
  <si>
    <t>Preser-free</t>
  </si>
  <si>
    <t>Do you prefer eye gel drops</t>
  </si>
  <si>
    <t>Do you prefer an eye ointment</t>
  </si>
  <si>
    <t>Would you like a long-lasting  or nighttime product</t>
  </si>
  <si>
    <t>Would you like a fast acting product for "as need" use</t>
  </si>
  <si>
    <t>X Contacts</t>
  </si>
  <si>
    <t>Lanolin-free</t>
  </si>
  <si>
    <t>Decon-free</t>
  </si>
  <si>
    <t>Non-Lasik</t>
  </si>
  <si>
    <t>Non-Lipid</t>
  </si>
  <si>
    <t>Toln-skin</t>
  </si>
  <si>
    <t>Toln-nail</t>
  </si>
  <si>
    <t>Low SPF</t>
  </si>
  <si>
    <t>Mid SPF</t>
  </si>
  <si>
    <t>High SPF</t>
  </si>
  <si>
    <t>Face/Lips</t>
  </si>
  <si>
    <t>Estrogen/LH</t>
  </si>
  <si>
    <t>Preg/Ovu</t>
  </si>
  <si>
    <t>Dig/Line Combo</t>
  </si>
  <si>
    <t>NRT</t>
  </si>
  <si>
    <t>Motion/Fit Sensor</t>
  </si>
  <si>
    <t>Battery+</t>
  </si>
  <si>
    <t>Adapt+</t>
  </si>
  <si>
    <t>Would you like a plug in (AC or USB) and battery operated device</t>
  </si>
  <si>
    <t>Preg/Nurse</t>
  </si>
  <si>
    <t>Would you like a product with ovocidal &amp; pediculicide activity</t>
  </si>
  <si>
    <t>Nits/Lice</t>
  </si>
  <si>
    <t>Would you like a pad dressing</t>
  </si>
  <si>
    <t>Would you like a plaster dressing</t>
  </si>
  <si>
    <t>Would you like a soy-only (lactose-free) product</t>
  </si>
  <si>
    <t>Would you like a more flexible product for active wear</t>
  </si>
  <si>
    <t>Flex/Active</t>
  </si>
  <si>
    <t>Latex-Free</t>
  </si>
  <si>
    <t>Would you like a latex-free product</t>
  </si>
  <si>
    <t>Homeopathic</t>
  </si>
  <si>
    <t>For best results, avoid brushing your teeth with toothpaste or drinking soft drinks or fruit juices for at least one hour after applying the drug.</t>
  </si>
  <si>
    <t>Astringent (zinc)</t>
  </si>
  <si>
    <t>Astringent to relieve gum irritation</t>
  </si>
  <si>
    <t>Anesthetic: The ingredients in toothpaste, soft drinks, and some fruit juices can deactivate the active ingredient in this product.</t>
  </si>
  <si>
    <t>forms a protective film</t>
  </si>
  <si>
    <t>12+ supervised</t>
  </si>
  <si>
    <t>Anesthetic: Use of this product may cause methemoglobinemia or allergies</t>
  </si>
  <si>
    <t>forms a film</t>
  </si>
  <si>
    <t>AntiViral</t>
  </si>
  <si>
    <t>Lysine</t>
  </si>
  <si>
    <t>Cold Sore</t>
  </si>
  <si>
    <t>Pain/Canker</t>
  </si>
  <si>
    <r>
      <t xml:space="preserve">Are you an adult </t>
    </r>
    <r>
      <rPr>
        <b/>
        <sz val="11"/>
        <color theme="1"/>
        <rFont val="Calibri"/>
        <family val="2"/>
      </rPr>
      <t>&gt; 12 years old</t>
    </r>
  </si>
  <si>
    <t>Would you like a product for cold sores</t>
  </si>
  <si>
    <t>Would you like a product to relieve oral or canker pain</t>
  </si>
  <si>
    <t>Are you allergic or sensitive to anethetics</t>
  </si>
  <si>
    <t>Would you like a product with antiviral</t>
  </si>
  <si>
    <t>Would you like a product with Lysine</t>
  </si>
  <si>
    <t>Health Assist</t>
  </si>
  <si>
    <t>Pharm- all of above</t>
  </si>
  <si>
    <t>Menthol/camphor/phenol</t>
  </si>
  <si>
    <t>Blistex Lip Ointment</t>
  </si>
  <si>
    <t>Are you allergic or sensitive to preservatives (benzalkonium chloride or parabens)</t>
  </si>
  <si>
    <t>BAC/Paraben</t>
  </si>
  <si>
    <t>Would you like a homeopathic  product</t>
  </si>
  <si>
    <t>Would you prefer a product with menthol</t>
  </si>
  <si>
    <t>Would you prefer a product with an astringent</t>
  </si>
  <si>
    <t>Spray</t>
  </si>
  <si>
    <t>Wash</t>
  </si>
  <si>
    <t>Lozenge/Gum</t>
  </si>
  <si>
    <t>PRN</t>
  </si>
  <si>
    <t>Cream/Gel</t>
  </si>
  <si>
    <t>Oral/Flav</t>
  </si>
  <si>
    <t>Are you allergic/sensitive to parabens or anesthetics</t>
  </si>
  <si>
    <t>Petrolatum/Mineral/Veg</t>
  </si>
  <si>
    <t>Zinc/Witch Hazel</t>
  </si>
  <si>
    <t>Pramoxine/Lidocaine</t>
  </si>
  <si>
    <t>Would you like a discrete or small sized meter</t>
  </si>
  <si>
    <t>Are you severely allergic to peanuts</t>
  </si>
  <si>
    <t>Peanut</t>
  </si>
  <si>
    <t>Auro-Dri Swimmer's Ears Water Drying Aid</t>
  </si>
  <si>
    <t>Do you have water-clogged ears</t>
  </si>
  <si>
    <t>Dry</t>
  </si>
  <si>
    <t>Isopropyl Alcohol</t>
  </si>
  <si>
    <t>Would you like a decongestant</t>
  </si>
  <si>
    <t>Would you like a certified hormone-free product</t>
  </si>
  <si>
    <t>Would you like a certified GMO-free product</t>
  </si>
  <si>
    <t>Itch</t>
  </si>
  <si>
    <t>Blood Pressure Devices – Hypertension Canada | For Healthcare Professionals</t>
  </si>
  <si>
    <t>gold or silver rating of BP monitors hypertension canada</t>
  </si>
  <si>
    <t>HC Rating</t>
  </si>
  <si>
    <t>Spacelabs</t>
  </si>
  <si>
    <t>Microlife</t>
  </si>
  <si>
    <t>Atoma</t>
  </si>
  <si>
    <t>BIOS Medical</t>
  </si>
  <si>
    <t>Exact</t>
  </si>
  <si>
    <t>Hymark</t>
  </si>
  <si>
    <t>HoMedics</t>
  </si>
  <si>
    <t>Life</t>
  </si>
  <si>
    <t>Option+</t>
  </si>
  <si>
    <t>Personnelle</t>
  </si>
  <si>
    <t>Qardio Inc</t>
  </si>
  <si>
    <t>Rexall</t>
  </si>
  <si>
    <t>Simply Accurate</t>
  </si>
  <si>
    <t>InBody</t>
  </si>
  <si>
    <t>Company Name: Wellman Ehealth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</si>
</sst>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Calibri"/>
      <family val="2"/>
      <scheme val="minor"/>
    </font>
    <font>
      <b/>
      <sz val="11"/>
      <color theme="1"/>
      <name val="Calibri"/>
      <family val="2"/>
      <scheme val="minor"/>
    </font>
    <font>
      <u/>
      <sz val="11"/>
      <color theme="1"/>
      <name val="Calibri"/>
      <family val="2"/>
      <scheme val="minor"/>
    </font>
    <font>
      <b/>
      <sz val="11"/>
      <color theme="0"/>
      <name val="Calibri"/>
      <family val="2"/>
      <scheme val="minor"/>
    </font>
    <font>
      <sz val="11"/>
      <color theme="0"/>
      <name val="Calibri"/>
      <family val="2"/>
      <scheme val="minor"/>
    </font>
    <font>
      <i/>
      <sz val="11"/>
      <color theme="1"/>
      <name val="Calibri"/>
      <family val="2"/>
      <scheme val="minor"/>
    </font>
    <font>
      <sz val="11"/>
      <color theme="1"/>
      <name val="Calibri"/>
      <family val="2"/>
    </font>
    <font>
      <b/>
      <sz val="11"/>
      <color rgb="FFFF0000"/>
      <name val="Calibri"/>
      <family val="2"/>
      <scheme val="minor"/>
    </font>
    <font>
      <u/>
      <sz val="11"/>
      <color theme="10"/>
      <name val="Calibri"/>
      <family val="2"/>
      <scheme val="minor"/>
    </font>
    <font>
      <sz val="11"/>
      <name val="Calibri"/>
      <family val="2"/>
      <scheme val="minor"/>
    </font>
    <font>
      <sz val="11"/>
      <color rgb="FFFF0000"/>
      <name val="Calibri"/>
      <family val="2"/>
      <scheme val="minor"/>
    </font>
    <font>
      <b/>
      <sz val="10"/>
      <color theme="1"/>
      <name val="Arial Black"/>
      <family val="2"/>
    </font>
    <font>
      <sz val="11"/>
      <color rgb="FF0C8A44"/>
      <name val="Calibri"/>
      <family val="2"/>
      <scheme val="minor"/>
    </font>
    <font>
      <sz val="11"/>
      <color rgb="FF0F0E9F"/>
      <name val="Calibri"/>
      <family val="2"/>
      <scheme val="minor"/>
    </font>
    <font>
      <b/>
      <sz val="11"/>
      <name val="Calibri"/>
      <family val="2"/>
      <scheme val="minor"/>
    </font>
    <font>
      <u/>
      <sz val="11"/>
      <name val="Calibri"/>
      <family val="2"/>
      <scheme val="minor"/>
    </font>
    <font>
      <b/>
      <u/>
      <sz val="11"/>
      <color theme="1"/>
      <name val="Calibri"/>
      <family val="2"/>
      <scheme val="minor"/>
    </font>
    <font>
      <b/>
      <sz val="11"/>
      <color theme="1"/>
      <name val="Calibri"/>
      <family val="2"/>
    </font>
    <font>
      <sz val="11"/>
      <color theme="0" tint="-0.14999847407452621"/>
      <name val="Calibri"/>
      <family val="2"/>
      <scheme val="minor"/>
    </font>
    <font>
      <sz val="12"/>
      <color rgb="FF3F3D38"/>
      <name val="Ff-meta-web-pro"/>
    </font>
    <font>
      <sz val="10"/>
      <color rgb="FF696969"/>
      <name val="Arial"/>
      <family val="2"/>
    </font>
    <font>
      <sz val="11"/>
      <color rgb="FF7A6D4A"/>
      <name val="Arial"/>
      <family val="2"/>
    </font>
    <font>
      <sz val="11"/>
      <color rgb="FF92D050"/>
      <name val="Calibri"/>
      <family val="2"/>
      <scheme val="minor"/>
    </font>
    <font>
      <sz val="11"/>
      <color theme="2" tint="-9.9978637043366805E-2"/>
      <name val="Calibri"/>
      <family val="2"/>
      <scheme val="minor"/>
    </font>
    <font>
      <sz val="11"/>
      <color theme="2"/>
      <name val="Calibri"/>
      <family val="2"/>
      <scheme val="minor"/>
    </font>
    <font>
      <i/>
      <sz val="11"/>
      <color theme="0" tint="-4.9989318521683403E-2"/>
      <name val="Calibri"/>
      <family val="2"/>
      <scheme val="minor"/>
    </font>
    <font>
      <sz val="11"/>
      <color rgb="FF0070C0"/>
      <name val="Calibri"/>
      <family val="2"/>
      <scheme val="minor"/>
    </font>
    <font>
      <u/>
      <sz val="11"/>
      <color rgb="FF0070C0"/>
      <name val="Calibri"/>
      <family val="2"/>
      <scheme val="minor"/>
    </font>
    <font>
      <u/>
      <sz val="11"/>
      <color theme="0"/>
      <name val="Calibri"/>
      <family val="2"/>
      <scheme val="minor"/>
    </font>
    <font>
      <b/>
      <i/>
      <sz val="11"/>
      <color theme="0"/>
      <name val="Calibri"/>
      <family val="2"/>
      <scheme val="minor"/>
    </font>
    <font>
      <b/>
      <i/>
      <sz val="11"/>
      <color theme="0" tint="-4.9989318521683403E-2"/>
      <name val="Calibri"/>
      <family val="2"/>
      <scheme val="minor"/>
    </font>
    <font>
      <i/>
      <sz val="11"/>
      <color theme="0"/>
      <name val="Calibri"/>
      <family val="2"/>
      <scheme val="minor"/>
    </font>
    <font>
      <sz val="11"/>
      <color theme="0"/>
      <name val="Calibri"/>
      <family val="2"/>
    </font>
    <font>
      <i/>
      <sz val="11"/>
      <color theme="0"/>
      <name val="Calibri"/>
      <family val="2"/>
    </font>
    <font>
      <sz val="11"/>
      <color theme="0" tint="-0.249977111117893"/>
      <name val="Calibri"/>
      <family val="2"/>
      <scheme val="minor"/>
    </font>
    <font>
      <sz val="11"/>
      <color theme="0" tint="-0.34998626667073579"/>
      <name val="Calibri"/>
      <family val="2"/>
      <scheme val="minor"/>
    </font>
  </fonts>
  <fills count="3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1"/>
        <bgColor indexed="64"/>
      </patternFill>
    </fill>
    <fill>
      <patternFill patternType="solid">
        <fgColor theme="1"/>
        <bgColor theme="4" tint="0.79998168889431442"/>
      </patternFill>
    </fill>
    <fill>
      <patternFill patternType="solid">
        <fgColor theme="4"/>
        <bgColor theme="4"/>
      </patternFill>
    </fill>
    <fill>
      <patternFill patternType="solid">
        <fgColor rgb="FFFFC000"/>
        <bgColor indexed="64"/>
      </patternFill>
    </fill>
    <fill>
      <patternFill patternType="solid">
        <fgColor rgb="FFFFC000"/>
        <bgColor theme="4"/>
      </patternFill>
    </fill>
    <fill>
      <patternFill patternType="solid">
        <fgColor theme="2"/>
        <bgColor indexed="64"/>
      </patternFill>
    </fill>
    <fill>
      <patternFill patternType="solid">
        <fgColor theme="2" tint="-9.9978637043366805E-2"/>
        <bgColor indexed="64"/>
      </patternFill>
    </fill>
    <fill>
      <patternFill patternType="solid">
        <fgColor rgb="FF00B0F0"/>
        <bgColor indexed="64"/>
      </patternFill>
    </fill>
    <fill>
      <patternFill patternType="solid">
        <fgColor theme="4"/>
        <bgColor indexed="64"/>
      </patternFill>
    </fill>
    <fill>
      <patternFill patternType="solid">
        <fgColor theme="0"/>
        <bgColor theme="4" tint="0.79998168889431442"/>
      </patternFill>
    </fill>
    <fill>
      <patternFill patternType="solid">
        <fgColor theme="5" tint="0.39997558519241921"/>
        <bgColor indexed="64"/>
      </patternFill>
    </fill>
    <fill>
      <patternFill patternType="solid">
        <fgColor theme="7" tint="-0.249977111117893"/>
        <bgColor indexed="64"/>
      </patternFill>
    </fill>
    <fill>
      <patternFill patternType="solid">
        <fgColor theme="5" tint="0.59999389629810485"/>
        <bgColor indexed="64"/>
      </patternFill>
    </fill>
    <fill>
      <patternFill patternType="solid">
        <fgColor rgb="FF00CCFF"/>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5"/>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249977111117893"/>
        <bgColor indexed="64"/>
      </patternFill>
    </fill>
    <fill>
      <patternFill patternType="solid">
        <fgColor theme="5" tint="-0.249977111117893"/>
        <bgColor indexed="64"/>
      </patternFill>
    </fill>
    <fill>
      <patternFill patternType="solid">
        <fgColor rgb="FF7030A0"/>
        <bgColor indexed="64"/>
      </patternFill>
    </fill>
  </fills>
  <borders count="35">
    <border>
      <left/>
      <right/>
      <top/>
      <bottom/>
      <diagonal/>
    </border>
    <border>
      <left style="medium">
        <color auto="1"/>
      </left>
      <right/>
      <top style="medium">
        <color auto="1"/>
      </top>
      <bottom style="medium">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style="thick">
        <color auto="1"/>
      </left>
      <right style="thick">
        <color auto="1"/>
      </right>
      <top style="medium">
        <color auto="1"/>
      </top>
      <bottom style="thick">
        <color auto="1"/>
      </bottom>
      <diagonal/>
    </border>
    <border>
      <left/>
      <right style="thick">
        <color auto="1"/>
      </right>
      <top/>
      <bottom style="thick">
        <color auto="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style="thin">
        <color theme="4" tint="0.39997558519241921"/>
      </top>
      <bottom style="thin">
        <color theme="4" tint="0.39997558519241921"/>
      </bottom>
      <diagonal/>
    </border>
    <border>
      <left style="thick">
        <color auto="1"/>
      </left>
      <right style="thick">
        <color auto="1"/>
      </right>
      <top style="medium">
        <color auto="1"/>
      </top>
      <bottom style="medium">
        <color auto="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right/>
      <top style="thick">
        <color auto="1"/>
      </top>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top style="medium">
        <color auto="1"/>
      </top>
      <bottom/>
      <diagonal/>
    </border>
    <border>
      <left style="medium">
        <color auto="1"/>
      </left>
      <right/>
      <top/>
      <bottom style="medium">
        <color auto="1"/>
      </bottom>
      <diagonal/>
    </border>
    <border>
      <left style="thick">
        <color auto="1"/>
      </left>
      <right style="thick">
        <color auto="1"/>
      </right>
      <top/>
      <bottom style="medium">
        <color auto="1"/>
      </bottom>
      <diagonal/>
    </border>
    <border>
      <left style="thick">
        <color auto="1"/>
      </left>
      <right/>
      <top style="thick">
        <color auto="1"/>
      </top>
      <bottom/>
      <diagonal/>
    </border>
    <border>
      <left style="thick">
        <color auto="1"/>
      </left>
      <right/>
      <top/>
      <bottom style="thick">
        <color auto="1"/>
      </bottom>
      <diagonal/>
    </border>
    <border>
      <left style="medium">
        <color auto="1"/>
      </left>
      <right style="thick">
        <color auto="1"/>
      </right>
      <top style="medium">
        <color auto="1"/>
      </top>
      <bottom/>
      <diagonal/>
    </border>
    <border>
      <left style="medium">
        <color auto="1"/>
      </left>
      <right style="thick">
        <color auto="1"/>
      </right>
      <top/>
      <bottom style="medium">
        <color auto="1"/>
      </bottom>
      <diagonal/>
    </border>
    <border>
      <left/>
      <right/>
      <top/>
      <bottom style="medium">
        <color auto="1"/>
      </bottom>
      <diagonal/>
    </border>
    <border>
      <left style="thin">
        <color theme="4" tint="0.39997558519241921"/>
      </left>
      <right/>
      <top style="thin">
        <color theme="4" tint="0.39997558519241921"/>
      </top>
      <bottom/>
      <diagonal/>
    </border>
    <border>
      <left style="thick">
        <color auto="1"/>
      </left>
      <right style="thick">
        <color auto="1"/>
      </right>
      <top style="medium">
        <color auto="1"/>
      </top>
      <bottom/>
      <diagonal/>
    </border>
    <border>
      <left/>
      <right style="thick">
        <color auto="1"/>
      </right>
      <top style="thin">
        <color theme="4" tint="0.39997558519241921"/>
      </top>
      <bottom style="thick">
        <color auto="1"/>
      </bottom>
      <diagonal/>
    </border>
    <border>
      <left/>
      <right style="thin">
        <color theme="4" tint="0.39997558519241921"/>
      </right>
      <top style="thin">
        <color theme="4" tint="0.39997558519241921"/>
      </top>
      <bottom style="thin">
        <color theme="4" tint="0.39997558519241921"/>
      </bottom>
      <diagonal/>
    </border>
    <border>
      <left/>
      <right/>
      <top style="medium">
        <color theme="1"/>
      </top>
      <bottom style="medium">
        <color theme="1"/>
      </bottom>
      <diagonal/>
    </border>
    <border>
      <left style="thick">
        <color auto="1"/>
      </left>
      <right style="thick">
        <color auto="1"/>
      </right>
      <top style="thick">
        <color auto="1"/>
      </top>
      <bottom style="thick">
        <color auto="1"/>
      </bottom>
      <diagonal/>
    </border>
    <border>
      <left style="medium">
        <color auto="1"/>
      </left>
      <right/>
      <top/>
      <bottom/>
      <diagonal/>
    </border>
  </borders>
  <cellStyleXfs count="2">
    <xf numFmtId="0" fontId="0" fillId="0" borderId="0"/>
    <xf numFmtId="0" fontId="8" fillId="0" borderId="0" applyNumberFormat="0" applyFill="0" applyBorder="0" applyAlignment="0" applyProtection="0"/>
  </cellStyleXfs>
  <cellXfs count="219">
    <xf numFmtId="0" fontId="0" fillId="0" borderId="0" xfId="0"/>
    <xf numFmtId="0" fontId="1" fillId="0" borderId="1" xfId="0" applyFont="1" applyBorder="1"/>
    <xf numFmtId="0" fontId="0" fillId="0" borderId="0" xfId="0" applyAlignment="1">
      <alignment horizontal="center"/>
    </xf>
    <xf numFmtId="0" fontId="2" fillId="2" borderId="0" xfId="0" applyFont="1" applyFill="1"/>
    <xf numFmtId="0" fontId="0" fillId="0" borderId="3" xfId="0"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2" borderId="2" xfId="0" applyFont="1" applyFill="1" applyBorder="1" applyAlignment="1">
      <alignment horizontal="center"/>
    </xf>
    <xf numFmtId="0" fontId="1" fillId="3" borderId="2" xfId="0" applyFont="1" applyFill="1" applyBorder="1" applyAlignment="1">
      <alignment horizontal="center"/>
    </xf>
    <xf numFmtId="0" fontId="4" fillId="0" borderId="0" xfId="0" applyFont="1"/>
    <xf numFmtId="0" fontId="6" fillId="0" borderId="0" xfId="0" applyFont="1"/>
    <xf numFmtId="0" fontId="8" fillId="0" borderId="0" xfId="1"/>
    <xf numFmtId="0" fontId="5" fillId="0" borderId="6" xfId="0" applyFont="1" applyBorder="1" applyAlignment="1">
      <alignment horizontal="center"/>
    </xf>
    <xf numFmtId="0" fontId="0" fillId="5" borderId="0" xfId="0" applyFill="1" applyAlignment="1">
      <alignment horizontal="center"/>
    </xf>
    <xf numFmtId="0" fontId="10" fillId="5" borderId="0" xfId="0" applyFont="1" applyFill="1" applyAlignment="1">
      <alignment horizontal="center"/>
    </xf>
    <xf numFmtId="0" fontId="0" fillId="8" borderId="0" xfId="0" applyFill="1" applyAlignment="1">
      <alignment horizontal="center"/>
    </xf>
    <xf numFmtId="0" fontId="0" fillId="8" borderId="0" xfId="0" applyFill="1"/>
    <xf numFmtId="0" fontId="0" fillId="5" borderId="0" xfId="0" applyFill="1"/>
    <xf numFmtId="0" fontId="10" fillId="8" borderId="0" xfId="0" applyFont="1" applyFill="1"/>
    <xf numFmtId="0" fontId="10" fillId="5" borderId="0" xfId="0" applyFont="1" applyFill="1"/>
    <xf numFmtId="0" fontId="0" fillId="3" borderId="0" xfId="0" applyFill="1"/>
    <xf numFmtId="0" fontId="0" fillId="6" borderId="0" xfId="0" applyFill="1"/>
    <xf numFmtId="0" fontId="11" fillId="0" borderId="0" xfId="0" applyFont="1"/>
    <xf numFmtId="0" fontId="4" fillId="6" borderId="0" xfId="0" applyFont="1" applyFill="1"/>
    <xf numFmtId="0" fontId="0" fillId="0" borderId="12" xfId="0" applyBorder="1"/>
    <xf numFmtId="0" fontId="0" fillId="8" borderId="13" xfId="0" applyFill="1" applyBorder="1"/>
    <xf numFmtId="0" fontId="0" fillId="8" borderId="12" xfId="0" applyFill="1" applyBorder="1"/>
    <xf numFmtId="0" fontId="9" fillId="8" borderId="0" xfId="0" applyFont="1" applyFill="1"/>
    <xf numFmtId="0" fontId="8" fillId="0" borderId="0" xfId="1" applyAlignment="1">
      <alignment horizontal="left" vertical="center" wrapText="1"/>
    </xf>
    <xf numFmtId="0" fontId="8" fillId="0" borderId="0" xfId="1" applyAlignment="1">
      <alignment vertical="center" wrapText="1"/>
    </xf>
    <xf numFmtId="0" fontId="3" fillId="10" borderId="14" xfId="0" applyFont="1" applyFill="1" applyBorder="1"/>
    <xf numFmtId="0" fontId="3" fillId="10" borderId="0" xfId="0" applyFont="1" applyFill="1"/>
    <xf numFmtId="0" fontId="10" fillId="0" borderId="0" xfId="0" applyFont="1"/>
    <xf numFmtId="0" fontId="1" fillId="0" borderId="15" xfId="0" applyFont="1" applyBorder="1" applyAlignment="1">
      <alignment horizontal="center"/>
    </xf>
    <xf numFmtId="0" fontId="1" fillId="0" borderId="7" xfId="0" applyFont="1" applyBorder="1" applyAlignment="1">
      <alignment horizontal="center"/>
    </xf>
    <xf numFmtId="0" fontId="0" fillId="3" borderId="0" xfId="0" applyFill="1" applyAlignment="1">
      <alignment horizontal="center"/>
    </xf>
    <xf numFmtId="0" fontId="5" fillId="0" borderId="0" xfId="0" applyFont="1" applyAlignment="1">
      <alignment horizontal="center"/>
    </xf>
    <xf numFmtId="0" fontId="0" fillId="6" borderId="0" xfId="0" applyFill="1" applyAlignment="1">
      <alignment horizontal="center"/>
    </xf>
    <xf numFmtId="0" fontId="7" fillId="2" borderId="2" xfId="0" applyFont="1" applyFill="1" applyBorder="1" applyAlignment="1">
      <alignment horizontal="center"/>
    </xf>
    <xf numFmtId="0" fontId="10" fillId="0" borderId="0" xfId="0" applyFont="1" applyAlignment="1">
      <alignment horizontal="center"/>
    </xf>
    <xf numFmtId="0" fontId="12" fillId="8" borderId="0" xfId="0" applyFont="1" applyFill="1" applyAlignment="1">
      <alignment vertical="center" wrapText="1"/>
    </xf>
    <xf numFmtId="0" fontId="3" fillId="4" borderId="0" xfId="0" applyFont="1" applyFill="1"/>
    <xf numFmtId="0" fontId="0" fillId="4" borderId="0" xfId="0" applyFill="1"/>
    <xf numFmtId="0" fontId="4" fillId="4" borderId="0" xfId="0" applyFont="1" applyFill="1"/>
    <xf numFmtId="0" fontId="0" fillId="7" borderId="16" xfId="0" applyFill="1" applyBorder="1"/>
    <xf numFmtId="0" fontId="0" fillId="0" borderId="16" xfId="0" applyBorder="1"/>
    <xf numFmtId="0" fontId="0" fillId="0" borderId="17" xfId="0" applyBorder="1" applyAlignment="1">
      <alignment horizontal="center"/>
    </xf>
    <xf numFmtId="0" fontId="0" fillId="0" borderId="4" xfId="0" applyBorder="1"/>
    <xf numFmtId="0" fontId="0" fillId="0" borderId="4" xfId="0" applyBorder="1" applyAlignment="1">
      <alignment horizontal="center"/>
    </xf>
    <xf numFmtId="0" fontId="7" fillId="0" borderId="0" xfId="0" applyFont="1"/>
    <xf numFmtId="0" fontId="13" fillId="8" borderId="0" xfId="0" applyFont="1" applyFill="1"/>
    <xf numFmtId="0" fontId="0" fillId="0" borderId="17" xfId="0" applyBorder="1"/>
    <xf numFmtId="0" fontId="1" fillId="4" borderId="0" xfId="0" applyFont="1" applyFill="1" applyAlignment="1">
      <alignment horizontal="center"/>
    </xf>
    <xf numFmtId="0" fontId="0" fillId="4" borderId="0" xfId="0" applyFill="1" applyAlignment="1">
      <alignment horizontal="center"/>
    </xf>
    <xf numFmtId="0" fontId="10" fillId="6" borderId="0" xfId="0" applyFont="1" applyFill="1" applyAlignment="1">
      <alignment horizontal="center"/>
    </xf>
    <xf numFmtId="0" fontId="1" fillId="6" borderId="1" xfId="0" applyFont="1" applyFill="1" applyBorder="1"/>
    <xf numFmtId="0" fontId="0" fillId="6" borderId="4" xfId="0" applyFill="1" applyBorder="1" applyAlignment="1">
      <alignment horizontal="center"/>
    </xf>
    <xf numFmtId="0" fontId="1" fillId="6" borderId="0" xfId="0" applyFont="1" applyFill="1"/>
    <xf numFmtId="0" fontId="1" fillId="8" borderId="0" xfId="0" applyFont="1" applyFill="1"/>
    <xf numFmtId="0" fontId="5" fillId="0" borderId="8" xfId="0" applyFont="1" applyBorder="1" applyAlignment="1">
      <alignment horizontal="center"/>
    </xf>
    <xf numFmtId="0" fontId="0" fillId="6" borderId="3" xfId="0" applyFill="1" applyBorder="1" applyAlignment="1">
      <alignment horizontal="center"/>
    </xf>
    <xf numFmtId="0" fontId="3" fillId="4" borderId="0" xfId="0" applyFont="1" applyFill="1" applyAlignment="1">
      <alignment horizontal="center"/>
    </xf>
    <xf numFmtId="0" fontId="4" fillId="4" borderId="0" xfId="0" applyFont="1" applyFill="1" applyAlignment="1">
      <alignment horizontal="center"/>
    </xf>
    <xf numFmtId="0" fontId="10" fillId="11" borderId="5" xfId="0" applyFont="1" applyFill="1" applyBorder="1"/>
    <xf numFmtId="0" fontId="1" fillId="6" borderId="3" xfId="0" applyFont="1" applyFill="1" applyBorder="1" applyAlignment="1">
      <alignment horizontal="center"/>
    </xf>
    <xf numFmtId="0" fontId="10" fillId="11" borderId="11" xfId="0" applyFont="1" applyFill="1" applyBorder="1"/>
    <xf numFmtId="0" fontId="7" fillId="12" borderId="9" xfId="0" applyFont="1" applyFill="1" applyBorder="1"/>
    <xf numFmtId="0" fontId="9" fillId="3" borderId="0" xfId="0" applyFont="1" applyFill="1"/>
    <xf numFmtId="0" fontId="7" fillId="12" borderId="18" xfId="0" applyFont="1" applyFill="1" applyBorder="1"/>
    <xf numFmtId="0" fontId="3" fillId="10" borderId="19" xfId="0" applyFont="1" applyFill="1" applyBorder="1"/>
    <xf numFmtId="0" fontId="10" fillId="11" borderId="0" xfId="0" applyFont="1" applyFill="1"/>
    <xf numFmtId="0" fontId="9" fillId="6" borderId="0" xfId="0" applyFont="1" applyFill="1"/>
    <xf numFmtId="0" fontId="0" fillId="0" borderId="13" xfId="0" applyBorder="1"/>
    <xf numFmtId="0" fontId="15" fillId="8" borderId="0" xfId="1" applyFont="1" applyFill="1"/>
    <xf numFmtId="0" fontId="15" fillId="8" borderId="0" xfId="1" applyFont="1" applyFill="1" applyAlignment="1">
      <alignment vertical="center" wrapText="1"/>
    </xf>
    <xf numFmtId="0" fontId="9" fillId="8" borderId="0" xfId="0" applyFont="1" applyFill="1" applyAlignment="1">
      <alignment horizontal="center"/>
    </xf>
    <xf numFmtId="0" fontId="9" fillId="9" borderId="9" xfId="1" applyFont="1" applyFill="1" applyBorder="1"/>
    <xf numFmtId="0" fontId="9" fillId="9" borderId="9" xfId="0" applyFont="1" applyFill="1" applyBorder="1" applyAlignment="1">
      <alignment vertical="center" wrapText="1"/>
    </xf>
    <xf numFmtId="0" fontId="1" fillId="0" borderId="20" xfId="0" applyFont="1" applyBorder="1"/>
    <xf numFmtId="0" fontId="1" fillId="0" borderId="20" xfId="0" applyFont="1" applyBorder="1" applyAlignment="1">
      <alignment horizontal="center"/>
    </xf>
    <xf numFmtId="0" fontId="1" fillId="0" borderId="22" xfId="0" applyFont="1" applyBorder="1" applyAlignment="1">
      <alignment horizontal="center"/>
    </xf>
    <xf numFmtId="0" fontId="1" fillId="0" borderId="24" xfId="0" applyFont="1" applyBorder="1"/>
    <xf numFmtId="0" fontId="16" fillId="2" borderId="23" xfId="0" applyFont="1" applyFill="1" applyBorder="1"/>
    <xf numFmtId="0" fontId="16" fillId="2" borderId="0" xfId="0" applyFont="1" applyFill="1"/>
    <xf numFmtId="0" fontId="0" fillId="0" borderId="24" xfId="0" applyBorder="1"/>
    <xf numFmtId="0" fontId="8" fillId="8" borderId="0" xfId="1" applyFill="1"/>
    <xf numFmtId="0" fontId="14" fillId="0" borderId="1" xfId="0" applyFont="1" applyBorder="1"/>
    <xf numFmtId="0" fontId="18" fillId="0" borderId="0" xfId="0" applyFont="1"/>
    <xf numFmtId="0" fontId="2" fillId="2" borderId="25" xfId="0" applyFont="1" applyFill="1" applyBorder="1"/>
    <xf numFmtId="0" fontId="1" fillId="0" borderId="26" xfId="0" applyFont="1" applyBorder="1"/>
    <xf numFmtId="0" fontId="1" fillId="0" borderId="27" xfId="0" applyFont="1" applyBorder="1"/>
    <xf numFmtId="0" fontId="1" fillId="0" borderId="27" xfId="0" applyFont="1" applyBorder="1" applyAlignment="1">
      <alignment horizontal="center"/>
    </xf>
    <xf numFmtId="0" fontId="19" fillId="0" borderId="0" xfId="0" applyFont="1"/>
    <xf numFmtId="0" fontId="20" fillId="0" borderId="0" xfId="0" applyFont="1"/>
    <xf numFmtId="0" fontId="21" fillId="0" borderId="0" xfId="0" applyFont="1"/>
    <xf numFmtId="0" fontId="4" fillId="14" borderId="0" xfId="0" applyFont="1" applyFill="1"/>
    <xf numFmtId="0" fontId="4" fillId="13" borderId="0" xfId="0" applyFont="1" applyFill="1"/>
    <xf numFmtId="0" fontId="22" fillId="5" borderId="0" xfId="0" applyFont="1" applyFill="1"/>
    <xf numFmtId="0" fontId="23" fillId="0" borderId="0" xfId="0" applyFont="1"/>
    <xf numFmtId="0" fontId="0" fillId="7" borderId="9" xfId="0" applyFill="1" applyBorder="1"/>
    <xf numFmtId="0" fontId="0" fillId="0" borderId="9" xfId="0" applyBorder="1"/>
    <xf numFmtId="0" fontId="0" fillId="7" borderId="28" xfId="0" applyFill="1" applyBorder="1"/>
    <xf numFmtId="0" fontId="0" fillId="0" borderId="28" xfId="0" applyBorder="1"/>
    <xf numFmtId="0" fontId="18" fillId="6" borderId="0" xfId="0" applyFont="1" applyFill="1"/>
    <xf numFmtId="9" fontId="0" fillId="0" borderId="0" xfId="0" applyNumberFormat="1"/>
    <xf numFmtId="9" fontId="0" fillId="6" borderId="0" xfId="0" applyNumberFormat="1" applyFill="1"/>
    <xf numFmtId="0" fontId="0" fillId="2" borderId="0" xfId="0" applyFill="1"/>
    <xf numFmtId="0" fontId="24" fillId="4" borderId="0" xfId="0" applyFont="1" applyFill="1"/>
    <xf numFmtId="0" fontId="8" fillId="0" borderId="0" xfId="1" applyAlignment="1">
      <alignment wrapText="1"/>
    </xf>
    <xf numFmtId="0" fontId="9" fillId="6" borderId="0" xfId="0" applyFont="1" applyFill="1" applyAlignment="1">
      <alignment horizontal="center"/>
    </xf>
    <xf numFmtId="0" fontId="25" fillId="16" borderId="0" xfId="0" applyFont="1" applyFill="1" applyAlignment="1">
      <alignment horizontal="center"/>
    </xf>
    <xf numFmtId="0" fontId="27" fillId="8" borderId="0" xfId="1" applyFont="1" applyFill="1"/>
    <xf numFmtId="0" fontId="27" fillId="8" borderId="0" xfId="1" applyFont="1" applyFill="1" applyAlignment="1">
      <alignment horizontal="left" vertical="center" wrapText="1"/>
    </xf>
    <xf numFmtId="0" fontId="26" fillId="6" borderId="0" xfId="0" applyFont="1" applyFill="1"/>
    <xf numFmtId="0" fontId="27" fillId="6" borderId="0" xfId="1" applyFont="1" applyFill="1" applyAlignment="1">
      <alignment vertical="center" wrapText="1"/>
    </xf>
    <xf numFmtId="0" fontId="27" fillId="8" borderId="0" xfId="1" applyFont="1" applyFill="1" applyAlignment="1">
      <alignment vertical="center" wrapText="1"/>
    </xf>
    <xf numFmtId="0" fontId="27" fillId="6" borderId="0" xfId="1" applyFont="1" applyFill="1" applyAlignment="1">
      <alignment vertical="top" wrapText="1"/>
    </xf>
    <xf numFmtId="0" fontId="27" fillId="6" borderId="0" xfId="1" applyFont="1" applyFill="1"/>
    <xf numFmtId="0" fontId="27" fillId="6" borderId="0" xfId="1" applyFont="1" applyFill="1" applyAlignment="1">
      <alignment horizontal="left" vertical="center" wrapText="1"/>
    </xf>
    <xf numFmtId="0" fontId="27" fillId="6" borderId="0" xfId="1" applyFont="1" applyFill="1" applyAlignment="1">
      <alignment horizontal="left" vertical="top" wrapText="1"/>
    </xf>
    <xf numFmtId="0" fontId="27" fillId="6" borderId="0" xfId="1" applyFont="1" applyFill="1" applyAlignment="1">
      <alignment horizontal="left" vertical="center" wrapText="1" indent="1"/>
    </xf>
    <xf numFmtId="0" fontId="27" fillId="8" borderId="0" xfId="0" applyFont="1" applyFill="1"/>
    <xf numFmtId="0" fontId="27" fillId="6" borderId="0" xfId="0" applyFont="1" applyFill="1"/>
    <xf numFmtId="0" fontId="27" fillId="8" borderId="0" xfId="0" applyFont="1" applyFill="1" applyAlignment="1">
      <alignment vertical="center" wrapText="1"/>
    </xf>
    <xf numFmtId="0" fontId="4" fillId="16" borderId="0" xfId="0" applyFont="1" applyFill="1"/>
    <xf numFmtId="0" fontId="26" fillId="17" borderId="9" xfId="0" applyFont="1" applyFill="1" applyBorder="1"/>
    <xf numFmtId="0" fontId="27" fillId="17" borderId="9" xfId="0" applyFont="1" applyFill="1" applyBorder="1"/>
    <xf numFmtId="0" fontId="15" fillId="8" borderId="0" xfId="0" applyFont="1" applyFill="1"/>
    <xf numFmtId="0" fontId="15" fillId="8" borderId="9" xfId="0" applyFont="1" applyFill="1" applyBorder="1"/>
    <xf numFmtId="0" fontId="15" fillId="9" borderId="9" xfId="0" applyFont="1" applyFill="1" applyBorder="1"/>
    <xf numFmtId="0" fontId="28" fillId="16" borderId="0" xfId="0" applyFont="1" applyFill="1"/>
    <xf numFmtId="0" fontId="27" fillId="6" borderId="0" xfId="1" applyFont="1" applyFill="1" applyAlignment="1">
      <alignment horizontal="left" vertical="center"/>
    </xf>
    <xf numFmtId="0" fontId="26" fillId="17" borderId="9" xfId="0" applyFont="1" applyFill="1" applyBorder="1" applyAlignment="1">
      <alignment vertical="center" wrapText="1"/>
    </xf>
    <xf numFmtId="0" fontId="26" fillId="9" borderId="9" xfId="0" applyFont="1" applyFill="1" applyBorder="1"/>
    <xf numFmtId="0" fontId="26" fillId="9" borderId="9" xfId="1" applyFont="1" applyFill="1" applyBorder="1"/>
    <xf numFmtId="0" fontId="26" fillId="6" borderId="0" xfId="0" applyFont="1" applyFill="1" applyAlignment="1">
      <alignment vertical="top"/>
    </xf>
    <xf numFmtId="0" fontId="27" fillId="6" borderId="0" xfId="1" applyFont="1" applyFill="1" applyAlignment="1">
      <alignment vertical="center"/>
    </xf>
    <xf numFmtId="0" fontId="9" fillId="0" borderId="3" xfId="0" applyFont="1" applyBorder="1" applyAlignment="1">
      <alignment horizontal="center"/>
    </xf>
    <xf numFmtId="0" fontId="9" fillId="0" borderId="0" xfId="0" applyFont="1"/>
    <xf numFmtId="0" fontId="8" fillId="17" borderId="9" xfId="1" applyFill="1" applyBorder="1"/>
    <xf numFmtId="0" fontId="14" fillId="0" borderId="15" xfId="0" applyFont="1" applyBorder="1" applyAlignment="1">
      <alignment horizontal="center"/>
    </xf>
    <xf numFmtId="0" fontId="8" fillId="17" borderId="10" xfId="1" applyFill="1" applyBorder="1"/>
    <xf numFmtId="0" fontId="8" fillId="6" borderId="9" xfId="1" applyFill="1" applyBorder="1"/>
    <xf numFmtId="0" fontId="8" fillId="17" borderId="0" xfId="1" applyFill="1" applyBorder="1"/>
    <xf numFmtId="0" fontId="8" fillId="6" borderId="10" xfId="1" applyFill="1" applyBorder="1"/>
    <xf numFmtId="0" fontId="8" fillId="6" borderId="0" xfId="1" applyFill="1"/>
    <xf numFmtId="0" fontId="8" fillId="6" borderId="0" xfId="1" applyFill="1" applyBorder="1"/>
    <xf numFmtId="0" fontId="1" fillId="6" borderId="15" xfId="0" applyFont="1" applyFill="1" applyBorder="1" applyAlignment="1">
      <alignment horizontal="center"/>
    </xf>
    <xf numFmtId="0" fontId="7" fillId="11" borderId="5" xfId="0" applyFont="1" applyFill="1" applyBorder="1"/>
    <xf numFmtId="0" fontId="29" fillId="10" borderId="30" xfId="0" applyFont="1" applyFill="1" applyBorder="1" applyAlignment="1">
      <alignment horizontal="center"/>
    </xf>
    <xf numFmtId="0" fontId="29" fillId="10" borderId="14" xfId="0" applyFont="1" applyFill="1" applyBorder="1" applyAlignment="1">
      <alignment horizontal="center"/>
    </xf>
    <xf numFmtId="0" fontId="30" fillId="16" borderId="14" xfId="0" applyFont="1" applyFill="1" applyBorder="1" applyAlignment="1">
      <alignment horizontal="center"/>
    </xf>
    <xf numFmtId="0" fontId="3" fillId="16" borderId="31" xfId="0" applyFont="1" applyFill="1" applyBorder="1"/>
    <xf numFmtId="0" fontId="29" fillId="10" borderId="14" xfId="0" applyFont="1" applyFill="1" applyBorder="1" applyAlignment="1">
      <alignment horizontal="left"/>
    </xf>
    <xf numFmtId="0" fontId="26" fillId="8" borderId="0" xfId="0" applyFont="1" applyFill="1"/>
    <xf numFmtId="0" fontId="29" fillId="16" borderId="0" xfId="0" applyFont="1" applyFill="1"/>
    <xf numFmtId="0" fontId="3" fillId="14" borderId="0" xfId="0" applyFont="1" applyFill="1"/>
    <xf numFmtId="0" fontId="30" fillId="16" borderId="32" xfId="0" applyFont="1" applyFill="1" applyBorder="1" applyAlignment="1">
      <alignment horizontal="center"/>
    </xf>
    <xf numFmtId="0" fontId="1" fillId="15" borderId="1" xfId="0" applyFont="1" applyFill="1" applyBorder="1"/>
    <xf numFmtId="0" fontId="1" fillId="0" borderId="33" xfId="0" applyFont="1" applyBorder="1" applyAlignment="1">
      <alignment horizontal="center"/>
    </xf>
    <xf numFmtId="0" fontId="1" fillId="0" borderId="2" xfId="0" applyFont="1" applyBorder="1" applyAlignment="1">
      <alignment horizontal="center"/>
    </xf>
    <xf numFmtId="0" fontId="1" fillId="3" borderId="1" xfId="0" applyFont="1" applyFill="1" applyBorder="1"/>
    <xf numFmtId="0" fontId="1" fillId="18" borderId="1" xfId="0" applyFont="1" applyFill="1" applyBorder="1"/>
    <xf numFmtId="0" fontId="1" fillId="19" borderId="1" xfId="0" applyFont="1" applyFill="1" applyBorder="1"/>
    <xf numFmtId="0" fontId="14" fillId="15" borderId="1" xfId="0" applyFont="1" applyFill="1" applyBorder="1"/>
    <xf numFmtId="0" fontId="1" fillId="20" borderId="1" xfId="0" applyFont="1" applyFill="1" applyBorder="1"/>
    <xf numFmtId="0" fontId="14" fillId="3" borderId="29" xfId="0" applyFont="1" applyFill="1" applyBorder="1"/>
    <xf numFmtId="0" fontId="14" fillId="3" borderId="7" xfId="0" applyFont="1" applyFill="1" applyBorder="1"/>
    <xf numFmtId="0" fontId="1" fillId="4" borderId="1" xfId="0" applyFont="1" applyFill="1" applyBorder="1"/>
    <xf numFmtId="0" fontId="1" fillId="21" borderId="1" xfId="0" applyFont="1" applyFill="1" applyBorder="1"/>
    <xf numFmtId="0" fontId="1" fillId="11" borderId="1" xfId="0" applyFont="1" applyFill="1" applyBorder="1"/>
    <xf numFmtId="0" fontId="14" fillId="18" borderId="1" xfId="0" applyFont="1" applyFill="1" applyBorder="1"/>
    <xf numFmtId="0" fontId="1" fillId="22" borderId="1" xfId="0" applyFont="1" applyFill="1" applyBorder="1"/>
    <xf numFmtId="0" fontId="1" fillId="15" borderId="0" xfId="0" applyFont="1" applyFill="1"/>
    <xf numFmtId="0" fontId="1" fillId="23" borderId="1" xfId="0" applyFont="1" applyFill="1" applyBorder="1"/>
    <xf numFmtId="0" fontId="1" fillId="22" borderId="21" xfId="0" applyFont="1" applyFill="1" applyBorder="1"/>
    <xf numFmtId="0" fontId="1" fillId="16" borderId="1" xfId="0" applyFont="1" applyFill="1" applyBorder="1"/>
    <xf numFmtId="0" fontId="1" fillId="24" borderId="1" xfId="0" applyFont="1" applyFill="1" applyBorder="1"/>
    <xf numFmtId="0" fontId="7" fillId="11" borderId="9" xfId="0" applyFont="1" applyFill="1" applyBorder="1"/>
    <xf numFmtId="0" fontId="0" fillId="3" borderId="14" xfId="0" applyFill="1" applyBorder="1"/>
    <xf numFmtId="0" fontId="1" fillId="11" borderId="15" xfId="0" applyFont="1" applyFill="1" applyBorder="1" applyAlignment="1">
      <alignment horizontal="center"/>
    </xf>
    <xf numFmtId="0" fontId="1" fillId="3" borderId="15" xfId="0" applyFont="1" applyFill="1" applyBorder="1" applyAlignment="1">
      <alignment horizontal="center"/>
    </xf>
    <xf numFmtId="0" fontId="1" fillId="15" borderId="15" xfId="0" applyFont="1" applyFill="1" applyBorder="1" applyAlignment="1">
      <alignment horizontal="center"/>
    </xf>
    <xf numFmtId="0" fontId="1" fillId="18" borderId="15" xfId="0" applyFont="1" applyFill="1" applyBorder="1" applyAlignment="1">
      <alignment horizontal="center"/>
    </xf>
    <xf numFmtId="0" fontId="1" fillId="25" borderId="1" xfId="0" applyFont="1" applyFill="1" applyBorder="1"/>
    <xf numFmtId="0" fontId="1" fillId="25" borderId="15" xfId="0" applyFont="1" applyFill="1" applyBorder="1" applyAlignment="1">
      <alignment horizontal="center"/>
    </xf>
    <xf numFmtId="0" fontId="1" fillId="26" borderId="1" xfId="0" applyFont="1" applyFill="1" applyBorder="1"/>
    <xf numFmtId="0" fontId="1" fillId="26" borderId="15" xfId="0" applyFont="1" applyFill="1" applyBorder="1" applyAlignment="1">
      <alignment horizontal="center"/>
    </xf>
    <xf numFmtId="0" fontId="1" fillId="27" borderId="1" xfId="0" applyFont="1" applyFill="1" applyBorder="1"/>
    <xf numFmtId="0" fontId="1" fillId="27" borderId="15" xfId="0" applyFont="1" applyFill="1" applyBorder="1" applyAlignment="1">
      <alignment horizontal="center"/>
    </xf>
    <xf numFmtId="0" fontId="8" fillId="8" borderId="0" xfId="1" applyFill="1" applyAlignment="1">
      <alignment vertical="center" wrapText="1"/>
    </xf>
    <xf numFmtId="0" fontId="1" fillId="20" borderId="15" xfId="0" applyFont="1" applyFill="1" applyBorder="1" applyAlignment="1">
      <alignment horizontal="center"/>
    </xf>
    <xf numFmtId="0" fontId="1" fillId="28" borderId="1" xfId="0" applyFont="1" applyFill="1" applyBorder="1"/>
    <xf numFmtId="0" fontId="1" fillId="28" borderId="15" xfId="0" applyFont="1" applyFill="1" applyBorder="1" applyAlignment="1">
      <alignment horizontal="center"/>
    </xf>
    <xf numFmtId="0" fontId="1" fillId="29" borderId="1" xfId="0" applyFont="1" applyFill="1" applyBorder="1"/>
    <xf numFmtId="0" fontId="1" fillId="29" borderId="15" xfId="0" applyFont="1" applyFill="1" applyBorder="1" applyAlignment="1">
      <alignment horizontal="center"/>
    </xf>
    <xf numFmtId="0" fontId="1" fillId="30" borderId="1" xfId="0" applyFont="1" applyFill="1" applyBorder="1"/>
    <xf numFmtId="0" fontId="14" fillId="29" borderId="1" xfId="0" applyFont="1" applyFill="1" applyBorder="1"/>
    <xf numFmtId="0" fontId="1" fillId="31" borderId="1" xfId="0" applyFont="1" applyFill="1" applyBorder="1"/>
    <xf numFmtId="0" fontId="1" fillId="32" borderId="1" xfId="0" applyFont="1" applyFill="1" applyBorder="1"/>
    <xf numFmtId="0" fontId="31" fillId="16" borderId="6" xfId="0" applyFont="1" applyFill="1" applyBorder="1"/>
    <xf numFmtId="0" fontId="31" fillId="16" borderId="0" xfId="0" applyFont="1" applyFill="1"/>
    <xf numFmtId="0" fontId="29" fillId="10" borderId="19" xfId="0" applyFont="1" applyFill="1" applyBorder="1"/>
    <xf numFmtId="0" fontId="0" fillId="11" borderId="0" xfId="0" applyFill="1"/>
    <xf numFmtId="0" fontId="0" fillId="16" borderId="0" xfId="0" applyFill="1"/>
    <xf numFmtId="0" fontId="9" fillId="13" borderId="0" xfId="0" applyFont="1" applyFill="1"/>
    <xf numFmtId="0" fontId="34" fillId="13" borderId="0" xfId="0" applyFont="1" applyFill="1"/>
    <xf numFmtId="0" fontId="9" fillId="5" borderId="0" xfId="0" applyFont="1" applyFill="1"/>
    <xf numFmtId="0" fontId="35" fillId="0" borderId="0" xfId="0" applyFont="1"/>
    <xf numFmtId="0" fontId="34" fillId="4" borderId="0" xfId="0" applyFont="1" applyFill="1"/>
    <xf numFmtId="0" fontId="0" fillId="33" borderId="0" xfId="0" applyFill="1"/>
    <xf numFmtId="0" fontId="0" fillId="34" borderId="0" xfId="0" applyFill="1"/>
    <xf numFmtId="0" fontId="18" fillId="4" borderId="0" xfId="0" applyFont="1" applyFill="1"/>
    <xf numFmtId="0" fontId="0" fillId="5" borderId="14" xfId="0" applyFill="1" applyBorder="1"/>
    <xf numFmtId="0" fontId="1" fillId="23" borderId="15" xfId="0" applyFont="1" applyFill="1" applyBorder="1" applyAlignment="1">
      <alignment horizontal="center"/>
    </xf>
    <xf numFmtId="0" fontId="1" fillId="6" borderId="34" xfId="0" applyFont="1" applyFill="1" applyBorder="1"/>
    <xf numFmtId="0" fontId="24" fillId="0" borderId="0" xfId="0" applyFont="1"/>
    <xf numFmtId="0" fontId="14" fillId="6" borderId="1" xfId="0" applyFont="1" applyFill="1" applyBorder="1"/>
    <xf numFmtId="0" fontId="1" fillId="24" borderId="15" xfId="0" applyFont="1" applyFill="1" applyBorder="1" applyAlignment="1">
      <alignment horizontal="center"/>
    </xf>
  </cellXfs>
  <cellStyles count="2">
    <cellStyle name="Hyperlink" xfId="1" builtinId="8"/>
    <cellStyle name="Normal" xfId="0" builtinId="0"/>
  </cellStyles>
  <dxfs count="323">
    <dxf>
      <font>
        <b/>
        <strike val="0"/>
        <outline val="0"/>
        <shadow val="0"/>
        <u val="none"/>
        <vertAlign val="baseline"/>
        <sz val="10"/>
        <color theme="1"/>
        <name val="Arial Black"/>
        <scheme val="none"/>
      </font>
    </dxf>
    <dxf>
      <font>
        <b/>
        <strike val="0"/>
        <outline val="0"/>
        <shadow val="0"/>
        <u val="none"/>
        <vertAlign val="baseline"/>
        <sz val="10"/>
        <color theme="1"/>
        <name val="Arial Black"/>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C000"/>
        </patternFill>
      </fill>
    </dxf>
    <dxf>
      <fill>
        <patternFill patternType="none">
          <fgColor indexed="64"/>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0000"/>
        </patternFill>
      </fill>
    </dxf>
    <dxf>
      <numFmt numFmtId="0" formatCode="General"/>
    </dxf>
    <dxf>
      <numFmt numFmtId="0" formatCode="General"/>
      <fill>
        <patternFill patternType="solid">
          <fgColor indexed="64"/>
          <bgColor rgb="FFFF0000"/>
        </patternFill>
      </fill>
    </dxf>
    <dxf>
      <numFmt numFmtId="0" formatCode="General"/>
    </dxf>
    <dxf>
      <numFmt numFmtId="0" formatCode="General"/>
      <fill>
        <patternFill patternType="solid">
          <fgColor indexed="64"/>
          <bgColor rgb="FFFF0000"/>
        </patternFill>
      </fill>
    </dxf>
    <dxf>
      <numFmt numFmtId="0" formatCode="General"/>
    </dxf>
    <dxf>
      <numFmt numFmtId="0" formatCode="General"/>
      <fill>
        <patternFill patternType="solid">
          <fgColor indexed="64"/>
          <bgColor rgb="FFFF0000"/>
        </patternFill>
      </fill>
    </dxf>
    <dxf>
      <numFmt numFmtId="0" formatCode="General"/>
      <fill>
        <patternFill patternType="solid">
          <fgColor indexed="64"/>
          <bgColor rgb="FFFF00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vertAlign val="baseline"/>
        <sz val="11"/>
        <color rgb="FF0070C0"/>
        <name val="Calibri"/>
        <scheme val="minor"/>
      </font>
      <fill>
        <patternFill>
          <bgColor theme="0"/>
        </patternFill>
      </fill>
    </dxf>
    <dxf>
      <font>
        <strike val="0"/>
        <outline val="0"/>
        <shadow val="0"/>
        <vertAlign val="baseline"/>
        <sz val="11"/>
        <color rgb="FF0070C0"/>
        <name val="Calibri"/>
        <scheme val="minor"/>
      </font>
      <fill>
        <patternFill>
          <bgColor theme="0"/>
        </patternFill>
      </fill>
    </dxf>
    <dxf>
      <numFmt numFmtId="0" formatCode="General"/>
    </dxf>
    <dxf>
      <numFmt numFmtId="0" formatCode="General"/>
    </dxf>
    <dxf>
      <numFmt numFmtId="0" formatCode="Genera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font>
        <strike val="0"/>
        <outline val="0"/>
        <shadow val="0"/>
        <vertAlign val="baseline"/>
        <sz val="11"/>
        <color rgb="FF0070C0"/>
        <name val="Calibri"/>
        <scheme val="minor"/>
      </font>
      <fill>
        <patternFill>
          <bgColor theme="0"/>
        </patternFill>
      </fill>
    </dxf>
    <dxf>
      <font>
        <strike val="0"/>
        <outline val="0"/>
        <shadow val="0"/>
        <vertAlign val="baseline"/>
        <sz val="11"/>
        <color rgb="FF0070C0"/>
        <name val="Calibri"/>
        <scheme val="minor"/>
      </font>
      <numFmt numFmtId="0" formatCode="General"/>
      <fill>
        <patternFill>
          <bgColor theme="0"/>
        </patternFill>
      </fill>
    </dxf>
    <dxf>
      <numFmt numFmtId="0" formatCode="General"/>
    </dxf>
    <dxf>
      <numFmt numFmtId="0" formatCode="General"/>
    </dxf>
    <dxf>
      <numFmt numFmtId="0" formatCode="General"/>
    </dxf>
    <dxf>
      <font>
        <b/>
        <i val="0"/>
        <strike val="0"/>
        <condense val="0"/>
        <extend val="0"/>
        <outline val="0"/>
        <shadow val="0"/>
        <u val="none"/>
        <vertAlign val="baseline"/>
        <sz val="11"/>
        <color theme="0"/>
        <name val="Calibri"/>
        <scheme val="minor"/>
      </font>
      <fill>
        <patternFill patternType="solid">
          <fgColor theme="4"/>
          <bgColor theme="4"/>
        </patternFill>
      </fill>
    </dxf>
    <dxf>
      <font>
        <b val="0"/>
        <i val="0"/>
        <strike val="0"/>
        <condense val="0"/>
        <extend val="0"/>
        <outline val="0"/>
        <shadow val="0"/>
        <u val="none"/>
        <vertAlign val="baseline"/>
        <sz val="11"/>
        <color rgb="FF0070C0"/>
        <name val="Calibri"/>
        <scheme val="minor"/>
      </font>
      <fill>
        <patternFill patternType="solid">
          <fgColor theme="4" tint="0.79998168889431442"/>
          <bgColor theme="0"/>
        </patternFill>
      </fill>
      <border diagonalUp="0" diagonalDown="0" outline="0">
        <left/>
        <right/>
        <top style="thin">
          <color theme="4" tint="0.39997558519241921"/>
        </top>
        <bottom style="thin">
          <color theme="4" tint="0.39997558519241921"/>
        </bottom>
      </border>
    </dxf>
    <dxf>
      <font>
        <strike val="0"/>
        <outline val="0"/>
        <shadow val="0"/>
        <vertAlign val="baseline"/>
        <sz val="11"/>
        <color rgb="FF0070C0"/>
        <name val="Calibri"/>
        <scheme val="minor"/>
      </font>
      <numFmt numFmtId="0" formatCode="General"/>
      <fill>
        <patternFill patternType="solid">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numFmt numFmtId="0" formatCode="General"/>
      <fill>
        <patternFill patternType="solid">
          <fgColor indexed="64"/>
          <bgColor theme="0"/>
        </patternFill>
      </fill>
    </dxf>
    <dxf>
      <numFmt numFmtId="0" formatCode="General"/>
      <fill>
        <patternFill patternType="solid">
          <fgColor indexed="64"/>
          <bgColor theme="0"/>
        </patternFill>
      </fill>
    </dxf>
    <dxf>
      <numFmt numFmtId="0" formatCode="General"/>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theme="0"/>
        </patternFill>
      </fill>
    </dxf>
    <dxf>
      <font>
        <b val="0"/>
        <strike val="0"/>
        <outline val="0"/>
        <shadow val="0"/>
        <u/>
        <vertAlign val="baseline"/>
        <sz val="11"/>
        <color rgb="FF0070C0"/>
        <name val="Calibri"/>
        <scheme val="minor"/>
      </font>
      <numFmt numFmtId="0" formatCode="General"/>
      <fill>
        <patternFill patternType="solid">
          <bgColor theme="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ertAlign val="baseline"/>
        <sz val="11"/>
        <color rgb="FF0070C0"/>
        <name val="Calibri"/>
        <scheme val="minor"/>
      </font>
      <fill>
        <patternFill>
          <fgColor indexed="64"/>
          <bgColor theme="0"/>
        </patternFill>
      </fill>
    </dxf>
    <dxf>
      <font>
        <strike val="0"/>
        <outline val="0"/>
        <shadow val="0"/>
        <vertAlign val="baseline"/>
        <sz val="11"/>
        <color auto="1"/>
        <name val="Calibri"/>
        <scheme val="minor"/>
      </font>
      <fill>
        <patternFill>
          <fgColor indexed="64"/>
          <bgColor theme="0"/>
        </patternFill>
      </fill>
    </dxf>
    <dxf>
      <numFmt numFmtId="0" formatCode="General"/>
    </dxf>
    <dxf>
      <font>
        <b val="0"/>
        <i val="0"/>
        <strike val="0"/>
        <condense val="0"/>
        <extend val="0"/>
        <outline val="0"/>
        <shadow val="0"/>
        <u val="none"/>
        <vertAlign val="baseline"/>
        <sz val="11"/>
        <color theme="1"/>
        <name val="Calibri"/>
        <scheme val="minor"/>
      </font>
      <fill>
        <patternFill patternType="solid">
          <fgColor indexed="64"/>
          <bgColor theme="0"/>
        </patternFill>
      </fill>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dxf>
    <dxf>
      <font>
        <b val="0"/>
        <i val="0"/>
        <strike val="0"/>
        <condense val="0"/>
        <extend val="0"/>
        <outline val="0"/>
        <shadow val="0"/>
        <u val="none"/>
        <vertAlign val="baseline"/>
        <sz val="11"/>
        <color theme="1"/>
        <name val="Calibri"/>
        <scheme val="minor"/>
      </font>
      <fill>
        <patternFill patternType="solid">
          <fgColor indexed="64"/>
          <bgColor theme="0"/>
        </patternFill>
      </fill>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dxf>
    <dxf>
      <font>
        <strike val="0"/>
        <outline val="0"/>
        <shadow val="0"/>
        <u val="none"/>
        <vertAlign val="baseline"/>
        <sz val="11"/>
        <color theme="1"/>
        <name val="Calibri"/>
        <scheme val="minor"/>
      </font>
      <fill>
        <patternFill>
          <fgColor indexed="64"/>
          <bgColor theme="0"/>
        </patternFill>
      </fill>
    </dxf>
    <dxf>
      <numFmt numFmtId="0" formatCode="General"/>
    </dxf>
    <dxf>
      <fill>
        <patternFill patternType="solid">
          <fgColor indexed="64"/>
          <bgColor rgb="FFFF0000"/>
        </patternFill>
      </fill>
    </dxf>
    <dxf>
      <numFmt numFmtId="0" formatCode="General"/>
      <fill>
        <patternFill patternType="solid">
          <fgColor indexed="64"/>
          <bgColor rgb="FFFF0000"/>
        </patternFill>
      </fill>
    </dxf>
    <dxf>
      <numFmt numFmtId="0" formatCode="General"/>
      <fill>
        <patternFill patternType="solid">
          <fgColor indexed="64"/>
          <bgColor rgb="FFFF0000"/>
        </patternFill>
      </fill>
    </dxf>
    <dxf>
      <numFmt numFmtId="0" formatCode="General"/>
      <fill>
        <patternFill patternType="solid">
          <fgColor indexed="64"/>
          <bgColor rgb="FFFF0000"/>
        </patternFill>
      </fill>
    </dxf>
    <dxf>
      <numFmt numFmtId="0" formatCode="General"/>
      <fill>
        <patternFill patternType="solid">
          <fgColor indexed="64"/>
          <bgColor rgb="FFFF0000"/>
        </patternFill>
      </fill>
    </dxf>
    <dxf>
      <numFmt numFmtId="0" formatCode="General"/>
    </dxf>
    <dxf>
      <numFmt numFmtId="0" formatCode="General"/>
      <fill>
        <patternFill patternType="solid">
          <fgColor indexed="64"/>
          <bgColor rgb="FFFF0000"/>
        </patternFill>
      </fill>
    </dxf>
    <dxf>
      <numFmt numFmtId="0" formatCode="General"/>
      <fill>
        <patternFill patternType="solid">
          <fgColor indexed="64"/>
          <bgColor rgb="FFFF0000"/>
        </patternFill>
      </fill>
    </dxf>
    <dxf>
      <numFmt numFmtId="0" formatCode="General"/>
    </dxf>
    <dxf>
      <numFmt numFmtId="0" formatCode="General"/>
    </dxf>
    <dxf>
      <numFmt numFmtId="0" formatCode="General"/>
    </dxf>
    <dxf>
      <font>
        <b/>
        <i/>
        <strike val="0"/>
        <condense val="0"/>
        <extend val="0"/>
        <outline val="0"/>
        <shadow val="0"/>
        <u val="none"/>
        <vertAlign val="baseline"/>
        <sz val="11"/>
        <color theme="0" tint="-4.9989318521683403E-2"/>
        <name val="Calibri"/>
        <scheme val="minor"/>
      </font>
      <fill>
        <patternFill patternType="solid">
          <fgColor indexed="64"/>
          <bgColor theme="4"/>
        </patternFill>
      </fill>
      <alignment horizontal="center" vertical="bottom" textRotation="0" wrapText="0" indent="0" justifyLastLine="0" shrinkToFit="0" readingOrder="0"/>
    </dxf>
  </dxfs>
  <tableStyles count="0" defaultTableStyle="TableStyleMedium2" defaultPivotStyle="PivotStyleLight16"/>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drawings/drawing1.xml><?xml version="1.0" encoding="utf-8"?>
<xdr:wsDr xmlns:xdr="http://schemas.openxmlformats.org/drawingml/2006/spreadsheetDrawing" xmlns:a="http://schemas.openxmlformats.org/drawingml/2006/main">
  <xdr:twoCellAnchor>
    <xdr:from>
      <xdr:col>0</xdr:col>
      <xdr:colOff>171450</xdr:colOff>
      <xdr:row>0</xdr:row>
      <xdr:rowOff>190499</xdr:rowOff>
    </xdr:from>
    <xdr:to>
      <xdr:col>8</xdr:col>
      <xdr:colOff>600075</xdr:colOff>
      <xdr:row>45</xdr:row>
      <xdr:rowOff>114300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71450" y="190499"/>
          <a:ext cx="5305425" cy="84963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CA" sz="1100" b="1" u="sng">
              <a:solidFill>
                <a:sysClr val="windowText" lastClr="000000"/>
              </a:solidFill>
            </a:rPr>
            <a:t>Ownership and Liability</a:t>
          </a:r>
        </a:p>
        <a:p>
          <a:pPr algn="just"/>
          <a:endParaRPr lang="en-CA" sz="1100"/>
        </a:p>
        <a:p>
          <a:pPr algn="just"/>
          <a:r>
            <a:rPr lang="en-CA" sz="1100">
              <a:solidFill>
                <a:schemeClr val="dk1"/>
              </a:solidFill>
              <a:effectLst/>
              <a:latin typeface="+mn-lt"/>
              <a:ea typeface="+mn-ea"/>
              <a:cs typeface="+mn-cs"/>
            </a:rPr>
            <a:t>PharmBot®</a:t>
          </a:r>
          <a:r>
            <a:rPr lang="en-CA" sz="1100" baseline="0">
              <a:solidFill>
                <a:schemeClr val="dk1"/>
              </a:solidFill>
              <a:effectLst/>
              <a:latin typeface="+mn-lt"/>
              <a:ea typeface="+mn-ea"/>
              <a:cs typeface="+mn-cs"/>
            </a:rPr>
            <a:t> includes any data base, decision-tree or algorithm for use by the general public or health professionals in the selection, recommendation or suggestion of over-the-counter non-prescription health care products. </a:t>
          </a:r>
          <a:r>
            <a:rPr lang="en-CA" sz="1100"/>
            <a:t>PharmBot® remains</a:t>
          </a:r>
          <a:r>
            <a:rPr lang="en-CA" sz="1100" baseline="0"/>
            <a:t> the sole property of its creator and is protected by patent laws within Canada, the United States and Internationally. Any applications, tools, software, websites or technologies derived and employing Pharmbot®, </a:t>
          </a:r>
          <a:r>
            <a:rPr lang="en-CA" sz="1100" baseline="0">
              <a:solidFill>
                <a:schemeClr val="dk1"/>
              </a:solidFill>
              <a:effectLst/>
              <a:latin typeface="+mn-lt"/>
              <a:ea typeface="+mn-ea"/>
              <a:cs typeface="+mn-cs"/>
            </a:rPr>
            <a:t>Pharmbot® </a:t>
          </a:r>
          <a:r>
            <a:rPr lang="en-CA" sz="1100" baseline="0"/>
            <a:t>data and/or algorithms dervied from Pharmbot® are the sole property of Pharmbot® creator or liscenced under agreement. Subscription to </a:t>
          </a:r>
          <a:r>
            <a:rPr lang="en-CA" sz="1100">
              <a:solidFill>
                <a:schemeClr val="dk1"/>
              </a:solidFill>
              <a:effectLst/>
              <a:latin typeface="+mn-lt"/>
              <a:ea typeface="+mn-ea"/>
              <a:cs typeface="+mn-cs"/>
            </a:rPr>
            <a:t>PharmBot® App is for individual</a:t>
          </a:r>
          <a:r>
            <a:rPr lang="en-CA" sz="1100" baseline="0">
              <a:solidFill>
                <a:schemeClr val="dk1"/>
              </a:solidFill>
              <a:effectLst/>
              <a:latin typeface="+mn-lt"/>
              <a:ea typeface="+mn-ea"/>
              <a:cs typeface="+mn-cs"/>
            </a:rPr>
            <a:t> and/or household </a:t>
          </a:r>
          <a:r>
            <a:rPr lang="en-CA" sz="1100">
              <a:solidFill>
                <a:schemeClr val="dk1"/>
              </a:solidFill>
              <a:effectLst/>
              <a:latin typeface="+mn-lt"/>
              <a:ea typeface="+mn-ea"/>
              <a:cs typeface="+mn-cs"/>
            </a:rPr>
            <a:t>use</a:t>
          </a:r>
          <a:r>
            <a:rPr lang="en-CA" sz="1100" baseline="0">
              <a:solidFill>
                <a:schemeClr val="dk1"/>
              </a:solidFill>
              <a:effectLst/>
              <a:latin typeface="+mn-lt"/>
              <a:ea typeface="+mn-ea"/>
              <a:cs typeface="+mn-cs"/>
            </a:rPr>
            <a:t> only. </a:t>
          </a:r>
          <a:r>
            <a:rPr lang="en-CA" sz="1100" baseline="0"/>
            <a:t>Violation of these terms and conditions is subject to prosecution under law. Patents pending.</a:t>
          </a:r>
        </a:p>
        <a:p>
          <a:pPr algn="just"/>
          <a:endParaRPr lang="en-CA" sz="1100" baseline="0"/>
        </a:p>
        <a:p>
          <a:pPr algn="just"/>
          <a:r>
            <a:rPr lang="en-CA" sz="1100" b="1" u="sng" baseline="0"/>
            <a:t>Conditions and Terms of Use</a:t>
          </a:r>
        </a:p>
        <a:p>
          <a:pPr algn="just"/>
          <a:endParaRPr lang="en-CA" sz="1100" baseline="0"/>
        </a:p>
        <a:p>
          <a:pPr algn="just"/>
          <a:r>
            <a:rPr lang="en-CA" sz="1100"/>
            <a:t>Pharmbot®</a:t>
          </a:r>
          <a:r>
            <a:rPr lang="en-CA" sz="1100" baseline="0"/>
            <a:t>, technologies liscensed under Pharmbot® and Pharmbot® creator are not responsible or liable for any individual health outcomes. Pharmabot®, liscensed Pharmbot® technologies and Pharmbot® creator do not suggest, recommend, encourage or prescribe the use of any product(s) to any individual(s). Use of Pharmbot® and derived technologies is for educational and entertainment purposes only. Health outcomes are the sole responsibility of individuals and their respective healthcare practionner(s). Consult your healthcare provider for individual health concerns. Pharmbot®, Pharmbot® liscensed technologies and Pharmbot® do not assume liability for any individual health or health outcomes. Use of Pharmbot® and liscensed technologies implies agreement with these terms and conditions of use.  Use at your own risk.</a:t>
          </a:r>
        </a:p>
        <a:p>
          <a:pPr algn="just"/>
          <a:endParaRPr lang="en-CA" sz="1100" baseline="0"/>
        </a:p>
        <a:p>
          <a:pPr algn="just"/>
          <a:r>
            <a:rPr lang="en-CA" sz="1100" b="1" u="sng" baseline="0"/>
            <a:t>Products and Medication Access</a:t>
          </a:r>
        </a:p>
        <a:p>
          <a:pPr algn="just"/>
          <a:endParaRPr lang="en-CA" sz="1100" baseline="0"/>
        </a:p>
        <a:p>
          <a:pPr algn="just"/>
          <a:r>
            <a:rPr lang="en-CA" sz="1100"/>
            <a:t>Products described within</a:t>
          </a:r>
          <a:r>
            <a:rPr lang="en-CA" sz="1100" baseline="0"/>
            <a:t> </a:t>
          </a:r>
          <a:r>
            <a:rPr lang="en-CA" sz="1100" baseline="0">
              <a:solidFill>
                <a:schemeClr val="dk1"/>
              </a:solidFill>
              <a:effectLst/>
              <a:latin typeface="+mn-lt"/>
              <a:ea typeface="+mn-ea"/>
              <a:cs typeface="+mn-cs"/>
            </a:rPr>
            <a:t>Pharmbot® database are trade marks or registered trademarks subject to regulations and legislation within your local jurisdication. Consult your healthcare practionner and/or pharmacist for use, access and/or purchase of products. Read product labels and follow directions for use. If symptoms persist, consult your healthcare provider.</a:t>
          </a:r>
        </a:p>
        <a:p>
          <a:pPr algn="just"/>
          <a:endParaRPr lang="en-CA" sz="1100" baseline="0">
            <a:solidFill>
              <a:schemeClr val="dk1"/>
            </a:solidFill>
            <a:effectLst/>
            <a:latin typeface="+mn-lt"/>
            <a:ea typeface="+mn-ea"/>
            <a:cs typeface="+mn-cs"/>
          </a:endParaRPr>
        </a:p>
        <a:p>
          <a:pPr algn="just"/>
          <a:r>
            <a:rPr lang="en-CA" sz="1100" b="1" u="sng">
              <a:solidFill>
                <a:schemeClr val="dk1"/>
              </a:solidFill>
              <a:effectLst/>
              <a:latin typeface="+mn-lt"/>
              <a:ea typeface="+mn-ea"/>
              <a:cs typeface="+mn-cs"/>
            </a:rPr>
            <a:t>Communication and</a:t>
          </a:r>
          <a:r>
            <a:rPr lang="en-CA" sz="1100" b="1" u="sng" baseline="0">
              <a:solidFill>
                <a:schemeClr val="dk1"/>
              </a:solidFill>
              <a:effectLst/>
              <a:latin typeface="+mn-lt"/>
              <a:ea typeface="+mn-ea"/>
              <a:cs typeface="+mn-cs"/>
            </a:rPr>
            <a:t> Contact Information</a:t>
          </a:r>
        </a:p>
        <a:p>
          <a:pPr algn="just"/>
          <a:endParaRPr lang="en-CA" sz="1100" baseline="0">
            <a:solidFill>
              <a:schemeClr val="dk1"/>
            </a:solidFill>
            <a:effectLst/>
            <a:latin typeface="+mn-lt"/>
            <a:ea typeface="+mn-ea"/>
            <a:cs typeface="+mn-cs"/>
          </a:endParaRPr>
        </a:p>
        <a:p>
          <a:pPr algn="just"/>
          <a:r>
            <a:rPr lang="en-CA" sz="1100">
              <a:solidFill>
                <a:schemeClr val="dk1"/>
              </a:solidFill>
              <a:effectLst/>
              <a:latin typeface="+mn-lt"/>
              <a:ea typeface="+mn-ea"/>
              <a:cs typeface="+mn-cs"/>
            </a:rPr>
            <a:t>PharmBot®</a:t>
          </a:r>
          <a:r>
            <a:rPr lang="en-CA" sz="1100" baseline="0">
              <a:solidFill>
                <a:schemeClr val="dk1"/>
              </a:solidFill>
              <a:effectLst/>
              <a:latin typeface="+mn-lt"/>
              <a:ea typeface="+mn-ea"/>
              <a:cs typeface="+mn-cs"/>
            </a:rPr>
            <a:t> and its products are under regular review and updates in order to remain current with products available to consumers and patients. </a:t>
          </a:r>
          <a:r>
            <a:rPr lang="en-CA" sz="1100">
              <a:solidFill>
                <a:schemeClr val="dk1"/>
              </a:solidFill>
              <a:effectLst/>
              <a:latin typeface="+mn-lt"/>
              <a:ea typeface="+mn-ea"/>
              <a:cs typeface="+mn-cs"/>
            </a:rPr>
            <a:t>PharmBot® e</a:t>
          </a:r>
          <a:r>
            <a:rPr lang="en-CA" sz="1100" baseline="0">
              <a:solidFill>
                <a:schemeClr val="dk1"/>
              </a:solidFill>
              <a:effectLst/>
              <a:latin typeface="+mn-lt"/>
              <a:ea typeface="+mn-ea"/>
              <a:cs typeface="+mn-cs"/>
            </a:rPr>
            <a:t>ncourages users to submit products for review, addition and/or report any discrepancies. </a:t>
          </a:r>
          <a:r>
            <a:rPr lang="en-CA" sz="1100">
              <a:solidFill>
                <a:schemeClr val="dk1"/>
              </a:solidFill>
              <a:effectLst/>
              <a:latin typeface="+mn-lt"/>
              <a:ea typeface="+mn-ea"/>
              <a:cs typeface="+mn-cs"/>
            </a:rPr>
            <a:t>PharmBot® team can be contact by email at wello85@hotmail.com</a:t>
          </a:r>
        </a:p>
        <a:p>
          <a:pPr algn="just"/>
          <a:r>
            <a:rPr lang="en-CA" sz="1100" baseline="0">
              <a:solidFill>
                <a:schemeClr val="dk1"/>
              </a:solidFill>
              <a:effectLst/>
              <a:latin typeface="+mn-lt"/>
              <a:ea typeface="+mn-ea"/>
              <a:cs typeface="+mn-cs"/>
            </a:rPr>
            <a:t>   </a:t>
          </a:r>
          <a:endParaRPr lang="en-CA"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104775</xdr:colOff>
      <xdr:row>0</xdr:row>
      <xdr:rowOff>66676</xdr:rowOff>
    </xdr:from>
    <xdr:to>
      <xdr:col>8</xdr:col>
      <xdr:colOff>466725</xdr:colOff>
      <xdr:row>9</xdr:row>
      <xdr:rowOff>142875</xdr:rowOff>
    </xdr:to>
    <xdr:sp macro="" textlink="">
      <xdr:nvSpPr>
        <xdr:cNvPr id="2" name="TextBox 1">
          <a:extLst>
            <a:ext uri="{FF2B5EF4-FFF2-40B4-BE49-F238E27FC236}">
              <a16:creationId xmlns:a16="http://schemas.microsoft.com/office/drawing/2014/main" id="{00000000-0008-0000-1100-000002000000}"/>
            </a:ext>
          </a:extLst>
        </xdr:cNvPr>
        <xdr:cNvSpPr txBox="1"/>
      </xdr:nvSpPr>
      <xdr:spPr>
        <a:xfrm>
          <a:off x="8353425" y="66676"/>
          <a:ext cx="2190750" cy="18764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Gastrointestinal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5</xdr:col>
      <xdr:colOff>123826</xdr:colOff>
      <xdr:row>10</xdr:row>
      <xdr:rowOff>104774</xdr:rowOff>
    </xdr:from>
    <xdr:to>
      <xdr:col>13</xdr:col>
      <xdr:colOff>180976</xdr:colOff>
      <xdr:row>19</xdr:row>
      <xdr:rowOff>85725</xdr:rowOff>
    </xdr:to>
    <xdr:sp macro="" textlink="">
      <xdr:nvSpPr>
        <xdr:cNvPr id="3" name="TextBox 2">
          <a:extLst>
            <a:ext uri="{FF2B5EF4-FFF2-40B4-BE49-F238E27FC236}">
              <a16:creationId xmlns:a16="http://schemas.microsoft.com/office/drawing/2014/main" id="{00000000-0008-0000-1100-000003000000}"/>
            </a:ext>
          </a:extLst>
        </xdr:cNvPr>
        <xdr:cNvSpPr txBox="1"/>
      </xdr:nvSpPr>
      <xdr:spPr>
        <a:xfrm>
          <a:off x="8372476" y="2105024"/>
          <a:ext cx="4933950" cy="1590676"/>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a:t>
          </a:r>
          <a:r>
            <a:rPr lang="en-CA" sz="1100" baseline="0"/>
            <a:t> if experiencing abdominal pain in addition to difficulty swallowing, weight loss (&gt;3kg over 6 months), persistent vomitting, bleeding, bloody vomit, dark or bloody stools, fever, chills, anemia, dramatic symptom change or worsening symptoms, localized moderate/severe pain with tenderness, abdominal or rectal mass, drug-induced causes, recent abdominal surgery, alternating diarrhea and constipation or comorbid disease including advanced age, diabetes, heart failure, immunosuppression, eating disorder or renal insufficiency.</a:t>
          </a:r>
          <a:endParaRPr lang="en-CA"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19050</xdr:colOff>
      <xdr:row>0</xdr:row>
      <xdr:rowOff>76200</xdr:rowOff>
    </xdr:from>
    <xdr:to>
      <xdr:col>12</xdr:col>
      <xdr:colOff>361950</xdr:colOff>
      <xdr:row>7</xdr:row>
      <xdr:rowOff>152400</xdr:rowOff>
    </xdr:to>
    <xdr:sp macro="" textlink="">
      <xdr:nvSpPr>
        <xdr:cNvPr id="2" name="TextBox 1">
          <a:extLst>
            <a:ext uri="{FF2B5EF4-FFF2-40B4-BE49-F238E27FC236}">
              <a16:creationId xmlns:a16="http://schemas.microsoft.com/office/drawing/2014/main" id="{00000000-0008-0000-1300-000002000000}"/>
            </a:ext>
          </a:extLst>
        </xdr:cNvPr>
        <xdr:cNvSpPr txBox="1"/>
      </xdr:nvSpPr>
      <xdr:spPr>
        <a:xfrm>
          <a:off x="7248525" y="76200"/>
          <a:ext cx="4000500" cy="1476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Select only the most relavent questions (especially white questions) as final options may be limited. Proceed to </a:t>
          </a:r>
          <a:r>
            <a:rPr lang="en-CA" sz="1400" u="sng" baseline="0"/>
            <a:t>Eye Drop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6</xdr:col>
      <xdr:colOff>0</xdr:colOff>
      <xdr:row>8</xdr:row>
      <xdr:rowOff>19050</xdr:rowOff>
    </xdr:from>
    <xdr:to>
      <xdr:col>12</xdr:col>
      <xdr:colOff>381000</xdr:colOff>
      <xdr:row>18</xdr:row>
      <xdr:rowOff>171450</xdr:rowOff>
    </xdr:to>
    <xdr:sp macro="" textlink="">
      <xdr:nvSpPr>
        <xdr:cNvPr id="3" name="TextBox 2">
          <a:extLst>
            <a:ext uri="{FF2B5EF4-FFF2-40B4-BE49-F238E27FC236}">
              <a16:creationId xmlns:a16="http://schemas.microsoft.com/office/drawing/2014/main" id="{00000000-0008-0000-1300-000003000000}"/>
            </a:ext>
          </a:extLst>
        </xdr:cNvPr>
        <xdr:cNvSpPr txBox="1"/>
      </xdr:nvSpPr>
      <xdr:spPr>
        <a:xfrm>
          <a:off x="7229475" y="1619250"/>
          <a:ext cx="4038600" cy="214312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a:t>
          </a:r>
          <a:r>
            <a:rPr lang="en-CA" sz="1100" baseline="0"/>
            <a:t> or emergency care provider if experiencing eye pain, disturbances of vision, light sensitivity, trauma, chemical exposure, imbedded foreign body, eye protrusion or regularly wear contact lens. Refer to your physician for worsening symptoms or symptoms persisting more than 48 hours. Eye drops are highly complex susbstances with individual efficacy depending on product </a:t>
          </a:r>
          <a:r>
            <a:rPr lang="en-CA" sz="1100" baseline="0">
              <a:solidFill>
                <a:schemeClr val="dk1"/>
              </a:solidFill>
              <a:effectLst/>
              <a:latin typeface="+mn-lt"/>
              <a:ea typeface="+mn-ea"/>
              <a:cs typeface="+mn-cs"/>
            </a:rPr>
            <a:t>composition and concentration of </a:t>
          </a:r>
          <a:r>
            <a:rPr lang="en-CA" sz="1100" baseline="0"/>
            <a:t>specific electrolytes (potassium and bicarbonate) , solvents, viscosity agents, preservatives and cytotoxic additives. Effective therapy may require a trial and error approach. Products should be used for 1-2 wk trials assessing subjective efficacy including symptom improvement and patient comfort.   </a:t>
          </a:r>
          <a:endParaRPr lang="en-CA"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57149</xdr:colOff>
      <xdr:row>0</xdr:row>
      <xdr:rowOff>66678</xdr:rowOff>
    </xdr:from>
    <xdr:to>
      <xdr:col>8</xdr:col>
      <xdr:colOff>66675</xdr:colOff>
      <xdr:row>7</xdr:row>
      <xdr:rowOff>114301</xdr:rowOff>
    </xdr:to>
    <xdr:sp macro="" textlink="">
      <xdr:nvSpPr>
        <xdr:cNvPr id="2" name="TextBox 1">
          <a:extLst>
            <a:ext uri="{FF2B5EF4-FFF2-40B4-BE49-F238E27FC236}">
              <a16:creationId xmlns:a16="http://schemas.microsoft.com/office/drawing/2014/main" id="{00000000-0008-0000-1500-000002000000}"/>
            </a:ext>
          </a:extLst>
        </xdr:cNvPr>
        <xdr:cNvSpPr txBox="1"/>
      </xdr:nvSpPr>
      <xdr:spPr>
        <a:xfrm>
          <a:off x="4705349" y="66678"/>
          <a:ext cx="3057526" cy="14477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Medicated Shampoo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57151</xdr:colOff>
      <xdr:row>8</xdr:row>
      <xdr:rowOff>19050</xdr:rowOff>
    </xdr:from>
    <xdr:to>
      <xdr:col>8</xdr:col>
      <xdr:colOff>66675</xdr:colOff>
      <xdr:row>14</xdr:row>
      <xdr:rowOff>180975</xdr:rowOff>
    </xdr:to>
    <xdr:sp macro="" textlink="">
      <xdr:nvSpPr>
        <xdr:cNvPr id="3" name="TextBox 2">
          <a:extLst>
            <a:ext uri="{FF2B5EF4-FFF2-40B4-BE49-F238E27FC236}">
              <a16:creationId xmlns:a16="http://schemas.microsoft.com/office/drawing/2014/main" id="{00000000-0008-0000-1500-000003000000}"/>
            </a:ext>
          </a:extLst>
        </xdr:cNvPr>
        <xdr:cNvSpPr txBox="1"/>
      </xdr:nvSpPr>
      <xdr:spPr>
        <a:xfrm>
          <a:off x="4705351" y="1619250"/>
          <a:ext cx="3057524" cy="136207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100" b="1"/>
            <a:t>***NOTE*** </a:t>
          </a:r>
          <a:r>
            <a:rPr lang="en-CA" sz="1100"/>
            <a:t>Consult your physician if unsure</a:t>
          </a:r>
          <a:r>
            <a:rPr lang="en-CA" sz="1100" baseline="0"/>
            <a:t> you have dandruff/seborrhea, if sudden symptoms present in a young patient, immunosuppression is suspected, unresponsive to therapy or if symptoms are widespread/generalized. Non-prescription therapy may require 2-4 wks of treatment for noticable benefit. </a:t>
          </a:r>
          <a:endParaRPr lang="en-CA"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66675</xdr:colOff>
      <xdr:row>0</xdr:row>
      <xdr:rowOff>9525</xdr:rowOff>
    </xdr:from>
    <xdr:to>
      <xdr:col>7</xdr:col>
      <xdr:colOff>133350</xdr:colOff>
      <xdr:row>8</xdr:row>
      <xdr:rowOff>38098</xdr:rowOff>
    </xdr:to>
    <xdr:sp macro="" textlink="">
      <xdr:nvSpPr>
        <xdr:cNvPr id="2" name="TextBox 1">
          <a:extLst>
            <a:ext uri="{FF2B5EF4-FFF2-40B4-BE49-F238E27FC236}">
              <a16:creationId xmlns:a16="http://schemas.microsoft.com/office/drawing/2014/main" id="{00000000-0008-0000-1700-000002000000}"/>
            </a:ext>
          </a:extLst>
        </xdr:cNvPr>
        <xdr:cNvSpPr txBox="1"/>
      </xdr:nvSpPr>
      <xdr:spPr>
        <a:xfrm>
          <a:off x="3810000" y="9525"/>
          <a:ext cx="2505075" cy="1628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Dry Skin Products </a:t>
          </a:r>
          <a:r>
            <a:rPr lang="en-CA" sz="1400" baseline="0"/>
            <a:t>page and consider </a:t>
          </a:r>
          <a:r>
            <a:rPr lang="en-CA" sz="1400" b="1" baseline="0">
              <a:solidFill>
                <a:srgbClr val="FF0000"/>
              </a:solidFill>
            </a:rPr>
            <a:t>1 or more </a:t>
          </a:r>
          <a:r>
            <a:rPr lang="en-CA" sz="1400" u="sng" baseline="0"/>
            <a:t>Products</a:t>
          </a:r>
          <a:r>
            <a:rPr lang="en-CA" sz="1400" baseline="0"/>
            <a:t>. Consult your pharmacist if further assistance needed. </a:t>
          </a:r>
          <a:endParaRPr lang="en-CA" sz="1400"/>
        </a:p>
      </xdr:txBody>
    </xdr:sp>
    <xdr:clientData/>
  </xdr:twoCellAnchor>
  <xdr:twoCellAnchor>
    <xdr:from>
      <xdr:col>3</xdr:col>
      <xdr:colOff>66675</xdr:colOff>
      <xdr:row>8</xdr:row>
      <xdr:rowOff>200024</xdr:rowOff>
    </xdr:from>
    <xdr:to>
      <xdr:col>8</xdr:col>
      <xdr:colOff>76200</xdr:colOff>
      <xdr:row>18</xdr:row>
      <xdr:rowOff>0</xdr:rowOff>
    </xdr:to>
    <xdr:sp macro="" textlink="">
      <xdr:nvSpPr>
        <xdr:cNvPr id="3" name="TextBox 2">
          <a:extLst>
            <a:ext uri="{FF2B5EF4-FFF2-40B4-BE49-F238E27FC236}">
              <a16:creationId xmlns:a16="http://schemas.microsoft.com/office/drawing/2014/main" id="{00000000-0008-0000-1700-000003000000}"/>
            </a:ext>
          </a:extLst>
        </xdr:cNvPr>
        <xdr:cNvSpPr txBox="1"/>
      </xdr:nvSpPr>
      <xdr:spPr>
        <a:xfrm>
          <a:off x="3810000" y="1800224"/>
          <a:ext cx="3057525" cy="1866901"/>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100" b="1"/>
            <a:t>***NOTE*** </a:t>
          </a:r>
          <a:r>
            <a:rPr lang="en-CA" sz="1100"/>
            <a:t>Consult your phyisician if</a:t>
          </a:r>
          <a:r>
            <a:rPr lang="en-CA" sz="1100" baseline="0"/>
            <a:t> suspect dry skin/xeroderma resulting from medication or medical condition. Consult your physician if severe itching and inflammation are present and when flexural areas, neck, feet or large surface areas are involved. Consult your physician if signs of infection present or dry skin affecting a child less than 2 years old. Consult your physician if less than 50% improvement or worsening dry skin following 7-10 days of non-prescription therapy.</a:t>
          </a:r>
          <a:endParaRPr lang="en-CA"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38100</xdr:rowOff>
    </xdr:from>
    <xdr:to>
      <xdr:col>6</xdr:col>
      <xdr:colOff>409575</xdr:colOff>
      <xdr:row>8</xdr:row>
      <xdr:rowOff>104775</xdr:rowOff>
    </xdr:to>
    <xdr:sp macro="" textlink="">
      <xdr:nvSpPr>
        <xdr:cNvPr id="2" name="TextBox 1">
          <a:extLst>
            <a:ext uri="{FF2B5EF4-FFF2-40B4-BE49-F238E27FC236}">
              <a16:creationId xmlns:a16="http://schemas.microsoft.com/office/drawing/2014/main" id="{00000000-0008-0000-1900-000002000000}"/>
            </a:ext>
          </a:extLst>
        </xdr:cNvPr>
        <xdr:cNvSpPr txBox="1"/>
      </xdr:nvSpPr>
      <xdr:spPr>
        <a:xfrm>
          <a:off x="5562600" y="38100"/>
          <a:ext cx="2190750" cy="1666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Wart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0</xdr:col>
      <xdr:colOff>66674</xdr:colOff>
      <xdr:row>9</xdr:row>
      <xdr:rowOff>171451</xdr:rowOff>
    </xdr:from>
    <xdr:to>
      <xdr:col>6</xdr:col>
      <xdr:colOff>390524</xdr:colOff>
      <xdr:row>14</xdr:row>
      <xdr:rowOff>19050</xdr:rowOff>
    </xdr:to>
    <xdr:sp macro="" textlink="">
      <xdr:nvSpPr>
        <xdr:cNvPr id="3" name="TextBox 2">
          <a:extLst>
            <a:ext uri="{FF2B5EF4-FFF2-40B4-BE49-F238E27FC236}">
              <a16:creationId xmlns:a16="http://schemas.microsoft.com/office/drawing/2014/main" id="{00000000-0008-0000-1900-000003000000}"/>
            </a:ext>
          </a:extLst>
        </xdr:cNvPr>
        <xdr:cNvSpPr txBox="1"/>
      </xdr:nvSpPr>
      <xdr:spPr>
        <a:xfrm>
          <a:off x="66674" y="1771651"/>
          <a:ext cx="7667625" cy="800099"/>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a:t>
          </a:r>
          <a:r>
            <a:rPr lang="en-CA" sz="1100" baseline="0"/>
            <a:t> if uncertain a lesion is a wart. Consult your physician should a wart lesion show a change in colour, appearance or pain. Consult your physician prior to treating a lesion that appears inflamed, irritated, infected or hairy. Consult your physician for warts located on the face, genitals or muscous membranes. Over-the-counter wart treatments should not be applied to moles or birth marks.   </a:t>
          </a:r>
          <a:endParaRPr lang="en-CA"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47625</xdr:colOff>
      <xdr:row>0</xdr:row>
      <xdr:rowOff>66675</xdr:rowOff>
    </xdr:from>
    <xdr:to>
      <xdr:col>6</xdr:col>
      <xdr:colOff>409575</xdr:colOff>
      <xdr:row>10</xdr:row>
      <xdr:rowOff>180975</xdr:rowOff>
    </xdr:to>
    <xdr:sp macro="" textlink="">
      <xdr:nvSpPr>
        <xdr:cNvPr id="2" name="TextBox 1">
          <a:extLst>
            <a:ext uri="{FF2B5EF4-FFF2-40B4-BE49-F238E27FC236}">
              <a16:creationId xmlns:a16="http://schemas.microsoft.com/office/drawing/2014/main" id="{00000000-0008-0000-1B00-000002000000}"/>
            </a:ext>
          </a:extLst>
        </xdr:cNvPr>
        <xdr:cNvSpPr txBox="1"/>
      </xdr:nvSpPr>
      <xdr:spPr>
        <a:xfrm>
          <a:off x="4876800" y="66675"/>
          <a:ext cx="2190750" cy="1914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Anti-Infection Skin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0</xdr:col>
      <xdr:colOff>66675</xdr:colOff>
      <xdr:row>12</xdr:row>
      <xdr:rowOff>133350</xdr:rowOff>
    </xdr:from>
    <xdr:to>
      <xdr:col>6</xdr:col>
      <xdr:colOff>390525</xdr:colOff>
      <xdr:row>19</xdr:row>
      <xdr:rowOff>123825</xdr:rowOff>
    </xdr:to>
    <xdr:sp macro="" textlink="">
      <xdr:nvSpPr>
        <xdr:cNvPr id="3" name="TextBox 2">
          <a:extLst>
            <a:ext uri="{FF2B5EF4-FFF2-40B4-BE49-F238E27FC236}">
              <a16:creationId xmlns:a16="http://schemas.microsoft.com/office/drawing/2014/main" id="{00000000-0008-0000-1B00-000003000000}"/>
            </a:ext>
          </a:extLst>
        </xdr:cNvPr>
        <xdr:cNvSpPr txBox="1"/>
      </xdr:nvSpPr>
      <xdr:spPr>
        <a:xfrm>
          <a:off x="66675" y="2733675"/>
          <a:ext cx="6981825" cy="132397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a:t>
          </a:r>
          <a:r>
            <a:rPr lang="en-CA" sz="1100" baseline="0"/>
            <a:t> if experiencing an infection of unknown or unclear cause. Immunocompromised individuals or those requiring systemic or oral therapy should consult their physician. Consult your physician if you respond poorly or are intolerant of topical therapy.  Consult your physician if experiencing severe, extensive, dissabilitating or inflammatory skin disease. Topical non-prescription antifungal therapy may require 2-4 weeks for benefits while treatment of nail fungal infections may require 6-12 weeks. Non-prescription topical therapy for bacterial infections should be limited to only a few days.</a:t>
          </a:r>
          <a:endParaRPr lang="en-CA"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28575</xdr:colOff>
      <xdr:row>0</xdr:row>
      <xdr:rowOff>38102</xdr:rowOff>
    </xdr:from>
    <xdr:to>
      <xdr:col>6</xdr:col>
      <xdr:colOff>390525</xdr:colOff>
      <xdr:row>8</xdr:row>
      <xdr:rowOff>66676</xdr:rowOff>
    </xdr:to>
    <xdr:sp macro="" textlink="">
      <xdr:nvSpPr>
        <xdr:cNvPr id="2" name="TextBox 1">
          <a:extLst>
            <a:ext uri="{FF2B5EF4-FFF2-40B4-BE49-F238E27FC236}">
              <a16:creationId xmlns:a16="http://schemas.microsoft.com/office/drawing/2014/main" id="{00000000-0008-0000-1D00-000002000000}"/>
            </a:ext>
          </a:extLst>
        </xdr:cNvPr>
        <xdr:cNvSpPr txBox="1"/>
      </xdr:nvSpPr>
      <xdr:spPr>
        <a:xfrm>
          <a:off x="3752850" y="38102"/>
          <a:ext cx="2190750" cy="16287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Acne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28575</xdr:colOff>
      <xdr:row>8</xdr:row>
      <xdr:rowOff>161925</xdr:rowOff>
    </xdr:from>
    <xdr:to>
      <xdr:col>11</xdr:col>
      <xdr:colOff>85725</xdr:colOff>
      <xdr:row>15</xdr:row>
      <xdr:rowOff>76199</xdr:rowOff>
    </xdr:to>
    <xdr:sp macro="" textlink="">
      <xdr:nvSpPr>
        <xdr:cNvPr id="3" name="TextBox 2">
          <a:extLst>
            <a:ext uri="{FF2B5EF4-FFF2-40B4-BE49-F238E27FC236}">
              <a16:creationId xmlns:a16="http://schemas.microsoft.com/office/drawing/2014/main" id="{00000000-0008-0000-1D00-000003000000}"/>
            </a:ext>
          </a:extLst>
        </xdr:cNvPr>
        <xdr:cNvSpPr txBox="1"/>
      </xdr:nvSpPr>
      <xdr:spPr>
        <a:xfrm>
          <a:off x="3752850" y="1762125"/>
          <a:ext cx="4933950" cy="1314449"/>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 for potential drug-induced or endocrine-disease induced acne. Consult</a:t>
          </a:r>
          <a:r>
            <a:rPr lang="en-CA" sz="1100" baseline="0"/>
            <a:t> your physician for moderate to severe acne or for acne non-responsive to 8-12 week over-the-counter therapy. Refer to your physician if acne is causing moderate to severe scarring. Avoid acne triggers, exacerbating factors, moisturizers, oil-based cosmetics and manipulating lesions. Wash areas no more than twice daily with mild nonalkaline soap, control/reduce stress and favor a healthy diet.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4</xdr:col>
      <xdr:colOff>0</xdr:colOff>
      <xdr:row>6</xdr:row>
      <xdr:rowOff>76200</xdr:rowOff>
    </xdr:from>
    <xdr:to>
      <xdr:col>6</xdr:col>
      <xdr:colOff>438150</xdr:colOff>
      <xdr:row>15</xdr:row>
      <xdr:rowOff>9525</xdr:rowOff>
    </xdr:to>
    <xdr:sp macro="" textlink="">
      <xdr:nvSpPr>
        <xdr:cNvPr id="2" name="TextBox 1">
          <a:extLst>
            <a:ext uri="{FF2B5EF4-FFF2-40B4-BE49-F238E27FC236}">
              <a16:creationId xmlns:a16="http://schemas.microsoft.com/office/drawing/2014/main" id="{00000000-0008-0000-1F00-000002000000}"/>
            </a:ext>
          </a:extLst>
        </xdr:cNvPr>
        <xdr:cNvSpPr txBox="1"/>
      </xdr:nvSpPr>
      <xdr:spPr>
        <a:xfrm>
          <a:off x="5619750" y="1076325"/>
          <a:ext cx="2190750" cy="1676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Ear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0</xdr:col>
      <xdr:colOff>85725</xdr:colOff>
      <xdr:row>10</xdr:row>
      <xdr:rowOff>171449</xdr:rowOff>
    </xdr:from>
    <xdr:to>
      <xdr:col>3</xdr:col>
      <xdr:colOff>9525</xdr:colOff>
      <xdr:row>18</xdr:row>
      <xdr:rowOff>0</xdr:rowOff>
    </xdr:to>
    <xdr:sp macro="" textlink="">
      <xdr:nvSpPr>
        <xdr:cNvPr id="3" name="TextBox 2">
          <a:extLst>
            <a:ext uri="{FF2B5EF4-FFF2-40B4-BE49-F238E27FC236}">
              <a16:creationId xmlns:a16="http://schemas.microsoft.com/office/drawing/2014/main" id="{00000000-0008-0000-1F00-000003000000}"/>
            </a:ext>
          </a:extLst>
        </xdr:cNvPr>
        <xdr:cNvSpPr txBox="1"/>
      </xdr:nvSpPr>
      <xdr:spPr>
        <a:xfrm>
          <a:off x="85725" y="1962149"/>
          <a:ext cx="4933950" cy="140017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a:t>
          </a:r>
          <a:r>
            <a:rPr lang="en-CA" sz="1100" baseline="0"/>
            <a:t> if you have had ear surgery in past 6 weeks, have a ruptured tympanic membrane, tympanostomy tubes, dizziness, vertigo or tinnitus. Consult your physician for hearing loss of unknown cause, associated with pain and/or upper respiratory tract infection. Consult your physician for ear pain associated with ear drainage, flying, scuba diving, otitis symptoms (debris, itching, tenderness), presence of foreign body or symptoms persisting more than 2-3 days.</a:t>
          </a:r>
          <a:endParaRPr lang="en-CA"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38100</xdr:colOff>
      <xdr:row>0</xdr:row>
      <xdr:rowOff>47625</xdr:rowOff>
    </xdr:from>
    <xdr:to>
      <xdr:col>6</xdr:col>
      <xdr:colOff>400050</xdr:colOff>
      <xdr:row>9</xdr:row>
      <xdr:rowOff>123825</xdr:rowOff>
    </xdr:to>
    <xdr:sp macro="" textlink="">
      <xdr:nvSpPr>
        <xdr:cNvPr id="2" name="TextBox 1">
          <a:extLst>
            <a:ext uri="{FF2B5EF4-FFF2-40B4-BE49-F238E27FC236}">
              <a16:creationId xmlns:a16="http://schemas.microsoft.com/office/drawing/2014/main" id="{00000000-0008-0000-2100-000002000000}"/>
            </a:ext>
          </a:extLst>
        </xdr:cNvPr>
        <xdr:cNvSpPr txBox="1"/>
      </xdr:nvSpPr>
      <xdr:spPr>
        <a:xfrm>
          <a:off x="4619625" y="47625"/>
          <a:ext cx="2190750" cy="1876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Sun Screen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57150</xdr:colOff>
      <xdr:row>10</xdr:row>
      <xdr:rowOff>66673</xdr:rowOff>
    </xdr:from>
    <xdr:to>
      <xdr:col>10</xdr:col>
      <xdr:colOff>123825</xdr:colOff>
      <xdr:row>20</xdr:row>
      <xdr:rowOff>76199</xdr:rowOff>
    </xdr:to>
    <xdr:sp macro="" textlink="">
      <xdr:nvSpPr>
        <xdr:cNvPr id="3" name="TextBox 2">
          <a:extLst>
            <a:ext uri="{FF2B5EF4-FFF2-40B4-BE49-F238E27FC236}">
              <a16:creationId xmlns:a16="http://schemas.microsoft.com/office/drawing/2014/main" id="{00000000-0008-0000-2100-000003000000}"/>
            </a:ext>
          </a:extLst>
        </xdr:cNvPr>
        <xdr:cNvSpPr txBox="1"/>
      </xdr:nvSpPr>
      <xdr:spPr>
        <a:xfrm>
          <a:off x="4638675" y="2066923"/>
          <a:ext cx="4333875" cy="2000251"/>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a:t>
          </a:r>
          <a:r>
            <a:rPr lang="en-CA" sz="1100" baseline="0"/>
            <a:t> if you have abnormal scaling skin lesions that are crusty, raised, wart-like, erode or bleed, dome-like with shiny surface developing central ulceration. Consult your physician for skin lesions which appear as flat brown or black spots/moles with irregular edges that recently changed in size/pigmentation. Sunscreen use is not recommended in children less than 6 months old and these should avoid sun exposure when possible or use physical protection (shade, clothing to cover exposed areas). Sunscreens of at least SPF 30, avoidance of sun exposure and use of physical protection is recommended for all individuals to reduce skin cancer risk and sun-induced skin damage.</a:t>
          </a:r>
          <a:endParaRPr lang="en-CA" sz="11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3</xdr:col>
      <xdr:colOff>0</xdr:colOff>
      <xdr:row>0</xdr:row>
      <xdr:rowOff>0</xdr:rowOff>
    </xdr:from>
    <xdr:to>
      <xdr:col>6</xdr:col>
      <xdr:colOff>361950</xdr:colOff>
      <xdr:row>9</xdr:row>
      <xdr:rowOff>38100</xdr:rowOff>
    </xdr:to>
    <xdr:sp macro="" textlink="">
      <xdr:nvSpPr>
        <xdr:cNvPr id="2" name="TextBox 1">
          <a:extLst>
            <a:ext uri="{FF2B5EF4-FFF2-40B4-BE49-F238E27FC236}">
              <a16:creationId xmlns:a16="http://schemas.microsoft.com/office/drawing/2014/main" id="{00000000-0008-0000-2300-000002000000}"/>
            </a:ext>
          </a:extLst>
        </xdr:cNvPr>
        <xdr:cNvSpPr txBox="1"/>
      </xdr:nvSpPr>
      <xdr:spPr>
        <a:xfrm>
          <a:off x="5924550" y="0"/>
          <a:ext cx="2190750" cy="1838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Family Planning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104775</xdr:colOff>
      <xdr:row>10</xdr:row>
      <xdr:rowOff>28575</xdr:rowOff>
    </xdr:from>
    <xdr:to>
      <xdr:col>7</xdr:col>
      <xdr:colOff>228600</xdr:colOff>
      <xdr:row>20</xdr:row>
      <xdr:rowOff>123825</xdr:rowOff>
    </xdr:to>
    <xdr:sp macro="" textlink="">
      <xdr:nvSpPr>
        <xdr:cNvPr id="3" name="TextBox 2">
          <a:extLst>
            <a:ext uri="{FF2B5EF4-FFF2-40B4-BE49-F238E27FC236}">
              <a16:creationId xmlns:a16="http://schemas.microsoft.com/office/drawing/2014/main" id="{00000000-0008-0000-2300-000003000000}"/>
            </a:ext>
          </a:extLst>
        </xdr:cNvPr>
        <xdr:cNvSpPr txBox="1"/>
      </xdr:nvSpPr>
      <xdr:spPr>
        <a:xfrm>
          <a:off x="6029325" y="2028825"/>
          <a:ext cx="2562225" cy="2076450"/>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b="0"/>
            <a:t>Some</a:t>
          </a:r>
          <a:r>
            <a:rPr lang="en-CA" sz="1100" b="0" baseline="0"/>
            <a:t> medications such as corticosteroids, fertility drugs as well as hormones including chorionic gonadotropin, estrogen and luteinizing hormone may alter the accuracy of pregnancy and ovulation tests. Consult your physician if you are taking these medications. Consult your physican for post conception and maternity care. Consult your physician following failure to conceive after repeated attemps.    </a:t>
          </a:r>
          <a:endParaRPr lang="en-CA"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66675</xdr:colOff>
      <xdr:row>0</xdr:row>
      <xdr:rowOff>38099</xdr:rowOff>
    </xdr:from>
    <xdr:to>
      <xdr:col>7</xdr:col>
      <xdr:colOff>180975</xdr:colOff>
      <xdr:row>12</xdr:row>
      <xdr:rowOff>190500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4238625" y="38099"/>
          <a:ext cx="2552700" cy="2552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Dry Mouth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r>
            <a:rPr lang="en-CA" sz="1400" baseline="0">
              <a:solidFill>
                <a:srgbClr val="FF0000"/>
              </a:solidFill>
            </a:rPr>
            <a:t>Consider selecting an alternative formulation (spray, wash, gel, patch, lozenge) if your selections lead to no product suggestion</a:t>
          </a:r>
          <a:r>
            <a:rPr lang="en-CA" sz="1400" baseline="0">
              <a:solidFill>
                <a:schemeClr val="dk1"/>
              </a:solidFill>
            </a:rPr>
            <a:t>.</a:t>
          </a:r>
        </a:p>
        <a:p>
          <a:endParaRPr lang="en-CA" sz="1400" baseline="0">
            <a:solidFill>
              <a:srgbClr val="FF0000"/>
            </a:solidFill>
          </a:endParaRPr>
        </a:p>
      </xdr:txBody>
    </xdr:sp>
    <xdr:clientData/>
  </xdr:twoCellAnchor>
  <xdr:twoCellAnchor>
    <xdr:from>
      <xdr:col>7</xdr:col>
      <xdr:colOff>247650</xdr:colOff>
      <xdr:row>0</xdr:row>
      <xdr:rowOff>66674</xdr:rowOff>
    </xdr:from>
    <xdr:to>
      <xdr:col>12</xdr:col>
      <xdr:colOff>361950</xdr:colOff>
      <xdr:row>12</xdr:row>
      <xdr:rowOff>190500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6858000" y="66674"/>
          <a:ext cx="3162300" cy="2524126"/>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CA" sz="1100" b="1"/>
            <a:t>***NOTE*** </a:t>
          </a:r>
          <a:r>
            <a:rPr lang="en-CA" sz="1100" b="0"/>
            <a:t>Consult</a:t>
          </a:r>
          <a:r>
            <a:rPr lang="en-CA" sz="1100" b="0" baseline="0"/>
            <a:t> your physician if dry mouth is severe, ulcerative or painful. Patients with advanced age, depression, Sjogren syndrome, hyperlipidemia, hypertension or uncontrolled diabetes should consult their physician for dry mouth symptoms. Some medications and cancer therapies can lead to dry mouth and should be assessed by a medical professional. Untreated dry mouth may lead to complications including infections, dental cavities and difficulties with speach, taste or nutrition. Frequent water sips, chewing sugarless gum and sucking on ice chips or sugarless hard candies may help alleviate symptoms.  </a:t>
          </a:r>
          <a:endParaRPr lang="en-CA" sz="110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28575</xdr:colOff>
      <xdr:row>0</xdr:row>
      <xdr:rowOff>0</xdr:rowOff>
    </xdr:from>
    <xdr:to>
      <xdr:col>6</xdr:col>
      <xdr:colOff>390525</xdr:colOff>
      <xdr:row>9</xdr:row>
      <xdr:rowOff>57150</xdr:rowOff>
    </xdr:to>
    <xdr:sp macro="" textlink="">
      <xdr:nvSpPr>
        <xdr:cNvPr id="2" name="TextBox 1">
          <a:extLst>
            <a:ext uri="{FF2B5EF4-FFF2-40B4-BE49-F238E27FC236}">
              <a16:creationId xmlns:a16="http://schemas.microsoft.com/office/drawing/2014/main" id="{00000000-0008-0000-2500-000002000000}"/>
            </a:ext>
          </a:extLst>
        </xdr:cNvPr>
        <xdr:cNvSpPr txBox="1"/>
      </xdr:nvSpPr>
      <xdr:spPr>
        <a:xfrm>
          <a:off x="4657725" y="0"/>
          <a:ext cx="2190750" cy="1857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Smoking Cessation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57150</xdr:colOff>
      <xdr:row>9</xdr:row>
      <xdr:rowOff>190499</xdr:rowOff>
    </xdr:from>
    <xdr:to>
      <xdr:col>9</xdr:col>
      <xdr:colOff>504825</xdr:colOff>
      <xdr:row>17</xdr:row>
      <xdr:rowOff>171449</xdr:rowOff>
    </xdr:to>
    <xdr:sp macro="" textlink="">
      <xdr:nvSpPr>
        <xdr:cNvPr id="3" name="TextBox 2">
          <a:extLst>
            <a:ext uri="{FF2B5EF4-FFF2-40B4-BE49-F238E27FC236}">
              <a16:creationId xmlns:a16="http://schemas.microsoft.com/office/drawing/2014/main" id="{00000000-0008-0000-2500-000003000000}"/>
            </a:ext>
          </a:extLst>
        </xdr:cNvPr>
        <xdr:cNvSpPr txBox="1"/>
      </xdr:nvSpPr>
      <xdr:spPr>
        <a:xfrm>
          <a:off x="4686300" y="1990724"/>
          <a:ext cx="4105275" cy="155257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heath</a:t>
          </a:r>
          <a:r>
            <a:rPr lang="en-CA" sz="1100" baseline="0"/>
            <a:t> care provider if you wish to stop smoking and are less than 18 years old, pregnant, nursing, have high blood pressure, heart disease, insulin-dependent diabetes, chronic upset stomach or peptic ulcers. Avoid use of nicotine replacement products if you are allergic or sensitive to any of the ingredients. Consult your physician if you require prescription therapy options. Combination of patch with an as needed product (mist, lozenge, gum) may work best for some heavier smokers. </a:t>
          </a:r>
          <a:endParaRPr lang="en-CA" sz="110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28575</xdr:colOff>
      <xdr:row>0</xdr:row>
      <xdr:rowOff>57150</xdr:rowOff>
    </xdr:from>
    <xdr:to>
      <xdr:col>6</xdr:col>
      <xdr:colOff>390525</xdr:colOff>
      <xdr:row>9</xdr:row>
      <xdr:rowOff>123825</xdr:rowOff>
    </xdr:to>
    <xdr:sp macro="" textlink="">
      <xdr:nvSpPr>
        <xdr:cNvPr id="2" name="TextBox 1">
          <a:extLst>
            <a:ext uri="{FF2B5EF4-FFF2-40B4-BE49-F238E27FC236}">
              <a16:creationId xmlns:a16="http://schemas.microsoft.com/office/drawing/2014/main" id="{00000000-0008-0000-2700-000002000000}"/>
            </a:ext>
          </a:extLst>
        </xdr:cNvPr>
        <xdr:cNvSpPr txBox="1"/>
      </xdr:nvSpPr>
      <xdr:spPr>
        <a:xfrm>
          <a:off x="4705350" y="57150"/>
          <a:ext cx="2190750" cy="186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Blood Pressure Monitor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28575</xdr:colOff>
      <xdr:row>10</xdr:row>
      <xdr:rowOff>0</xdr:rowOff>
    </xdr:from>
    <xdr:to>
      <xdr:col>9</xdr:col>
      <xdr:colOff>476250</xdr:colOff>
      <xdr:row>16</xdr:row>
      <xdr:rowOff>0</xdr:rowOff>
    </xdr:to>
    <xdr:sp macro="" textlink="">
      <xdr:nvSpPr>
        <xdr:cNvPr id="3" name="TextBox 2">
          <a:extLst>
            <a:ext uri="{FF2B5EF4-FFF2-40B4-BE49-F238E27FC236}">
              <a16:creationId xmlns:a16="http://schemas.microsoft.com/office/drawing/2014/main" id="{00000000-0008-0000-2700-000003000000}"/>
            </a:ext>
          </a:extLst>
        </xdr:cNvPr>
        <xdr:cNvSpPr txBox="1"/>
      </xdr:nvSpPr>
      <xdr:spPr>
        <a:xfrm>
          <a:off x="4705350" y="2000250"/>
          <a:ext cx="4105275" cy="1200150"/>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heath</a:t>
          </a:r>
          <a:r>
            <a:rPr lang="en-CA" sz="1100" baseline="0"/>
            <a:t> care provider if you are experiencing dizziness, low blood pressure, falls, irregular heart beat or untreated high blood pressure. Immediately seek emergency medical care for blood pressure of ≥200mmHg, chest pain, chest tightness or symptoms of stroke/heart attack.</a:t>
          </a:r>
          <a:endParaRPr lang="en-CA" sz="1100"/>
        </a:p>
      </xdr:txBody>
    </xdr:sp>
    <xdr:clientData/>
  </xdr:twoCellAnchor>
  <xdr:twoCellAnchor>
    <xdr:from>
      <xdr:col>6</xdr:col>
      <xdr:colOff>476250</xdr:colOff>
      <xdr:row>0</xdr:row>
      <xdr:rowOff>66675</xdr:rowOff>
    </xdr:from>
    <xdr:to>
      <xdr:col>10</xdr:col>
      <xdr:colOff>228600</xdr:colOff>
      <xdr:row>9</xdr:row>
      <xdr:rowOff>133350</xdr:rowOff>
    </xdr:to>
    <xdr:sp macro="" textlink="">
      <xdr:nvSpPr>
        <xdr:cNvPr id="4" name="TextBox 3">
          <a:extLst>
            <a:ext uri="{FF2B5EF4-FFF2-40B4-BE49-F238E27FC236}">
              <a16:creationId xmlns:a16="http://schemas.microsoft.com/office/drawing/2014/main" id="{00000000-0008-0000-2700-000004000000}"/>
            </a:ext>
          </a:extLst>
        </xdr:cNvPr>
        <xdr:cNvSpPr txBox="1"/>
      </xdr:nvSpPr>
      <xdr:spPr>
        <a:xfrm>
          <a:off x="6981825" y="66675"/>
          <a:ext cx="2190750" cy="186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a:t>Note: please</a:t>
          </a:r>
          <a:r>
            <a:rPr lang="en-CA" sz="1400" baseline="0"/>
            <a:t> select the most important or as few as possible options from the white questions. Selecting more than 1 white question may drastically limit product options.</a:t>
          </a:r>
          <a:endParaRPr lang="en-CA" sz="140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xdr:col>
      <xdr:colOff>19050</xdr:colOff>
      <xdr:row>0</xdr:row>
      <xdr:rowOff>0</xdr:rowOff>
    </xdr:from>
    <xdr:to>
      <xdr:col>6</xdr:col>
      <xdr:colOff>381000</xdr:colOff>
      <xdr:row>8</xdr:row>
      <xdr:rowOff>85725</xdr:rowOff>
    </xdr:to>
    <xdr:sp macro="" textlink="">
      <xdr:nvSpPr>
        <xdr:cNvPr id="2" name="TextBox 1">
          <a:extLst>
            <a:ext uri="{FF2B5EF4-FFF2-40B4-BE49-F238E27FC236}">
              <a16:creationId xmlns:a16="http://schemas.microsoft.com/office/drawing/2014/main" id="{00000000-0008-0000-2900-000002000000}"/>
            </a:ext>
          </a:extLst>
        </xdr:cNvPr>
        <xdr:cNvSpPr txBox="1"/>
      </xdr:nvSpPr>
      <xdr:spPr>
        <a:xfrm>
          <a:off x="4800600" y="0"/>
          <a:ext cx="2190750" cy="168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Lice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47626</xdr:colOff>
      <xdr:row>8</xdr:row>
      <xdr:rowOff>180975</xdr:rowOff>
    </xdr:from>
    <xdr:to>
      <xdr:col>6</xdr:col>
      <xdr:colOff>390526</xdr:colOff>
      <xdr:row>17</xdr:row>
      <xdr:rowOff>66675</xdr:rowOff>
    </xdr:to>
    <xdr:sp macro="" textlink="">
      <xdr:nvSpPr>
        <xdr:cNvPr id="3" name="TextBox 2">
          <a:extLst>
            <a:ext uri="{FF2B5EF4-FFF2-40B4-BE49-F238E27FC236}">
              <a16:creationId xmlns:a16="http://schemas.microsoft.com/office/drawing/2014/main" id="{00000000-0008-0000-2900-000003000000}"/>
            </a:ext>
          </a:extLst>
        </xdr:cNvPr>
        <xdr:cNvSpPr txBox="1"/>
      </xdr:nvSpPr>
      <xdr:spPr>
        <a:xfrm>
          <a:off x="5076826" y="1781175"/>
          <a:ext cx="2171700" cy="1676400"/>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heath</a:t>
          </a:r>
          <a:r>
            <a:rPr lang="en-CA" sz="1100" baseline="0"/>
            <a:t> care provider for recurrent head lice or lice unresponsive to non-prescription therapy. Treatment with head lice products should be repeated after 7 days. Avoid close contact and sharing personal items (clothing, combs, bedding) with an infected individual. </a:t>
          </a:r>
          <a:endParaRPr lang="en-CA"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xdr:col>
      <xdr:colOff>85724</xdr:colOff>
      <xdr:row>0</xdr:row>
      <xdr:rowOff>76200</xdr:rowOff>
    </xdr:from>
    <xdr:to>
      <xdr:col>6</xdr:col>
      <xdr:colOff>571499</xdr:colOff>
      <xdr:row>14</xdr:row>
      <xdr:rowOff>47625</xdr:rowOff>
    </xdr:to>
    <xdr:sp macro="" textlink="">
      <xdr:nvSpPr>
        <xdr:cNvPr id="2" name="TextBox 1">
          <a:extLst>
            <a:ext uri="{FF2B5EF4-FFF2-40B4-BE49-F238E27FC236}">
              <a16:creationId xmlns:a16="http://schemas.microsoft.com/office/drawing/2014/main" id="{00000000-0008-0000-2B00-000002000000}"/>
            </a:ext>
          </a:extLst>
        </xdr:cNvPr>
        <xdr:cNvSpPr txBox="1"/>
      </xdr:nvSpPr>
      <xdr:spPr>
        <a:xfrm>
          <a:off x="4457699" y="76200"/>
          <a:ext cx="2314575" cy="276225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a:t>
          </a:r>
          <a:r>
            <a:rPr lang="en-CA" sz="1400" b="1" u="none" baseline="0">
              <a:solidFill>
                <a:srgbClr val="FF0000"/>
              </a:solidFill>
            </a:rPr>
            <a:t>White questions may restrict product options. Please choose only most important or fewest number of selections possible. </a:t>
          </a:r>
          <a:r>
            <a:rPr lang="en-CA" sz="1400" baseline="0">
              <a:solidFill>
                <a:sysClr val="windowText" lastClr="000000"/>
              </a:solidFill>
            </a:rPr>
            <a:t>Proceed </a:t>
          </a:r>
          <a:r>
            <a:rPr lang="en-CA" sz="1400" baseline="0"/>
            <a:t>to </a:t>
          </a:r>
          <a:r>
            <a:rPr lang="en-CA" sz="1400" u="sng" baseline="0"/>
            <a:t>Bandage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a:t>
          </a:r>
        </a:p>
        <a:p>
          <a:r>
            <a:rPr lang="en-CA" sz="1400" baseline="0"/>
            <a:t> </a:t>
          </a:r>
          <a:endParaRPr lang="en-CA" sz="1400"/>
        </a:p>
      </xdr:txBody>
    </xdr:sp>
    <xdr:clientData/>
  </xdr:twoCellAnchor>
  <xdr:twoCellAnchor>
    <xdr:from>
      <xdr:col>3</xdr:col>
      <xdr:colOff>133351</xdr:colOff>
      <xdr:row>15</xdr:row>
      <xdr:rowOff>142874</xdr:rowOff>
    </xdr:from>
    <xdr:to>
      <xdr:col>6</xdr:col>
      <xdr:colOff>504825</xdr:colOff>
      <xdr:row>31</xdr:row>
      <xdr:rowOff>180975</xdr:rowOff>
    </xdr:to>
    <xdr:sp macro="" textlink="">
      <xdr:nvSpPr>
        <xdr:cNvPr id="3" name="TextBox 2">
          <a:extLst>
            <a:ext uri="{FF2B5EF4-FFF2-40B4-BE49-F238E27FC236}">
              <a16:creationId xmlns:a16="http://schemas.microsoft.com/office/drawing/2014/main" id="{00000000-0008-0000-2B00-000003000000}"/>
            </a:ext>
          </a:extLst>
        </xdr:cNvPr>
        <xdr:cNvSpPr txBox="1"/>
      </xdr:nvSpPr>
      <xdr:spPr>
        <a:xfrm>
          <a:off x="4505326" y="3133724"/>
          <a:ext cx="2200274" cy="3238501"/>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heath</a:t>
          </a:r>
          <a:r>
            <a:rPr lang="en-CA" sz="1100" baseline="0"/>
            <a:t> care provider for traumatic injuries, deep wounds, profuse or uncontrolled bleeding, suspected infections, animal/human bite wounds and deep burns. Wounds that are very painful, large (more 2cm), gaping, embedded with foreign material or expose muscle/bone/fat should be assessed by a physician. Consult a physician for wounds that require stitches or do not heal within 3 weeks. Wounds should be properly cleansed, bleeding controlled and protected/covered with a dressing. Topical antibiotics recommended for wounds with high infetion risk </a:t>
          </a:r>
          <a:endParaRPr lang="en-CA"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66675</xdr:colOff>
      <xdr:row>0</xdr:row>
      <xdr:rowOff>38099</xdr:rowOff>
    </xdr:from>
    <xdr:to>
      <xdr:col>6</xdr:col>
      <xdr:colOff>428625</xdr:colOff>
      <xdr:row>13</xdr:row>
      <xdr:rowOff>152399</xdr:rowOff>
    </xdr:to>
    <xdr:sp macro="" textlink="">
      <xdr:nvSpPr>
        <xdr:cNvPr id="2" name="TextBox 1">
          <a:extLst>
            <a:ext uri="{FF2B5EF4-FFF2-40B4-BE49-F238E27FC236}">
              <a16:creationId xmlns:a16="http://schemas.microsoft.com/office/drawing/2014/main" id="{00000000-0008-0000-2D00-000002000000}"/>
            </a:ext>
          </a:extLst>
        </xdr:cNvPr>
        <xdr:cNvSpPr txBox="1"/>
      </xdr:nvSpPr>
      <xdr:spPr>
        <a:xfrm>
          <a:off x="4895850" y="38099"/>
          <a:ext cx="2190750" cy="2714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Please select the most important or </a:t>
          </a:r>
          <a:r>
            <a:rPr lang="en-CA" sz="1400" baseline="0">
              <a:solidFill>
                <a:srgbClr val="FF0000"/>
              </a:solidFill>
            </a:rPr>
            <a:t>fewest white questions </a:t>
          </a:r>
          <a:r>
            <a:rPr lang="en-CA" sz="1400" baseline="0"/>
            <a:t>as possible as these can significantly limit product options. Proceed to </a:t>
          </a:r>
          <a:r>
            <a:rPr lang="en-CA" sz="1400" u="sng" baseline="0"/>
            <a:t>Infant Formula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66676</xdr:colOff>
      <xdr:row>13</xdr:row>
      <xdr:rowOff>133350</xdr:rowOff>
    </xdr:from>
    <xdr:to>
      <xdr:col>6</xdr:col>
      <xdr:colOff>409576</xdr:colOff>
      <xdr:row>26</xdr:row>
      <xdr:rowOff>28575</xdr:rowOff>
    </xdr:to>
    <xdr:sp macro="" textlink="">
      <xdr:nvSpPr>
        <xdr:cNvPr id="3" name="TextBox 2">
          <a:extLst>
            <a:ext uri="{FF2B5EF4-FFF2-40B4-BE49-F238E27FC236}">
              <a16:creationId xmlns:a16="http://schemas.microsoft.com/office/drawing/2014/main" id="{00000000-0008-0000-2D00-000003000000}"/>
            </a:ext>
          </a:extLst>
        </xdr:cNvPr>
        <xdr:cNvSpPr txBox="1"/>
      </xdr:nvSpPr>
      <xdr:spPr>
        <a:xfrm>
          <a:off x="4895851" y="2733675"/>
          <a:ext cx="2171700" cy="2495550"/>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b="0" i="0">
              <a:solidFill>
                <a:schemeClr val="dk1"/>
              </a:solidFill>
              <a:effectLst/>
              <a:latin typeface="+mn-lt"/>
              <a:ea typeface="+mn-ea"/>
              <a:cs typeface="+mn-cs"/>
            </a:rPr>
            <a:t>Health Canada, the Canadian Paediatric Society, and the Dietitians of Canada recommend that you exclusively breastfeed your baby for the first 6 months and that you continue to breastfeed for up to 2 years or longer along with complementary foods. Infant formulas</a:t>
          </a:r>
          <a:r>
            <a:rPr lang="en-CA" sz="1100" b="0" i="0" baseline="0">
              <a:solidFill>
                <a:schemeClr val="dk1"/>
              </a:solidFill>
              <a:effectLst/>
              <a:latin typeface="+mn-lt"/>
              <a:ea typeface="+mn-ea"/>
              <a:cs typeface="+mn-cs"/>
            </a:rPr>
            <a:t> may not be an ideal alternative or substitute for a mother's natural breast milk. Finding the right formula for your child may require a trial and error approach.</a:t>
          </a:r>
          <a:r>
            <a:rPr lang="en-CA" sz="1100" b="0" i="0">
              <a:solidFill>
                <a:schemeClr val="dk1"/>
              </a:solidFill>
              <a:effectLst/>
              <a:latin typeface="+mn-lt"/>
              <a:ea typeface="+mn-ea"/>
              <a:cs typeface="+mn-cs"/>
            </a:rPr>
            <a:t> </a:t>
          </a:r>
          <a:endParaRPr lang="en-CA"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57149</xdr:colOff>
      <xdr:row>0</xdr:row>
      <xdr:rowOff>9524</xdr:rowOff>
    </xdr:from>
    <xdr:to>
      <xdr:col>6</xdr:col>
      <xdr:colOff>466724</xdr:colOff>
      <xdr:row>13</xdr:row>
      <xdr:rowOff>161924</xdr:rowOff>
    </xdr:to>
    <xdr:sp macro="" textlink="">
      <xdr:nvSpPr>
        <xdr:cNvPr id="2" name="TextBox 1">
          <a:extLst>
            <a:ext uri="{FF2B5EF4-FFF2-40B4-BE49-F238E27FC236}">
              <a16:creationId xmlns:a16="http://schemas.microsoft.com/office/drawing/2014/main" id="{00000000-0008-0000-2F00-000002000000}"/>
            </a:ext>
          </a:extLst>
        </xdr:cNvPr>
        <xdr:cNvSpPr txBox="1"/>
      </xdr:nvSpPr>
      <xdr:spPr>
        <a:xfrm>
          <a:off x="4781549" y="9524"/>
          <a:ext cx="2238375" cy="2752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a:t>
          </a:r>
          <a:r>
            <a:rPr lang="en-CA" sz="1400" baseline="0">
              <a:solidFill>
                <a:schemeClr val="dk1"/>
              </a:solidFill>
              <a:effectLst/>
              <a:latin typeface="+mn-lt"/>
              <a:ea typeface="+mn-ea"/>
              <a:cs typeface="+mn-cs"/>
            </a:rPr>
            <a:t>Please select the most important or fewest white questions as possible as these can significantly limit product options. </a:t>
          </a:r>
          <a:r>
            <a:rPr lang="en-CA" sz="1400" baseline="0"/>
            <a:t>Proceed to </a:t>
          </a:r>
          <a:r>
            <a:rPr lang="en-CA" sz="1400" u="sng" baseline="0"/>
            <a:t>Meal Replacement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47626</xdr:colOff>
      <xdr:row>14</xdr:row>
      <xdr:rowOff>114299</xdr:rowOff>
    </xdr:from>
    <xdr:to>
      <xdr:col>6</xdr:col>
      <xdr:colOff>476250</xdr:colOff>
      <xdr:row>27</xdr:row>
      <xdr:rowOff>180974</xdr:rowOff>
    </xdr:to>
    <xdr:sp macro="" textlink="">
      <xdr:nvSpPr>
        <xdr:cNvPr id="3" name="TextBox 2">
          <a:extLst>
            <a:ext uri="{FF2B5EF4-FFF2-40B4-BE49-F238E27FC236}">
              <a16:creationId xmlns:a16="http://schemas.microsoft.com/office/drawing/2014/main" id="{00000000-0008-0000-2F00-000003000000}"/>
            </a:ext>
          </a:extLst>
        </xdr:cNvPr>
        <xdr:cNvSpPr txBox="1"/>
      </xdr:nvSpPr>
      <xdr:spPr>
        <a:xfrm>
          <a:off x="4772026" y="2914649"/>
          <a:ext cx="2257424" cy="2667000"/>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b="0"/>
            <a:t>Consult your physician for unexplained weight loss,</a:t>
          </a:r>
          <a:r>
            <a:rPr lang="en-CA" sz="1100" b="0" baseline="0"/>
            <a:t> failure to thrive, significant weight loss in the presence of illness, signs of dehydration, refusal or inability to feed and/or systemic signs of under or malnourishment. Some individuals may require parenteral administration of nutrition in severe cases. Patients should consult their physician prior to initiating a weight loss regimen. </a:t>
          </a:r>
          <a:endParaRPr lang="en-CA" sz="110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3</xdr:col>
      <xdr:colOff>38098</xdr:colOff>
      <xdr:row>0</xdr:row>
      <xdr:rowOff>38100</xdr:rowOff>
    </xdr:from>
    <xdr:to>
      <xdr:col>6</xdr:col>
      <xdr:colOff>447673</xdr:colOff>
      <xdr:row>13</xdr:row>
      <xdr:rowOff>152400</xdr:rowOff>
    </xdr:to>
    <xdr:sp macro="" textlink="">
      <xdr:nvSpPr>
        <xdr:cNvPr id="2" name="TextBox 1">
          <a:extLst>
            <a:ext uri="{FF2B5EF4-FFF2-40B4-BE49-F238E27FC236}">
              <a16:creationId xmlns:a16="http://schemas.microsoft.com/office/drawing/2014/main" id="{00000000-0008-0000-3100-000002000000}"/>
            </a:ext>
          </a:extLst>
        </xdr:cNvPr>
        <xdr:cNvSpPr txBox="1"/>
      </xdr:nvSpPr>
      <xdr:spPr>
        <a:xfrm>
          <a:off x="5295898" y="38100"/>
          <a:ext cx="2238375" cy="2714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a:t>
          </a:r>
          <a:r>
            <a:rPr lang="en-CA" sz="1400" baseline="0">
              <a:solidFill>
                <a:schemeClr val="dk1"/>
              </a:solidFill>
              <a:effectLst/>
              <a:latin typeface="+mn-lt"/>
              <a:ea typeface="+mn-ea"/>
              <a:cs typeface="+mn-cs"/>
            </a:rPr>
            <a:t>Please select the most important or </a:t>
          </a:r>
          <a:r>
            <a:rPr lang="en-CA" sz="1400" baseline="0">
              <a:solidFill>
                <a:srgbClr val="FF0000"/>
              </a:solidFill>
              <a:effectLst/>
              <a:latin typeface="+mn-lt"/>
              <a:ea typeface="+mn-ea"/>
              <a:cs typeface="+mn-cs"/>
            </a:rPr>
            <a:t>fewest white questions </a:t>
          </a:r>
          <a:r>
            <a:rPr lang="en-CA" sz="1400" baseline="0">
              <a:solidFill>
                <a:schemeClr val="dk1"/>
              </a:solidFill>
              <a:effectLst/>
              <a:latin typeface="+mn-lt"/>
              <a:ea typeface="+mn-ea"/>
              <a:cs typeface="+mn-cs"/>
            </a:rPr>
            <a:t>as possible as these can significantly limit product options. </a:t>
          </a:r>
          <a:r>
            <a:rPr lang="en-CA" sz="1400" baseline="0"/>
            <a:t>Proceed to </a:t>
          </a:r>
          <a:r>
            <a:rPr lang="en-CA" sz="1400" u="sng" baseline="0"/>
            <a:t>Incontinence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47625</xdr:colOff>
      <xdr:row>14</xdr:row>
      <xdr:rowOff>57150</xdr:rowOff>
    </xdr:from>
    <xdr:to>
      <xdr:col>6</xdr:col>
      <xdr:colOff>476249</xdr:colOff>
      <xdr:row>27</xdr:row>
      <xdr:rowOff>190500</xdr:rowOff>
    </xdr:to>
    <xdr:sp macro="" textlink="">
      <xdr:nvSpPr>
        <xdr:cNvPr id="3" name="TextBox 2">
          <a:extLst>
            <a:ext uri="{FF2B5EF4-FFF2-40B4-BE49-F238E27FC236}">
              <a16:creationId xmlns:a16="http://schemas.microsoft.com/office/drawing/2014/main" id="{00000000-0008-0000-3100-000003000000}"/>
            </a:ext>
          </a:extLst>
        </xdr:cNvPr>
        <xdr:cNvSpPr txBox="1"/>
      </xdr:nvSpPr>
      <xdr:spPr>
        <a:xfrm>
          <a:off x="5305425" y="2857500"/>
          <a:ext cx="2257424" cy="273367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b="0"/>
            <a:t>Inividuals should consult their</a:t>
          </a:r>
          <a:r>
            <a:rPr lang="en-CA" sz="1100" b="0" baseline="0"/>
            <a:t> physician for urinary or bowel incontienence of unknown ethiology, presence of blood in urine or bowel movements as well as signs of severe dehydration. Patients with suspected urinary tract infection, gastrointestinal infection, systemic symptoms, recent trauma, poor renal function or recent pelvic surgery should be assessed by a healthcare practionner.    </a:t>
          </a:r>
          <a:endParaRPr lang="en-CA" sz="110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3</xdr:col>
      <xdr:colOff>66675</xdr:colOff>
      <xdr:row>0</xdr:row>
      <xdr:rowOff>0</xdr:rowOff>
    </xdr:from>
    <xdr:to>
      <xdr:col>6</xdr:col>
      <xdr:colOff>476250</xdr:colOff>
      <xdr:row>13</xdr:row>
      <xdr:rowOff>161924</xdr:rowOff>
    </xdr:to>
    <xdr:sp macro="" textlink="">
      <xdr:nvSpPr>
        <xdr:cNvPr id="2" name="TextBox 1">
          <a:extLst>
            <a:ext uri="{FF2B5EF4-FFF2-40B4-BE49-F238E27FC236}">
              <a16:creationId xmlns:a16="http://schemas.microsoft.com/office/drawing/2014/main" id="{00000000-0008-0000-3300-000002000000}"/>
            </a:ext>
          </a:extLst>
        </xdr:cNvPr>
        <xdr:cNvSpPr txBox="1"/>
      </xdr:nvSpPr>
      <xdr:spPr>
        <a:xfrm>
          <a:off x="4305300" y="0"/>
          <a:ext cx="2238375" cy="27527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a:t>
          </a:r>
          <a:r>
            <a:rPr lang="en-CA" sz="1400" baseline="0">
              <a:solidFill>
                <a:schemeClr val="dk1"/>
              </a:solidFill>
              <a:effectLst/>
              <a:latin typeface="+mn-lt"/>
              <a:ea typeface="+mn-ea"/>
              <a:cs typeface="+mn-cs"/>
            </a:rPr>
            <a:t>Please select the most important or </a:t>
          </a:r>
          <a:r>
            <a:rPr lang="en-CA" sz="1400" baseline="0">
              <a:solidFill>
                <a:srgbClr val="FF0000"/>
              </a:solidFill>
              <a:effectLst/>
              <a:latin typeface="+mn-lt"/>
              <a:ea typeface="+mn-ea"/>
              <a:cs typeface="+mn-cs"/>
            </a:rPr>
            <a:t>fewest white questions </a:t>
          </a:r>
          <a:r>
            <a:rPr lang="en-CA" sz="1400" baseline="0">
              <a:solidFill>
                <a:schemeClr val="dk1"/>
              </a:solidFill>
              <a:effectLst/>
              <a:latin typeface="+mn-lt"/>
              <a:ea typeface="+mn-ea"/>
              <a:cs typeface="+mn-cs"/>
            </a:rPr>
            <a:t>as possible as these can significantly limit product options. </a:t>
          </a:r>
          <a:r>
            <a:rPr lang="en-CA" sz="1400" baseline="0"/>
            <a:t>Proceed to </a:t>
          </a:r>
          <a:r>
            <a:rPr lang="en-CA" sz="1400" u="sng" baseline="0"/>
            <a:t>Oral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7</xdr:col>
      <xdr:colOff>9526</xdr:colOff>
      <xdr:row>0</xdr:row>
      <xdr:rowOff>133350</xdr:rowOff>
    </xdr:from>
    <xdr:to>
      <xdr:col>10</xdr:col>
      <xdr:colOff>504825</xdr:colOff>
      <xdr:row>15</xdr:row>
      <xdr:rowOff>9525</xdr:rowOff>
    </xdr:to>
    <xdr:sp macro="" textlink="">
      <xdr:nvSpPr>
        <xdr:cNvPr id="3" name="TextBox 2">
          <a:extLst>
            <a:ext uri="{FF2B5EF4-FFF2-40B4-BE49-F238E27FC236}">
              <a16:creationId xmlns:a16="http://schemas.microsoft.com/office/drawing/2014/main" id="{00000000-0008-0000-3300-000003000000}"/>
            </a:ext>
          </a:extLst>
        </xdr:cNvPr>
        <xdr:cNvSpPr txBox="1"/>
      </xdr:nvSpPr>
      <xdr:spPr>
        <a:xfrm>
          <a:off x="6686551" y="133350"/>
          <a:ext cx="2324099" cy="284797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b="0" i="0"/>
            <a:t>Consult</a:t>
          </a:r>
          <a:r>
            <a:rPr lang="en-CA" sz="1100" b="0" i="0" baseline="0"/>
            <a:t> your healthcare provider for oral lesions that are excessively red, swollen, contain pus, persist for more than 14 days, reoccur more than 6 times a year or appear in an immunocompromised individual. Patients that present with coexisting systemic illness (fever, swollen glands) should consult their physician. Oral lesions that cause severe pain limiting nutrition, large lesions or clusters of lesions should be assessed by a healthcare professional. Oral lesions occuring in young children or of unknown ethiology should also be assessed.   </a:t>
          </a:r>
          <a:endParaRPr lang="en-CA"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114300</xdr:colOff>
      <xdr:row>0</xdr:row>
      <xdr:rowOff>104775</xdr:rowOff>
    </xdr:from>
    <xdr:to>
      <xdr:col>7</xdr:col>
      <xdr:colOff>476250</xdr:colOff>
      <xdr:row>9</xdr:row>
      <xdr:rowOff>133350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7953375" y="104775"/>
          <a:ext cx="2190750" cy="182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Hemorrhoid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85725</xdr:colOff>
      <xdr:row>10</xdr:row>
      <xdr:rowOff>47625</xdr:rowOff>
    </xdr:from>
    <xdr:to>
      <xdr:col>8</xdr:col>
      <xdr:colOff>247649</xdr:colOff>
      <xdr:row>17</xdr:row>
      <xdr:rowOff>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6048375" y="2047875"/>
          <a:ext cx="3867149" cy="1523999"/>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b="0"/>
            <a:t>Consult</a:t>
          </a:r>
          <a:r>
            <a:rPr lang="en-CA" sz="1100" b="0" baseline="0"/>
            <a:t> your physician if hemorrhoids associated with rectal bleeding, painful defecation, dark blood, profuse bleeding or recurrent bleeding. Individuals at high risk of colorectal cancer, individuals under the age of 12 or individuals with a prolapse that must be manually replaced should consult their health care provider immediately. Seek medical attention for symptoms that persist more than 7 days. Daily fibre, avoiding straining and Sitz baths may help relieve symptoms.</a:t>
          </a:r>
          <a:endParaRPr lang="en-CA"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47624</xdr:colOff>
      <xdr:row>0</xdr:row>
      <xdr:rowOff>19050</xdr:rowOff>
    </xdr:from>
    <xdr:to>
      <xdr:col>8</xdr:col>
      <xdr:colOff>495299</xdr:colOff>
      <xdr:row>10</xdr:row>
      <xdr:rowOff>95250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7277099" y="19050"/>
          <a:ext cx="2886075" cy="2076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Select fewest or most important criteria as choices may drastically limit options. Proceed to </a:t>
          </a:r>
          <a:r>
            <a:rPr lang="en-CA" sz="1400" u="sng" baseline="0"/>
            <a:t>Diabetes Meter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0</xdr:colOff>
      <xdr:row>10</xdr:row>
      <xdr:rowOff>161924</xdr:rowOff>
    </xdr:from>
    <xdr:to>
      <xdr:col>8</xdr:col>
      <xdr:colOff>495299</xdr:colOff>
      <xdr:row>18</xdr:row>
      <xdr:rowOff>104774</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5962650" y="2162174"/>
          <a:ext cx="4200524" cy="151447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b="0"/>
            <a:t>Consult immediate medical attention for hypoglycemia symptoms including irregular/fast heartbeat, fatigue, pale</a:t>
          </a:r>
          <a:r>
            <a:rPr lang="en-CA" sz="1100" b="0" baseline="0"/>
            <a:t> skin, shakiness, anxiety, sweating, hunger, irritability, tingling </a:t>
          </a:r>
          <a:r>
            <a:rPr lang="en-CA" sz="1100" b="0"/>
            <a:t>in a</a:t>
          </a:r>
          <a:r>
            <a:rPr lang="en-CA" sz="1100" b="0" baseline="0"/>
            <a:t> non-diabetic individual. </a:t>
          </a:r>
          <a:r>
            <a:rPr lang="en-CA" sz="1100" b="0">
              <a:solidFill>
                <a:schemeClr val="dk1"/>
              </a:solidFill>
              <a:effectLst/>
              <a:latin typeface="+mn-lt"/>
              <a:ea typeface="+mn-ea"/>
              <a:cs typeface="+mn-cs"/>
            </a:rPr>
            <a:t>Consult emergency medical attention</a:t>
          </a:r>
          <a:r>
            <a:rPr lang="en-CA" sz="1100" b="0" baseline="0">
              <a:solidFill>
                <a:schemeClr val="dk1"/>
              </a:solidFill>
              <a:effectLst/>
              <a:latin typeface="+mn-lt"/>
              <a:ea typeface="+mn-ea"/>
              <a:cs typeface="+mn-cs"/>
            </a:rPr>
            <a:t> for diabetics experiencing severe hypoglycemia symptoms including </a:t>
          </a:r>
          <a:r>
            <a:rPr lang="en-CA" sz="1100" b="0">
              <a:solidFill>
                <a:schemeClr val="dk1"/>
              </a:solidFill>
              <a:effectLst/>
              <a:latin typeface="+mn-lt"/>
              <a:ea typeface="+mn-ea"/>
              <a:cs typeface="+mn-cs"/>
            </a:rPr>
            <a:t>confusion, abnormal behaviour, visual disturbances, seizures</a:t>
          </a:r>
          <a:r>
            <a:rPr lang="en-CA" sz="1100" b="0" baseline="0">
              <a:solidFill>
                <a:schemeClr val="dk1"/>
              </a:solidFill>
              <a:effectLst/>
              <a:latin typeface="+mn-lt"/>
              <a:ea typeface="+mn-ea"/>
              <a:cs typeface="+mn-cs"/>
            </a:rPr>
            <a:t> or </a:t>
          </a:r>
          <a:r>
            <a:rPr lang="en-CA" sz="1100" b="0">
              <a:solidFill>
                <a:schemeClr val="dk1"/>
              </a:solidFill>
              <a:effectLst/>
              <a:latin typeface="+mn-lt"/>
              <a:ea typeface="+mn-ea"/>
              <a:cs typeface="+mn-cs"/>
            </a:rPr>
            <a:t>loss of consciousness. Consult immediate medical attention if hypoglycemia is unresponsive to glucose administration.  </a:t>
          </a:r>
          <a:r>
            <a:rPr lang="en-CA" sz="1100" b="0" baseline="0"/>
            <a:t> </a:t>
          </a:r>
          <a:r>
            <a:rPr lang="en-CA" sz="1100" b="0"/>
            <a:t> </a:t>
          </a:r>
          <a:endParaRPr lang="en-CA"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628650</xdr:colOff>
      <xdr:row>10</xdr:row>
      <xdr:rowOff>133349</xdr:rowOff>
    </xdr:from>
    <xdr:to>
      <xdr:col>8</xdr:col>
      <xdr:colOff>342900</xdr:colOff>
      <xdr:row>20</xdr:row>
      <xdr:rowOff>180975</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7124700" y="2133599"/>
          <a:ext cx="4010025" cy="2047876"/>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 in presence of severe cold and flu symptoms, COVID-19 symptoms</a:t>
          </a:r>
          <a:r>
            <a:rPr lang="en-CA" sz="1100" baseline="0"/>
            <a:t> or for patients with significantly decreased food or fluid intake. Consult your physician if a child has symptoms of croup, ear infection, excessive lethargy, excessive irritability, skin rash, or cough associated with vomitting. </a:t>
          </a:r>
        </a:p>
        <a:p>
          <a:endParaRPr lang="en-CA" sz="1100" baseline="0"/>
        </a:p>
        <a:p>
          <a:r>
            <a:rPr lang="en-CA" sz="1100" baseline="0"/>
            <a:t>Individuals with chronic medical conditions, nursing home residents, seniors over 65 years old, conditions compromissing management of respiratory secretions, pregnant women, children less than 2 years old and children on aspirin are at higher risk of cold and flu complications. </a:t>
          </a:r>
          <a:endParaRPr lang="en-CA" sz="1100"/>
        </a:p>
      </xdr:txBody>
    </xdr:sp>
    <xdr:clientData/>
  </xdr:twoCellAnchor>
  <xdr:twoCellAnchor>
    <xdr:from>
      <xdr:col>5</xdr:col>
      <xdr:colOff>104775</xdr:colOff>
      <xdr:row>0</xdr:row>
      <xdr:rowOff>57150</xdr:rowOff>
    </xdr:from>
    <xdr:to>
      <xdr:col>8</xdr:col>
      <xdr:colOff>352425</xdr:colOff>
      <xdr:row>10</xdr:row>
      <xdr:rowOff>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9067800" y="57150"/>
          <a:ext cx="2076450" cy="1943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Cough &amp; Cold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457200</xdr:colOff>
      <xdr:row>0</xdr:row>
      <xdr:rowOff>114300</xdr:rowOff>
    </xdr:from>
    <xdr:to>
      <xdr:col>10</xdr:col>
      <xdr:colOff>209550</xdr:colOff>
      <xdr:row>10</xdr:row>
      <xdr:rowOff>28575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9496425" y="114300"/>
          <a:ext cx="2190750" cy="1914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Allergy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4</xdr:col>
      <xdr:colOff>38100</xdr:colOff>
      <xdr:row>10</xdr:row>
      <xdr:rowOff>142876</xdr:rowOff>
    </xdr:from>
    <xdr:to>
      <xdr:col>10</xdr:col>
      <xdr:colOff>209550</xdr:colOff>
      <xdr:row>16</xdr:row>
      <xdr:rowOff>123825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7239000" y="2152651"/>
          <a:ext cx="4448175" cy="1181099"/>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 or emergency assistance in the presence of severe allergic symptoms</a:t>
          </a:r>
          <a:r>
            <a:rPr lang="en-CA" sz="1100" baseline="0"/>
            <a:t>. Patients with history of anaphlaxis reaction should carry or have access to an Epipen at all times. Consult your physician for patients younger than 2 years old or for individuals with complications or comorbid illness such as sinusitis, otitis and/or asthma. Allergen avoidance is recommmended for patients with allergies.</a:t>
          </a:r>
          <a:endParaRPr lang="en-CA"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0</xdr:colOff>
      <xdr:row>1</xdr:row>
      <xdr:rowOff>0</xdr:rowOff>
    </xdr:from>
    <xdr:to>
      <xdr:col>9</xdr:col>
      <xdr:colOff>361950</xdr:colOff>
      <xdr:row>9</xdr:row>
      <xdr:rowOff>19050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8972550" y="200025"/>
          <a:ext cx="2190750" cy="1619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Pain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5</xdr:col>
      <xdr:colOff>152400</xdr:colOff>
      <xdr:row>9</xdr:row>
      <xdr:rowOff>161925</xdr:rowOff>
    </xdr:from>
    <xdr:to>
      <xdr:col>11</xdr:col>
      <xdr:colOff>419100</xdr:colOff>
      <xdr:row>22</xdr:row>
      <xdr:rowOff>85725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8515350" y="1962150"/>
          <a:ext cx="3924300" cy="2533650"/>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physician or emergency assistance in presence of severe pain</a:t>
          </a:r>
          <a:r>
            <a:rPr lang="en-CA" sz="1100" baseline="0"/>
            <a:t> symptoms, injury or trauma. Older individuals on corticosteriod therapy who have experienced a minor trauma should consult their physician due to fracture risk. Consult your physician for pain lasting ≥2 weeks or unresponsive to conservative therapy. Consult your physician if history of cancer or additional symptoms such as fever, rash, hot swollen joint, weight loss, chills, bladder dysfunction, bowel dysfunction, neurogenic pain (burning, tingling, numbness), morning stiffness lasting more than 1 hour, sciatica symptoms, joint deformity, obvious fracture, inability to bear weight on injured limb or motor weakness. Patients with chronic liver disease, history of inflammatory arthritis, fibromyalgia or gout should consult their physician. </a:t>
          </a:r>
          <a:endParaRPr lang="en-CA"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342900</xdr:colOff>
      <xdr:row>0</xdr:row>
      <xdr:rowOff>28575</xdr:rowOff>
    </xdr:from>
    <xdr:to>
      <xdr:col>9</xdr:col>
      <xdr:colOff>95250</xdr:colOff>
      <xdr:row>8</xdr:row>
      <xdr:rowOff>142875</xdr:rowOff>
    </xdr:to>
    <xdr:sp macro="" textlink="">
      <xdr:nvSpPr>
        <xdr:cNvPr id="2" name="TextBox 1">
          <a:extLst>
            <a:ext uri="{FF2B5EF4-FFF2-40B4-BE49-F238E27FC236}">
              <a16:creationId xmlns:a16="http://schemas.microsoft.com/office/drawing/2014/main" id="{00000000-0008-0000-0D00-000002000000}"/>
            </a:ext>
          </a:extLst>
        </xdr:cNvPr>
        <xdr:cNvSpPr txBox="1"/>
      </xdr:nvSpPr>
      <xdr:spPr>
        <a:xfrm>
          <a:off x="6981825" y="28575"/>
          <a:ext cx="2190750" cy="1724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Insomnia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419100</xdr:colOff>
      <xdr:row>9</xdr:row>
      <xdr:rowOff>19049</xdr:rowOff>
    </xdr:from>
    <xdr:to>
      <xdr:col>9</xdr:col>
      <xdr:colOff>76200</xdr:colOff>
      <xdr:row>15</xdr:row>
      <xdr:rowOff>171450</xdr:rowOff>
    </xdr:to>
    <xdr:sp macro="" textlink="">
      <xdr:nvSpPr>
        <xdr:cNvPr id="3" name="TextBox 2">
          <a:extLst>
            <a:ext uri="{FF2B5EF4-FFF2-40B4-BE49-F238E27FC236}">
              <a16:creationId xmlns:a16="http://schemas.microsoft.com/office/drawing/2014/main" id="{00000000-0008-0000-0D00-000003000000}"/>
            </a:ext>
          </a:extLst>
        </xdr:cNvPr>
        <xdr:cNvSpPr txBox="1"/>
      </xdr:nvSpPr>
      <xdr:spPr>
        <a:xfrm>
          <a:off x="5229225" y="1828799"/>
          <a:ext cx="3924300" cy="1343026"/>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 for insomnia lasting longer than 14 days</a:t>
          </a:r>
          <a:r>
            <a:rPr lang="en-CA" sz="1100" baseline="0"/>
            <a:t>, occuring more than 3 days a week, associated with an illness, resulting from medication (drug-induced) or refractory to sleep hygiene and/or non-prescription sedative. Consult a physician if you have contraindications to non-prescription sedatives. Sedatives should be used at the lowest effective dose and for the shortest duration possible.</a:t>
          </a:r>
          <a:endParaRPr lang="en-CA"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180975</xdr:colOff>
      <xdr:row>0</xdr:row>
      <xdr:rowOff>9524</xdr:rowOff>
    </xdr:from>
    <xdr:to>
      <xdr:col>8</xdr:col>
      <xdr:colOff>542925</xdr:colOff>
      <xdr:row>10</xdr:row>
      <xdr:rowOff>66675</xdr:rowOff>
    </xdr:to>
    <xdr:sp macro="" textlink="">
      <xdr:nvSpPr>
        <xdr:cNvPr id="2" name="TextBox 1">
          <a:extLst>
            <a:ext uri="{FF2B5EF4-FFF2-40B4-BE49-F238E27FC236}">
              <a16:creationId xmlns:a16="http://schemas.microsoft.com/office/drawing/2014/main" id="{00000000-0008-0000-0F00-000002000000}"/>
            </a:ext>
          </a:extLst>
        </xdr:cNvPr>
        <xdr:cNvSpPr txBox="1"/>
      </xdr:nvSpPr>
      <xdr:spPr>
        <a:xfrm>
          <a:off x="6572250" y="9524"/>
          <a:ext cx="2190750" cy="18573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Vaginal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2</xdr:col>
      <xdr:colOff>323851</xdr:colOff>
      <xdr:row>11</xdr:row>
      <xdr:rowOff>9524</xdr:rowOff>
    </xdr:from>
    <xdr:to>
      <xdr:col>8</xdr:col>
      <xdr:colOff>561976</xdr:colOff>
      <xdr:row>22</xdr:row>
      <xdr:rowOff>123825</xdr:rowOff>
    </xdr:to>
    <xdr:sp macro="" textlink="">
      <xdr:nvSpPr>
        <xdr:cNvPr id="3" name="TextBox 2">
          <a:extLst>
            <a:ext uri="{FF2B5EF4-FFF2-40B4-BE49-F238E27FC236}">
              <a16:creationId xmlns:a16="http://schemas.microsoft.com/office/drawing/2014/main" id="{00000000-0008-0000-0F00-000003000000}"/>
            </a:ext>
          </a:extLst>
        </xdr:cNvPr>
        <xdr:cNvSpPr txBox="1"/>
      </xdr:nvSpPr>
      <xdr:spPr>
        <a:xfrm>
          <a:off x="4305301" y="2209799"/>
          <a:ext cx="4476750" cy="2247901"/>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CA" sz="1100" b="1">
              <a:solidFill>
                <a:sysClr val="windowText" lastClr="000000"/>
              </a:solidFill>
            </a:rPr>
            <a:t>***NOTE*** </a:t>
          </a:r>
          <a:r>
            <a:rPr lang="en-CA" sz="1100">
              <a:solidFill>
                <a:sysClr val="windowText" lastClr="000000"/>
              </a:solidFill>
            </a:rPr>
            <a:t>Consult your phyisician</a:t>
          </a:r>
          <a:r>
            <a:rPr lang="en-CA" sz="1100" baseline="0">
              <a:solidFill>
                <a:sysClr val="windowText" lastClr="000000"/>
              </a:solidFill>
            </a:rPr>
            <a:t> if patient presents with </a:t>
          </a:r>
          <a:r>
            <a:rPr lang="en-CA" sz="1100">
              <a:solidFill>
                <a:sysClr val="windowText" lastClr="000000"/>
              </a:solidFill>
            </a:rPr>
            <a:t>concomitant symptoms such as fever, pelvic</a:t>
          </a:r>
          <a:r>
            <a:rPr lang="en-CA" sz="1100" baseline="0">
              <a:solidFill>
                <a:sysClr val="windowText" lastClr="000000"/>
              </a:solidFill>
            </a:rPr>
            <a:t> pain, colored or malodourous discharge. </a:t>
          </a:r>
          <a:r>
            <a:rPr lang="en-CA" sz="1100">
              <a:solidFill>
                <a:sysClr val="windowText" lastClr="000000"/>
              </a:solidFill>
            </a:rPr>
            <a:t>There are no</a:t>
          </a:r>
          <a:r>
            <a:rPr lang="en-CA" sz="1100" baseline="0">
              <a:solidFill>
                <a:sysClr val="windowText" lastClr="000000"/>
              </a:solidFill>
            </a:rPr>
            <a:t> substantial benefits to routine va</a:t>
          </a:r>
          <a:r>
            <a:rPr lang="en-CA" sz="1100">
              <a:solidFill>
                <a:sysClr val="windowText" lastClr="000000"/>
              </a:solidFill>
            </a:rPr>
            <a:t>ginal douching. Douching may increase risk of irritation, infection, inflammation, decrease</a:t>
          </a:r>
          <a:r>
            <a:rPr lang="en-CA" sz="1100" baseline="0">
              <a:solidFill>
                <a:sysClr val="windowText" lastClr="000000"/>
              </a:solidFill>
            </a:rPr>
            <a:t> effectiveness of spermicides and hinder detection of vaginal infections. Individuals with uncharacteristic vulvovaginal symptoms or a first occurance of yeast or vaginal infection should consult their physician. Individuals less than 12 years old, pregnant, diabetic or immunocompromised with suspected yeast/vaginal infection should consult their physician. Consult your physician if suspect sexually transmitted infection or less than 2 months since last yeast/vaginal infection.</a:t>
          </a:r>
          <a:endParaRPr lang="en-CA" sz="1100">
            <a:solidFill>
              <a:sysClr val="windowText" lastClr="000000"/>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00000000}" name="Table28" displayName="Table28" ref="A1:N17" totalsRowShown="0" headerRowDxfId="322">
  <autoFilter ref="A1:N17" xr:uid="{00000000-0009-0000-0100-00001C000000}"/>
  <tableColumns count="14">
    <tableColumn id="1" xr3:uid="{00000000-0010-0000-0000-000001000000}" name="Product Options" dataDxfId="321">
      <calculatedColumnFormula>IF(Table28[[#This Row],[Total]],Table28[[#This Row],[Product]])</calculatedColumnFormula>
    </tableColumn>
    <tableColumn id="2" xr3:uid="{00000000-0010-0000-0000-000002000000}" name="Xylitol" dataDxfId="320"/>
    <tableColumn id="3" xr3:uid="{00000000-0010-0000-0000-000003000000}" name="Saliva Substitute" dataDxfId="319"/>
    <tableColumn id="14" xr3:uid="{831CDC13-A4F7-4C3F-861B-5ACA4A0B971B}" name="PRN" dataDxfId="318">
      <calculatedColumnFormula>AND('Dry Mouth Criteria'!B7,'Dry Mouth Criteria'!C8)</calculatedColumnFormula>
    </tableColumn>
    <tableColumn id="13" xr3:uid="{956FB2A9-6839-408E-BAB3-1D89CD9BC8F8}" name="Overnight" dataDxfId="317">
      <calculatedColumnFormula>AND('Dry Mouth Criteria'!B6,'Dry Mouth Criteria'!C5)</calculatedColumnFormula>
    </tableColumn>
    <tableColumn id="4" xr3:uid="{00000000-0010-0000-0000-000004000000}" name="Parabens" dataDxfId="316"/>
    <tableColumn id="5" xr3:uid="{00000000-0010-0000-0000-000005000000}" name="Yerba Santa"/>
    <tableColumn id="12" xr3:uid="{449A2391-3602-46D1-94F5-C076BBCEFA04}" name="Spray" dataDxfId="315">
      <calculatedColumnFormula>AND('Dry Mouth Criteria'!B9,'Dry Mouth Criteria'!C10:C13)</calculatedColumnFormula>
    </tableColumn>
    <tableColumn id="11" xr3:uid="{C0540F23-784A-4125-B93C-7888D036F0AE}" name="Wash" dataDxfId="314">
      <calculatedColumnFormula>AND('Dry Mouth Criteria'!B10,'Dry Mouth Criteria'!C9,'Dry Mouth Criteria'!C11:C13)</calculatedColumnFormula>
    </tableColumn>
    <tableColumn id="10" xr3:uid="{79ADBE7B-BF1B-44E4-AE24-2C0E9EF1EDF1}" name="Gel" dataDxfId="313">
      <calculatedColumnFormula>AND('Dry Mouth Criteria'!B9,'Dry Mouth Criteria'!C7:C8,'Dry Mouth Criteria'!C10:C11)</calculatedColumnFormula>
    </tableColumn>
    <tableColumn id="9" xr3:uid="{CA42A956-8990-42A4-B7E2-2592A1914EBD}" name="Lozenge/Gum" dataDxfId="312">
      <calculatedColumnFormula>AND('Dry Mouth Criteria'!B9,'Dry Mouth Criteria'!C6:C8,'Dry Mouth Criteria'!C10)</calculatedColumnFormula>
    </tableColumn>
    <tableColumn id="8" xr3:uid="{A6B7021D-3951-401E-B437-80829D9275C2}" name="Patch" dataDxfId="311"/>
    <tableColumn id="6" xr3:uid="{00000000-0010-0000-0000-000006000000}" name="Total" dataDxfId="310">
      <calculatedColumnFormula>AND(#REF!)</calculatedColumnFormula>
    </tableColumn>
    <tableColumn id="7" xr3:uid="{00000000-0010-0000-0000-000007000000}" name="Product"/>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9000000}" name="Table152516" displayName="Table152516" ref="A1:T100" totalsRowShown="0">
  <autoFilter ref="A1:T100" xr:uid="{00000000-0009-0000-0100-00000F000000}"/>
  <tableColumns count="20">
    <tableColumn id="1" xr3:uid="{00000000-0010-0000-0900-000001000000}" name="Product Options" dataDxfId="217">
      <calculatedColumnFormula>IF(Table152516[[#This Row],[Column11]],Table152516[[#This Row],[Column12]])</calculatedColumnFormula>
    </tableColumn>
    <tableColumn id="6" xr3:uid="{00000000-0010-0000-0900-000006000000}" name="Occlusive" dataDxfId="216"/>
    <tableColumn id="4" xr3:uid="{00000000-0010-0000-0900-000004000000}" name="Humectant" dataDxfId="215"/>
    <tableColumn id="3" xr3:uid="{00000000-0010-0000-0900-000003000000}" name="Emollient" dataDxfId="214"/>
    <tableColumn id="2" xr3:uid="{00000000-0010-0000-0900-000002000000}" name="Bath Oil" dataDxfId="213"/>
    <tableColumn id="8" xr3:uid="{00000000-0010-0000-0900-000008000000}" name="Colloidal Oat" dataDxfId="212"/>
    <tableColumn id="9" xr3:uid="{00000000-0010-0000-0900-000009000000}" name="Urea" dataDxfId="211"/>
    <tableColumn id="15" xr3:uid="{00000000-0010-0000-0900-00000F000000}" name="Lanolin" dataDxfId="210"/>
    <tableColumn id="23" xr3:uid="{00000000-0010-0000-0900-000017000000}" name="Paraben" dataDxfId="209"/>
    <tableColumn id="5" xr3:uid="{00000000-0010-0000-0900-000005000000}" name="Steroid" dataDxfId="208"/>
    <tableColumn id="14" xr3:uid="{00000000-0010-0000-0900-00000E000000}" name="Itch"/>
    <tableColumn id="10" xr3:uid="{00000000-0010-0000-0900-00000A000000}" name="Cream" dataDxfId="207"/>
    <tableColumn id="16" xr3:uid="{00000000-0010-0000-0900-000010000000}" name="Ointment" dataDxfId="206"/>
    <tableColumn id="13" xr3:uid="{00000000-0010-0000-0900-00000D000000}" name="Lotion" dataDxfId="205"/>
    <tableColumn id="17" xr3:uid="{00000000-0010-0000-0900-000011000000}" name="Balm" dataDxfId="204"/>
    <tableColumn id="19" xr3:uid="{00000000-0010-0000-0900-000013000000}" name="Hypoallergic" dataDxfId="203"/>
    <tableColumn id="22" xr3:uid="{00000000-0010-0000-0900-000016000000}" name="Fragrancy-Free" dataDxfId="202"/>
    <tableColumn id="21" xr3:uid="{00000000-0010-0000-0900-000015000000}" name="Non-comedogenic" dataDxfId="201"/>
    <tableColumn id="11" xr3:uid="{00000000-0010-0000-0900-00000B000000}" name="Column11" dataDxfId="200">
      <calculatedColumnFormula>AND(Table152516[[#This Row],[Colloidal Oat]:[Non-comedogenic]],OR(Table152516[[#This Row],[Occlusive]:[Bath Oil]]))</calculatedColumnFormula>
    </tableColumn>
    <tableColumn id="12" xr3:uid="{00000000-0010-0000-0900-00000C000000}" name="Column1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A000000}" name="Table1524" displayName="Table1524" ref="A1:K20" totalsRowShown="0">
  <autoFilter ref="A1:K20" xr:uid="{00000000-0009-0000-0100-000017000000}"/>
  <tableColumns count="11">
    <tableColumn id="1" xr3:uid="{00000000-0010-0000-0A00-000001000000}" name="Product Options" dataDxfId="199">
      <calculatedColumnFormula>IF(Table1524[[#This Row],[Column11]],Table1524[[#This Row],[Column12]])</calculatedColumnFormula>
    </tableColumn>
    <tableColumn id="15" xr3:uid="{00000000-0010-0000-0A00-00000F000000}" name="Salicylic Acid"/>
    <tableColumn id="17" xr3:uid="{00000000-0010-0000-0A00-000011000000}" name="Cryogenic" dataDxfId="198"/>
    <tableColumn id="2" xr3:uid="{00000000-0010-0000-0A00-000002000000}" name="Lanolin"/>
    <tableColumn id="4" xr3:uid="{00000000-0010-0000-0A00-000004000000}" name="Rubber" dataDxfId="197"/>
    <tableColumn id="5" xr3:uid="{00000000-0010-0000-0A00-000005000000}" name="Pad" dataDxfId="196"/>
    <tableColumn id="6" xr3:uid="{00000000-0010-0000-0A00-000006000000}" name="Liquid/Gel" dataDxfId="195"/>
    <tableColumn id="7" xr3:uid="{00000000-0010-0000-0A00-000007000000}" name="Common Warts" dataDxfId="194"/>
    <tableColumn id="3" xr3:uid="{00000000-0010-0000-0A00-000003000000}" name="Plantar" dataDxfId="193"/>
    <tableColumn id="11" xr3:uid="{00000000-0010-0000-0A00-00000B000000}" name="Column11" dataDxfId="192">
      <calculatedColumnFormula>AND(Table1524[[#This Row],[Salicylic Acid]:[Liquid/Gel]],OR(Table1524[[#This Row],[Common Warts]:[Plantar]]))</calculatedColumnFormula>
    </tableColumn>
    <tableColumn id="12" xr3:uid="{00000000-0010-0000-0A00-00000C000000}" name="Column12"/>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B000000}" name="Table1523" displayName="Table1523" ref="A1:M32" totalsRowShown="0">
  <autoFilter ref="A1:M32" xr:uid="{00000000-0009-0000-0100-000016000000}"/>
  <tableColumns count="13">
    <tableColumn id="1" xr3:uid="{00000000-0010-0000-0B00-000001000000}" name="Product Options" dataDxfId="191">
      <calculatedColumnFormula>IF(Table1523[[#This Row],[Column11]],Table1523[[#This Row],[Column12]])</calculatedColumnFormula>
    </tableColumn>
    <tableColumn id="9" xr3:uid="{00000000-0010-0000-0B00-000009000000}" name="Azole"/>
    <tableColumn id="5" xr3:uid="{00000000-0010-0000-0B00-000005000000}" name="Toln-skin" dataDxfId="190"/>
    <tableColumn id="7" xr3:uid="{00000000-0010-0000-0B00-000007000000}" name="Toln-nail" dataDxfId="189"/>
    <tableColumn id="6" xr3:uid="{00000000-0010-0000-0B00-000006000000}" name="Undecylenic/lactic acid" dataDxfId="188"/>
    <tableColumn id="14" xr3:uid="{00000000-0010-0000-0B00-00000E000000}" name="Antibiotic"/>
    <tableColumn id="15" xr3:uid="{00000000-0010-0000-0B00-00000F000000}" name="Anesthetic"/>
    <tableColumn id="18" xr3:uid="{00000000-0010-0000-0B00-000012000000}" name="Antiseptic"/>
    <tableColumn id="17" xr3:uid="{00000000-0010-0000-0B00-000011000000}" name="Pramoxine"/>
    <tableColumn id="3" xr3:uid="{00000000-0010-0000-0B00-000003000000}" name="Cream/Ointment" dataDxfId="187"/>
    <tableColumn id="2" xr3:uid="{00000000-0010-0000-0B00-000002000000}" name="Spray/Powder" dataDxfId="186"/>
    <tableColumn id="11" xr3:uid="{00000000-0010-0000-0B00-00000B000000}" name="Column11" dataDxfId="185">
      <calculatedColumnFormula>AND(Table1523[[#This Row],[Azole]:[Spray/Powder]])</calculatedColumnFormula>
    </tableColumn>
    <tableColumn id="12" xr3:uid="{00000000-0010-0000-0B00-00000C000000}" name="Column1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C000000}" name="Table1522" displayName="Table1522" ref="A1:K50" totalsRowShown="0">
  <autoFilter ref="A1:K50" xr:uid="{00000000-0009-0000-0100-000015000000}"/>
  <tableColumns count="11">
    <tableColumn id="1" xr3:uid="{00000000-0010-0000-0C00-000001000000}" name="Product Options" dataDxfId="184">
      <calculatedColumnFormula>IF(Table1522[[#This Row],[Column11]],Table1522[[#This Row],[Column12]])</calculatedColumnFormula>
    </tableColumn>
    <tableColumn id="15" xr3:uid="{00000000-0010-0000-0C00-00000F000000}" name="Salicylic Acid" dataDxfId="183"/>
    <tableColumn id="18" xr3:uid="{00000000-0010-0000-0C00-000012000000}" name="Peroxide" dataDxfId="182"/>
    <tableColumn id="3" xr3:uid="{00000000-0010-0000-0C00-000003000000}" name="Cream" dataDxfId="181"/>
    <tableColumn id="6" xr3:uid="{00000000-0010-0000-0C00-000006000000}" name="Lotion" dataDxfId="180"/>
    <tableColumn id="5" xr3:uid="{00000000-0010-0000-0C00-000005000000}" name="Gel"/>
    <tableColumn id="7" xr3:uid="{00000000-0010-0000-0C00-000007000000}" name="Solution"/>
    <tableColumn id="2" xr3:uid="{00000000-0010-0000-0C00-000002000000}" name="Cleanser" dataDxfId="179"/>
    <tableColumn id="4" xr3:uid="{00000000-0010-0000-0C00-000004000000}" name="Spot Treatment" dataDxfId="178"/>
    <tableColumn id="11" xr3:uid="{00000000-0010-0000-0C00-00000B000000}" name="Column11" dataDxfId="177">
      <calculatedColumnFormula>AND(Table1522[[#This Row],[Salicylic Acid]:[Spot Treatment]])</calculatedColumnFormula>
    </tableColumn>
    <tableColumn id="12" xr3:uid="{00000000-0010-0000-0C00-00000C000000}" name="Column1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D000000}" name="Table16" displayName="Table16" ref="A1:H15" totalsRowShown="0">
  <autoFilter ref="A1:H15" xr:uid="{00000000-0009-0000-0100-000010000000}"/>
  <tableColumns count="8">
    <tableColumn id="1" xr3:uid="{00000000-0010-0000-0D00-000001000000}" name="Product Options">
      <calculatedColumnFormula>IF(Table16[[#This Row],[Column11]],Table16[[#This Row],[Column12]])</calculatedColumnFormula>
    </tableColumn>
    <tableColumn id="2" xr3:uid="{00000000-0010-0000-0D00-000002000000}" name="Antibiotic" dataDxfId="176"/>
    <tableColumn id="3" xr3:uid="{00000000-0010-0000-0D00-000003000000}" name="Anesthetic" dataDxfId="175"/>
    <tableColumn id="5" xr3:uid="{C789CB22-9E27-4B72-9034-C2DFA3A203BC}" name="Peanut" dataDxfId="174">
      <calculatedColumnFormula>OR('Ear Product Criteria'!B10:C10)</calculatedColumnFormula>
    </tableColumn>
    <tableColumn id="6" xr3:uid="{86B0B7D8-1496-4AC9-9761-60A79D0A4F8B}" name="Dry"/>
    <tableColumn id="4" xr3:uid="{00000000-0010-0000-0D00-000004000000}" name="Solvent"/>
    <tableColumn id="11" xr3:uid="{00000000-0010-0000-0D00-00000B000000}" name="Column11" dataDxfId="173">
      <calculatedColumnFormula>AND(Table16[[#This Row],[Antibiotic]:[Solvent]])</calculatedColumnFormula>
    </tableColumn>
    <tableColumn id="12" xr3:uid="{00000000-0010-0000-0D00-00000C000000}" name="Column12"/>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E000000}" name="Table19" displayName="Table19" ref="A1:T99" totalsRowShown="0">
  <autoFilter ref="A1:T99" xr:uid="{00000000-0009-0000-0100-000013000000}"/>
  <tableColumns count="20">
    <tableColumn id="1" xr3:uid="{00000000-0010-0000-0E00-000001000000}" name="Product Options" dataDxfId="172">
      <calculatedColumnFormula>IF(Table19[[#This Row],[Column2]],Table19[[#This Row],[Column13]])</calculatedColumnFormula>
    </tableColumn>
    <tableColumn id="27" xr3:uid="{00000000-0010-0000-0E00-00001B000000}" name="Low SPF"/>
    <tableColumn id="2" xr3:uid="{00000000-0010-0000-0E00-000002000000}" name="Mid SPF" dataDxfId="171"/>
    <tableColumn id="5" xr3:uid="{00000000-0010-0000-0E00-000005000000}" name="High SPF" dataDxfId="170"/>
    <tableColumn id="6" xr3:uid="{00000000-0010-0000-0E00-000006000000}" name="Spray/Whip/Oil" dataDxfId="169"/>
    <tableColumn id="23" xr3:uid="{00000000-0010-0000-0E00-000017000000}" name="Stick" dataDxfId="168"/>
    <tableColumn id="21" xr3:uid="{00000000-0010-0000-0E00-000015000000}" name="Lotion" dataDxfId="167"/>
    <tableColumn id="10" xr3:uid="{00000000-0010-0000-0E00-00000A000000}" name="UVA/UVB" dataDxfId="166"/>
    <tableColumn id="11" xr3:uid="{00000000-0010-0000-0E00-00000B000000}" name="Kids" dataDxfId="165"/>
    <tableColumn id="12" xr3:uid="{00000000-0010-0000-0E00-00000C000000}" name="Water resistent/proof" dataDxfId="164"/>
    <tableColumn id="16" xr3:uid="{00000000-0010-0000-0E00-000010000000}" name="Oxy/Avobenzone" dataDxfId="163"/>
    <tableColumn id="15" xr3:uid="{00000000-0010-0000-0E00-00000F000000}" name="Face/Lips" dataDxfId="162"/>
    <tableColumn id="17" xr3:uid="{00000000-0010-0000-0E00-000011000000}" name="Body" dataDxfId="161"/>
    <tableColumn id="20" xr3:uid="{00000000-0010-0000-0E00-000014000000}" name="Non-comedogenic" dataDxfId="160"/>
    <tableColumn id="14" xr3:uid="{00000000-0010-0000-0E00-00000E000000}" name="Hypoallergenic" dataDxfId="159"/>
    <tableColumn id="26" xr3:uid="{00000000-0010-0000-0E00-00001A000000}" name="Fragrance-Free" dataDxfId="158"/>
    <tableColumn id="24" xr3:uid="{00000000-0010-0000-0E00-000018000000}" name="Oil-Free" dataDxfId="157"/>
    <tableColumn id="3" xr3:uid="{00000000-0010-0000-0E00-000003000000}" name="Mineral"/>
    <tableColumn id="18" xr3:uid="{00000000-0010-0000-0E00-000012000000}" name="Column2" dataDxfId="156">
      <calculatedColumnFormula>AND(Table19[[#This Row],[Non-comedogenic]:[Mineral]],Table19[[#This Row],[Spray/Whip/Oil]:[Oxy/Avobenzone]],OR(Table19[[#This Row],[Low SPF]:[High SPF]]),OR(Table19[[#This Row],[Face/Lips]:[Body]]))</calculatedColumnFormula>
    </tableColumn>
    <tableColumn id="13" xr3:uid="{00000000-0010-0000-0E00-00000D000000}" name="Column1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F000000}" name="Table20" displayName="Table20" ref="A1:O23" totalsRowShown="0">
  <autoFilter ref="A1:O23" xr:uid="{00000000-0009-0000-0100-000014000000}"/>
  <tableColumns count="15">
    <tableColumn id="1" xr3:uid="{00000000-0010-0000-0F00-000001000000}" name="Product Options" dataDxfId="155">
      <calculatedColumnFormula>IF(Table20[[#This Row],[Column7]],Table20[[#This Row],[Column8]])</calculatedColumnFormula>
    </tableColumn>
    <tableColumn id="10" xr3:uid="{00000000-0010-0000-0F00-00000A000000}" name="Pregnancy" dataDxfId="154"/>
    <tableColumn id="9" xr3:uid="{00000000-0010-0000-0F00-000009000000}" name="Ovulation" dataDxfId="153"/>
    <tableColumn id="6" xr3:uid="{00000000-0010-0000-0F00-000006000000}" name="Preg/Ovu" dataDxfId="152"/>
    <tableColumn id="14" xr3:uid="{00000000-0010-0000-0F00-00000E000000}" name="hCG" dataDxfId="151"/>
    <tableColumn id="13" xr3:uid="{00000000-0010-0000-0F00-00000D000000}" name="LH" dataDxfId="150"/>
    <tableColumn id="12" xr3:uid="{00000000-0010-0000-0F00-00000C000000}" name="Estrogen/LH" dataDxfId="149"/>
    <tableColumn id="2" xr3:uid="{00000000-0010-0000-0F00-000002000000}" name="Digital Indicator" dataDxfId="148"/>
    <tableColumn id="11" xr3:uid="{00000000-0010-0000-0F00-00000B000000}" name="Line Indicator" dataDxfId="147"/>
    <tableColumn id="15" xr3:uid="{00000000-0010-0000-0F00-00000F000000}" name="Dig/Line Combo" dataDxfId="146"/>
    <tableColumn id="3" xr3:uid="{00000000-0010-0000-0F00-000003000000}" name="Gestation Indicator" dataDxfId="145"/>
    <tableColumn id="4" xr3:uid="{00000000-0010-0000-0F00-000004000000}" name="Pre missed period" dataDxfId="144"/>
    <tableColumn id="5" xr3:uid="{00000000-0010-0000-0F00-000005000000}" name="Fastest" dataDxfId="143"/>
    <tableColumn id="7" xr3:uid="{00000000-0010-0000-0F00-000007000000}" name="Column7" dataDxfId="142">
      <calculatedColumnFormula>AND(Table20[[#This Row],[Pregnancy]:[Fastest]])</calculatedColumnFormula>
    </tableColumn>
    <tableColumn id="8" xr3:uid="{00000000-0010-0000-0F00-000008000000}" name="Column8"/>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0000000}" name="Table24" displayName="Table24" ref="A1:M26" totalsRowShown="0">
  <autoFilter ref="A1:M26" xr:uid="{00000000-0009-0000-0100-000018000000}"/>
  <tableColumns count="13">
    <tableColumn id="1" xr3:uid="{00000000-0010-0000-1000-000001000000}" name="Product Options" dataDxfId="141">
      <calculatedColumnFormula>IF(Table24[[#This Row],[Column1]],Table24[[#This Row],[Column9]])</calculatedColumnFormula>
    </tableColumn>
    <tableColumn id="11" xr3:uid="{00000000-0010-0000-1000-00000B000000}" name="NRT" dataDxfId="140"/>
    <tableColumn id="2" xr3:uid="{00000000-0010-0000-1000-000002000000}" name="Light Smoker" dataDxfId="139"/>
    <tableColumn id="3" xr3:uid="{00000000-0010-0000-1000-000003000000}" name="Heavy Smoker" dataDxfId="138"/>
    <tableColumn id="4" xr3:uid="{00000000-0010-0000-1000-000004000000}" name="Patch" dataDxfId="137"/>
    <tableColumn id="5" xr3:uid="{00000000-0010-0000-1000-000005000000}" name="Inhaler" dataDxfId="136"/>
    <tableColumn id="6" xr3:uid="{00000000-0010-0000-1000-000006000000}" name="Lozenge" dataDxfId="135"/>
    <tableColumn id="7" xr3:uid="{00000000-0010-0000-1000-000007000000}" name="Gum" dataDxfId="134"/>
    <tableColumn id="8" xr3:uid="{00000000-0010-0000-1000-000008000000}" name="Mist" dataDxfId="133"/>
    <tableColumn id="12" xr3:uid="{00000000-0010-0000-1000-00000C000000}" name="Mint" dataDxfId="132"/>
    <tableColumn id="13" xr3:uid="{00000000-0010-0000-1000-00000D000000}" name="Flavor" dataDxfId="131"/>
    <tableColumn id="10" xr3:uid="{00000000-0010-0000-1000-00000A000000}" name="Column1" dataDxfId="130">
      <calculatedColumnFormula>AND(OR(Table24[[#This Row],[Light Smoker]:[Heavy Smoker]]),AND(Table24[[#This Row],[Patch]:[Mist]]),OR(Table24[[#This Row],[Mint]:[Flavor]]))</calculatedColumnFormula>
    </tableColumn>
    <tableColumn id="9" xr3:uid="{00000000-0010-0000-1000-000009000000}" name="Column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1000000}" name="Table26" displayName="Table26" ref="A1:R36" totalsRowShown="0">
  <autoFilter ref="A1:R36" xr:uid="{00000000-0009-0000-0100-00001A000000}"/>
  <tableColumns count="18">
    <tableColumn id="1" xr3:uid="{00000000-0010-0000-1100-000001000000}" name="Product Options" dataDxfId="129">
      <calculatedColumnFormula>IF(Table26[[#This Row],[Column9]],Table26[[#This Row],[Column10]])</calculatedColumnFormula>
    </tableColumn>
    <tableColumn id="2" xr3:uid="{00000000-0010-0000-1100-000002000000}" name="Battery" dataDxfId="128"/>
    <tableColumn id="3" xr3:uid="{00000000-0010-0000-1100-000003000000}" name="Plug-In" dataDxfId="127"/>
    <tableColumn id="18" xr3:uid="{00000000-0010-0000-1100-000012000000}" name="Battery+" dataDxfId="126"/>
    <tableColumn id="12" xr3:uid="{00000000-0010-0000-1100-00000C000000}" name="Adapt+" dataDxfId="125"/>
    <tableColumn id="15" xr3:uid="{00000000-0010-0000-1100-00000F000000}" name="Wireless" dataDxfId="124"/>
    <tableColumn id="4" xr3:uid="{00000000-0010-0000-1100-000004000000}" name="Single User" dataDxfId="123"/>
    <tableColumn id="5" xr3:uid="{00000000-0010-0000-1100-000005000000}" name="Multi-User" dataDxfId="122"/>
    <tableColumn id="7" xr3:uid="{00000000-0010-0000-1100-000007000000}" name="Motion/Fit Sensor" dataDxfId="121"/>
    <tableColumn id="11" xr3:uid="{00000000-0010-0000-1100-00000B000000}" name="Irregular Beat indicator" dataDxfId="120"/>
    <tableColumn id="8" xr3:uid="{00000000-0010-0000-1100-000008000000}" name="Wide Cuff" dataDxfId="119"/>
    <tableColumn id="14" xr3:uid="{00000000-0010-0000-1100-00000E000000}" name="Size Cuff" dataDxfId="118"/>
    <tableColumn id="13" xr3:uid="{00000000-0010-0000-1100-00000D000000}" name="One Touch Button" dataDxfId="117"/>
    <tableColumn id="16" xr3:uid="{00000000-0010-0000-1100-000010000000}" name="Verbal Assist" dataDxfId="116"/>
    <tableColumn id="17" xr3:uid="{00000000-0010-0000-1100-000011000000}" name="Reading Reminder" dataDxfId="115"/>
    <tableColumn id="19" xr3:uid="{4C7B8172-3FC9-442A-B4B8-F000F6D461E4}" name="HC Rating"/>
    <tableColumn id="9" xr3:uid="{00000000-0010-0000-1100-000009000000}" name="Column9" dataDxfId="114">
      <calculatedColumnFormula>AND(Table26[[#This Row],[Battery]:[Reading Reminder]])</calculatedColumnFormula>
    </tableColumn>
    <tableColumn id="10" xr3:uid="{00000000-0010-0000-1100-00000A000000}" name="Column10"/>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2000000}" name="Table27" displayName="Table27" ref="A1:O12" totalsRowShown="0">
  <autoFilter ref="A1:O12" xr:uid="{00000000-0009-0000-0100-00001B000000}"/>
  <tableColumns count="15">
    <tableColumn id="1" xr3:uid="{00000000-0010-0000-1200-000001000000}" name="Product Options" dataDxfId="113">
      <calculatedColumnFormula>IF(Table27[[#This Row],[Column1]],Table27[[#This Row],[Column10]])</calculatedColumnFormula>
    </tableColumn>
    <tableColumn id="15" xr3:uid="{00000000-0010-0000-1200-00000F000000}" name="Preg/Nurse"/>
    <tableColumn id="5" xr3:uid="{00000000-0010-0000-1200-000005000000}" name="Pesticide" dataDxfId="112"/>
    <tableColumn id="11" xr3:uid="{00000000-0010-0000-1200-00000B000000}" name="Pesticide-free"/>
    <tableColumn id="12" xr3:uid="{00000000-0010-0000-1200-00000C000000}" name="Mineral Oil" dataDxfId="111"/>
    <tableColumn id="6" xr3:uid="{00000000-0010-0000-1200-000006000000}" name="wet hair" dataDxfId="110"/>
    <tableColumn id="7" xr3:uid="{00000000-0010-0000-1200-000007000000}" name="dry hair" dataDxfId="109"/>
    <tableColumn id="8" xr3:uid="{00000000-0010-0000-1200-000008000000}" name="Resistance-Free" dataDxfId="108"/>
    <tableColumn id="9" xr3:uid="{00000000-0010-0000-1200-000009000000}" name="10min" dataDxfId="107"/>
    <tableColumn id="13" xr3:uid="{00000000-0010-0000-1200-00000D000000}" name="Overnight" dataDxfId="106"/>
    <tableColumn id="2" xr3:uid="{00000000-0010-0000-1200-000002000000}" name="Nits/Lice" dataDxfId="105"/>
    <tableColumn id="3" xr3:uid="{00000000-0010-0000-1200-000003000000}" name="Lice" dataDxfId="104"/>
    <tableColumn id="4" xr3:uid="{00000000-0010-0000-1200-000004000000}" name="No Conditioner" dataDxfId="103"/>
    <tableColumn id="14" xr3:uid="{00000000-0010-0000-1200-00000E000000}" name="Column1" dataDxfId="102">
      <calculatedColumnFormula>AND(Table27[[#This Row],[Preg/Nurse]:[No Conditioner]])</calculatedColumnFormula>
    </tableColumn>
    <tableColumn id="10" xr3:uid="{00000000-0010-0000-1200-00000A000000}" name="Column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1:Q167" totalsRowShown="0">
  <autoFilter ref="A1:Q167" xr:uid="{00000000-0009-0000-0100-000003000000}"/>
  <tableColumns count="17">
    <tableColumn id="1" xr3:uid="{00000000-0010-0000-0100-000001000000}" name="Product Options" dataDxfId="309"/>
    <tableColumn id="11" xr3:uid="{00000000-0010-0000-0100-00000B000000}" name="Adult" dataDxfId="308"/>
    <tableColumn id="15" xr3:uid="{00000000-0010-0000-0100-00000F000000}" name="Kids" dataDxfId="307"/>
    <tableColumn id="17" xr3:uid="{00000000-0010-0000-0100-000011000000}" name="Liquid" dataDxfId="306"/>
    <tableColumn id="16" xr3:uid="{00000000-0010-0000-0100-000010000000}" name="Tab" dataDxfId="305"/>
    <tableColumn id="12" xr3:uid="{00000000-0010-0000-0100-00000C000000}" name="Topical" dataDxfId="304"/>
    <tableColumn id="2" xr3:uid="{00000000-0010-0000-0100-000002000000}" name="Cough Suppressant"/>
    <tableColumn id="3" xr3:uid="{00000000-0010-0000-0100-000003000000}" name="Anti-Histamine"/>
    <tableColumn id="4" xr3:uid="{00000000-0010-0000-0100-000004000000}" name="Decongestant"/>
    <tableColumn id="5" xr3:uid="{00000000-0010-0000-0100-000005000000}" name="Guaifenasin"/>
    <tableColumn id="6" xr3:uid="{00000000-0010-0000-0100-000006000000}" name="APAP"/>
    <tableColumn id="7" xr3:uid="{00000000-0010-0000-0100-000007000000}" name="Ibuprofen"/>
    <tableColumn id="8" xr3:uid="{00000000-0010-0000-0100-000008000000}" name="Menthol"/>
    <tableColumn id="13" xr3:uid="{00000000-0010-0000-0100-00000D000000}" name="Anesthetic"/>
    <tableColumn id="14" xr3:uid="{00000000-0010-0000-0100-00000E000000}" name="Antiseptic" dataDxfId="303"/>
    <tableColumn id="9" xr3:uid="{00000000-0010-0000-0100-000009000000}" name="Total" dataDxfId="302"/>
    <tableColumn id="10" xr3:uid="{00000000-0010-0000-0100-00000A000000}" name="Product" dataDxfId="301"/>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3000000}" name="Table29" displayName="Table29" ref="A1:AG109" totalsRowShown="0" headerRowDxfId="101">
  <autoFilter ref="A1:AG109" xr:uid="{00000000-0009-0000-0100-00001D000000}"/>
  <tableColumns count="33">
    <tableColumn id="1" xr3:uid="{00000000-0010-0000-1300-000001000000}" name="Product Options" dataDxfId="100">
      <calculatedColumnFormula>IF(Table29[[#This Row],[Column52]],Table29[[#This Row],[Products]])</calculatedColumnFormula>
    </tableColumn>
    <tableColumn id="2" xr3:uid="{00000000-0010-0000-1300-000002000000}" name="Plaster" dataDxfId="99"/>
    <tableColumn id="26" xr3:uid="{00000000-0010-0000-1300-00001A000000}" name="Liquid"/>
    <tableColumn id="19" xr3:uid="{00000000-0010-0000-1300-000013000000}" name="Gauze Roll"/>
    <tableColumn id="12" xr3:uid="{00000000-0010-0000-1300-00000C000000}" name="Gauze Pad"/>
    <tableColumn id="25" xr3:uid="{00000000-0010-0000-1300-000019000000}" name="Pad"/>
    <tableColumn id="21" xr3:uid="{00000000-0010-0000-1300-000015000000}" name="Tape"/>
    <tableColumn id="27" xr3:uid="{00000000-0010-0000-1300-00001B000000}" name="Compression"/>
    <tableColumn id="23" xr3:uid="{00000000-0010-0000-1300-000017000000}" name="AntiBiotic" dataDxfId="98"/>
    <tableColumn id="28" xr3:uid="{00000000-0010-0000-1300-00001C000000}" name="Absorbent/Porous"/>
    <tableColumn id="20" xr3:uid="{00000000-0010-0000-1300-000014000000}" name="Waterproof" dataDxfId="97"/>
    <tableColumn id="16" xr3:uid="{00000000-0010-0000-1300-000010000000}" name="Water-resistant"/>
    <tableColumn id="22" xr3:uid="{00000000-0010-0000-1300-000016000000}" name="Non-Stick Pad" dataDxfId="96"/>
    <tableColumn id="3" xr3:uid="{00000000-0010-0000-1300-000003000000}" name="Multi-Day" dataDxfId="95"/>
    <tableColumn id="9" xr3:uid="{00000000-0010-0000-1300-000009000000}" name="Single-Day" dataDxfId="94"/>
    <tableColumn id="18" xr3:uid="{00000000-0010-0000-1300-000012000000}" name="Flexible" dataDxfId="93"/>
    <tableColumn id="17" xr3:uid="{00000000-0010-0000-1300-000011000000}" name="Tough" dataDxfId="92"/>
    <tableColumn id="4" xr3:uid="{00000000-0010-0000-1300-000004000000}" name="Specific" dataDxfId="91"/>
    <tableColumn id="7" xr3:uid="{00000000-0010-0000-1300-000007000000}" name="General" dataDxfId="90"/>
    <tableColumn id="15" xr3:uid="{00000000-0010-0000-1300-00000F000000}" name="Hydrocolloid" dataDxfId="89"/>
    <tableColumn id="8" xr3:uid="{00000000-0010-0000-1300-000008000000}" name="Assorted" dataDxfId="88"/>
    <tableColumn id="11" xr3:uid="{00000000-0010-0000-1300-00000B000000}" name="Small" dataDxfId="87"/>
    <tableColumn id="10" xr3:uid="{00000000-0010-0000-1300-00000A000000}" name="Medium"/>
    <tableColumn id="14" xr3:uid="{00000000-0010-0000-1300-00000E000000}" name="Large" dataDxfId="86"/>
    <tableColumn id="13" xr3:uid="{00000000-0010-0000-1300-00000D000000}" name="X-Large" dataDxfId="85"/>
    <tableColumn id="5" xr3:uid="{00000000-0010-0000-1300-000005000000}" name="Variety Pack" dataDxfId="84"/>
    <tableColumn id="30" xr3:uid="{00000000-0010-0000-1300-00001E000000}" name="Decorated"/>
    <tableColumn id="31" xr3:uid="{00000000-0010-0000-1300-00001F000000}" name="Gentle"/>
    <tableColumn id="32" xr3:uid="{00000000-0010-0000-1300-000020000000}" name="Clear"/>
    <tableColumn id="33" xr3:uid="{00000000-0010-0000-1300-000021000000}" name="Self-Adhering"/>
    <tableColumn id="34" xr3:uid="{00000000-0010-0000-1300-000022000000}" name="Hypoallergenic"/>
    <tableColumn id="24" xr3:uid="{00000000-0010-0000-1300-000018000000}" name="Column52" dataDxfId="83">
      <calculatedColumnFormula>AND(Table29[[#This Row],[Plaster]:[Hypoallergenic]])</calculatedColumnFormula>
    </tableColumn>
    <tableColumn id="6" xr3:uid="{00000000-0010-0000-1300-000006000000}" name="Products"/>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4000000}" name="Table32" displayName="Table32" ref="A1:AA40" totalsRowShown="0">
  <autoFilter ref="A1:AA40" xr:uid="{00000000-0009-0000-0100-000020000000}"/>
  <tableColumns count="27">
    <tableColumn id="1" xr3:uid="{00000000-0010-0000-1400-000001000000}" name="Product Options" dataDxfId="82">
      <calculatedColumnFormula>IF(Table32[[#This Row],[Column8]],Table32[[#This Row],[Products2]])</calculatedColumnFormula>
    </tableColumn>
    <tableColumn id="2" xr3:uid="{00000000-0010-0000-1400-000002000000}" name="Immune Support" dataDxfId="81"/>
    <tableColumn id="3" xr3:uid="{00000000-0010-0000-1400-000003000000}" name="DHA" dataDxfId="80"/>
    <tableColumn id="28" xr3:uid="{00000000-0010-0000-1400-00001C000000}" name="Fiber"/>
    <tableColumn id="4" xr3:uid="{00000000-0010-0000-1400-000004000000}" name="non-GMO" dataDxfId="79"/>
    <tableColumn id="5" xr3:uid="{00000000-0010-0000-1400-000005000000}" name="Cow Milk" dataDxfId="78"/>
    <tableColumn id="15" xr3:uid="{00000000-0010-0000-1400-00000F000000}" name="Hormone-free" dataDxfId="77"/>
    <tableColumn id="18" xr3:uid="{00000000-0010-0000-1400-000012000000}" name="lactose-sensitive" dataDxfId="76"/>
    <tableColumn id="19" xr3:uid="{00000000-0010-0000-1400-000013000000}" name="Hypoallergic" dataDxfId="75"/>
    <tableColumn id="10" xr3:uid="{00000000-0010-0000-1400-00000A000000}" name="Soy"/>
    <tableColumn id="6" xr3:uid="{00000000-0010-0000-1400-000006000000}" name="Lutein" dataDxfId="74"/>
    <tableColumn id="7" xr3:uid="{00000000-0010-0000-1400-000007000000}" name="Vit E" dataDxfId="73"/>
    <tableColumn id="16" xr3:uid="{00000000-0010-0000-1400-000010000000}" name="Low Fe" dataDxfId="72"/>
    <tableColumn id="26" xr3:uid="{00000000-0010-0000-1400-00001A000000}" name="Fe+ Enriched" dataDxfId="71"/>
    <tableColumn id="17" xr3:uid="{00000000-0010-0000-1400-000011000000}" name="Hydrolate" dataDxfId="70"/>
    <tableColumn id="21" xr3:uid="{00000000-0010-0000-1400-000015000000}" name="Enriched" dataDxfId="69"/>
    <tableColumn id="23" xr3:uid="{00000000-0010-0000-1400-000017000000}" name="Ca+ Enriched" dataDxfId="68"/>
    <tableColumn id="11" xr3:uid="{00000000-0010-0000-1400-00000B000000}" name="0-12 Mnths" dataDxfId="67"/>
    <tableColumn id="22" xr3:uid="{00000000-0010-0000-1400-000016000000}" name="6-24 Mnths" dataDxfId="66"/>
    <tableColumn id="24" xr3:uid="{00000000-0010-0000-1400-000018000000}" name="12-36 Mnths" dataDxfId="65"/>
    <tableColumn id="14" xr3:uid="{00000000-0010-0000-1400-00000E000000}" name="Powder" dataDxfId="64"/>
    <tableColumn id="13" xr3:uid="{00000000-0010-0000-1400-00000D000000}" name="ReadyUse" dataDxfId="63"/>
    <tableColumn id="12" xr3:uid="{00000000-0010-0000-1400-00000C000000}" name="Con Liq" dataDxfId="62"/>
    <tableColumn id="25" xr3:uid="{00000000-0010-0000-1400-000019000000}" name="Kosher/Halal" dataDxfId="61"/>
    <tableColumn id="27" xr3:uid="{00000000-0010-0000-1400-00001B000000}" name="Organic"/>
    <tableColumn id="8" xr3:uid="{00000000-0010-0000-1400-000008000000}" name="Column8" dataDxfId="60">
      <calculatedColumnFormula>AND(Table32[[#This Row],[Immune Support]:[12-36 Mnths]],Table32[[#This Row],[Kosher/Halal]:[Organic]],OR(Table32[[#This Row],[Powder]:[Con Liq]]))</calculatedColumnFormula>
    </tableColumn>
    <tableColumn id="9" xr3:uid="{00000000-0010-0000-1400-000009000000}" name="Products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5000000}" name="Table30" displayName="Table30" ref="A1:AE39" totalsRowShown="0">
  <autoFilter ref="A1:AE39" xr:uid="{00000000-0009-0000-0100-00001E000000}"/>
  <tableColumns count="31">
    <tableColumn id="1" xr3:uid="{00000000-0010-0000-1500-000001000000}" name="Product Options" dataDxfId="59">
      <calculatedColumnFormula>IF(Table30[[#This Row],[Column7]],Table30[[#This Row],[Product2]])</calculatedColumnFormula>
    </tableColumn>
    <tableColumn id="2" xr3:uid="{00000000-0010-0000-1500-000002000000}" name="Flavours" dataDxfId="58"/>
    <tableColumn id="31" xr3:uid="{00000000-0010-0000-1500-00001F000000}" name="Adult" dataDxfId="57"/>
    <tableColumn id="19" xr3:uid="{00000000-0010-0000-1500-000013000000}" name="Women" dataDxfId="56"/>
    <tableColumn id="18" xr3:uid="{00000000-0010-0000-1500-000012000000}" name="Men"/>
    <tableColumn id="21" xr3:uid="{00000000-0010-0000-1500-000015000000}" name="Kids"/>
    <tableColumn id="23" xr3:uid="{00000000-0010-0000-1500-000017000000}" name="Weight Loss"/>
    <tableColumn id="14" xr3:uid="{00000000-0010-0000-1500-00000E000000}" name="Gain/Maintain Weight" dataDxfId="55"/>
    <tableColumn id="17" xr3:uid="{00000000-0010-0000-1500-000011000000}" name="Bone/Mobility" dataDxfId="54"/>
    <tableColumn id="3" xr3:uid="{00000000-0010-0000-1500-000003000000}" name="Diabetic" dataDxfId="53"/>
    <tableColumn id="22" xr3:uid="{00000000-0010-0000-1500-000016000000}" name="Fiber"/>
    <tableColumn id="4" xr3:uid="{00000000-0010-0000-1500-000004000000}" name="High Protein" dataDxfId="52"/>
    <tableColumn id="16" xr3:uid="{00000000-0010-0000-1500-000010000000}" name="Soy-Free" dataDxfId="51"/>
    <tableColumn id="5" xr3:uid="{00000000-0010-0000-1500-000005000000}" name="Gluten-Free" dataDxfId="50"/>
    <tableColumn id="11" xr3:uid="{00000000-0010-0000-1500-00000B000000}" name="Color-Free" dataDxfId="49"/>
    <tableColumn id="10" xr3:uid="{00000000-0010-0000-1500-00000A000000}" name="Sweeter-Free" dataDxfId="48"/>
    <tableColumn id="9" xr3:uid="{00000000-0010-0000-1500-000009000000}" name="Lactose-free" dataDxfId="47"/>
    <tableColumn id="12" xr3:uid="{00000000-0010-0000-1500-00000C000000}" name="Prebiotic" dataDxfId="46"/>
    <tableColumn id="13" xr3:uid="{00000000-0010-0000-1500-00000D000000}" name="Antioxidants" dataDxfId="45"/>
    <tableColumn id="24" xr3:uid="{00000000-0010-0000-1500-000018000000}" name="Keto"/>
    <tableColumn id="6" xr3:uid="{00000000-0010-0000-1500-000006000000}" name="Kosher" dataDxfId="44"/>
    <tableColumn id="20" xr3:uid="{00000000-0010-0000-1500-000014000000}" name="Halal" dataDxfId="43"/>
    <tableColumn id="15" xr3:uid="{00000000-0010-0000-1500-00000F000000}" name="Fluid Restricted" dataDxfId="42"/>
    <tableColumn id="25" xr3:uid="{00000000-0010-0000-1500-000019000000}" name="Drink" dataDxfId="41"/>
    <tableColumn id="28" xr3:uid="{00000000-0010-0000-1500-00001C000000}" name="Powder" dataDxfId="40"/>
    <tableColumn id="27" xr3:uid="{00000000-0010-0000-1500-00001B000000}" name="Bar/Snack" dataDxfId="39"/>
    <tableColumn id="26" xr3:uid="{00000000-0010-0000-1500-00001A000000}" name="Pudding" dataDxfId="38"/>
    <tableColumn id="29" xr3:uid="{00000000-0010-0000-1500-00001D000000}" name="Clear" dataDxfId="37"/>
    <tableColumn id="30" xr3:uid="{00000000-0010-0000-1500-00001E000000}" name="Soothe" dataDxfId="36"/>
    <tableColumn id="7" xr3:uid="{00000000-0010-0000-1500-000007000000}" name="Column7" dataDxfId="35">
      <calculatedColumnFormula>AND(Table30[[#This Row],[Flavours]:[Soothe]])</calculatedColumnFormula>
    </tableColumn>
    <tableColumn id="8" xr3:uid="{00000000-0010-0000-1500-000008000000}" name="Product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6000000}" name="Table31" displayName="Table31" ref="A1:AD132" totalsRowShown="0">
  <autoFilter ref="A1:AD132" xr:uid="{00000000-0009-0000-0100-00001F000000}"/>
  <tableColumns count="30">
    <tableColumn id="1" xr3:uid="{00000000-0010-0000-1600-000001000000}" name="Product Options" dataDxfId="34">
      <calculatedColumnFormula>IF(Table31[[#This Row],[Column8]],Table31[[#This Row],[Column9]])</calculatedColumnFormula>
    </tableColumn>
    <tableColumn id="13" xr3:uid="{00000000-0010-0000-1600-00000D000000}" name="Unisex"/>
    <tableColumn id="29" xr3:uid="{00000000-0010-0000-1600-00001D000000}" name="Men's"/>
    <tableColumn id="12" xr3:uid="{00000000-0010-0000-1600-00000C000000}" name="Women's" dataDxfId="33"/>
    <tableColumn id="17" xr3:uid="{00000000-0010-0000-1600-000011000000}" name="Daily" dataDxfId="32"/>
    <tableColumn id="18" xr3:uid="{00000000-0010-0000-1600-000012000000}" name="Nightly" dataDxfId="31"/>
    <tableColumn id="19" xr3:uid="{00000000-0010-0000-1600-000013000000}" name="Post Partum" dataDxfId="30"/>
    <tableColumn id="2" xr3:uid="{00000000-0010-0000-1600-000002000000}" name="Flex/Active" dataDxfId="29"/>
    <tableColumn id="30" xr3:uid="{00000000-0010-0000-1600-00001E000000}" name="Latex-Free" dataDxfId="28"/>
    <tableColumn id="11" xr3:uid="{00000000-0010-0000-1600-00000B000000}" name="Underwear"/>
    <tableColumn id="3" xr3:uid="{00000000-0010-0000-1600-000003000000}" name="Pads" dataDxfId="27"/>
    <tableColumn id="4" xr3:uid="{00000000-0010-0000-1600-000004000000}" name="Panty Liners" dataDxfId="26"/>
    <tableColumn id="28" xr3:uid="{00000000-0010-0000-1600-00001C000000}" name="Shield"/>
    <tableColumn id="5" xr3:uid="{00000000-0010-0000-1600-000005000000}" name="Guards" dataDxfId="25"/>
    <tableColumn id="6" xr3:uid="{00000000-0010-0000-1600-000006000000}" name="Briefs"/>
    <tableColumn id="20" xr3:uid="{00000000-0010-0000-1600-000014000000}" name="V-Light 0-1/7" dataDxfId="24"/>
    <tableColumn id="14" xr3:uid="{00000000-0010-0000-1600-00000E000000}" name="Light 2-3/7" dataDxfId="23"/>
    <tableColumn id="10" xr3:uid="{00000000-0010-0000-1600-00000A000000}" name="Moderate 4-5/7" dataDxfId="22"/>
    <tableColumn id="7" xr3:uid="{00000000-0010-0000-1600-000007000000}" name="Heavy 6-7/7" dataDxfId="21"/>
    <tableColumn id="21" xr3:uid="{00000000-0010-0000-1600-000015000000}" name="Super 8/8"/>
    <tableColumn id="15" xr3:uid="{00000000-0010-0000-1600-00000F000000}" name="Long" dataDxfId="20"/>
    <tableColumn id="16" xr3:uid="{00000000-0010-0000-1600-000010000000}" name="Regular" dataDxfId="19"/>
    <tableColumn id="22" xr3:uid="{00000000-0010-0000-1600-000016000000}" name="Small"/>
    <tableColumn id="24" xr3:uid="{00000000-0010-0000-1600-000018000000}" name="Medium"/>
    <tableColumn id="23" xr3:uid="{00000000-0010-0000-1600-000017000000}" name="Large" dataDxfId="18"/>
    <tableColumn id="25" xr3:uid="{00000000-0010-0000-1600-000019000000}" name="Xlarge" dataDxfId="17"/>
    <tableColumn id="26" xr3:uid="{00000000-0010-0000-1600-00001A000000}" name="XXL" dataDxfId="16"/>
    <tableColumn id="27" xr3:uid="{00000000-0010-0000-1600-00001B000000}" name="Bariatric (XXXL)"/>
    <tableColumn id="8" xr3:uid="{00000000-0010-0000-1600-000008000000}" name="Column8" dataDxfId="15"/>
    <tableColumn id="9" xr3:uid="{00000000-0010-0000-1600-000009000000}" name="Column9"/>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7000000}" name="Table33" displayName="Table33" ref="A1:N35" totalsRowShown="0">
  <autoFilter ref="A1:N35" xr:uid="{00000000-0009-0000-0100-000021000000}"/>
  <tableColumns count="14">
    <tableColumn id="1" xr3:uid="{00000000-0010-0000-1700-000001000000}" name="Product Options" dataDxfId="14">
      <calculatedColumnFormula>IF(Table33[[#This Row],[Column1]],Table33[[#This Row],[Products]])</calculatedColumnFormula>
    </tableColumn>
    <tableColumn id="2" xr3:uid="{00000000-0010-0000-1700-000002000000}" name="Kids" dataDxfId="13"/>
    <tableColumn id="3" xr3:uid="{00000000-0010-0000-1700-000003000000}" name="Adult" dataDxfId="12"/>
    <tableColumn id="22" xr3:uid="{00000000-0010-0000-1700-000016000000}" name="Cold Sore" dataDxfId="11"/>
    <tableColumn id="23" xr3:uid="{00000000-0010-0000-1700-000017000000}" name="Pain/Canker" dataDxfId="10"/>
    <tableColumn id="4" xr3:uid="{00000000-0010-0000-1700-000004000000}" name="Anesthetic" dataDxfId="9"/>
    <tableColumn id="17" xr3:uid="{00000000-0010-0000-1700-000011000000}" name="AntiViral" dataDxfId="8"/>
    <tableColumn id="18" xr3:uid="{00000000-0010-0000-1700-000012000000}" name="Lysine" dataDxfId="7"/>
    <tableColumn id="5" xr3:uid="{00000000-0010-0000-1700-000005000000}" name="Homeopathic" dataDxfId="6"/>
    <tableColumn id="13" xr3:uid="{00000000-0010-0000-1700-00000D000000}" name="BAC/Paraben" dataDxfId="5"/>
    <tableColumn id="14" xr3:uid="{00000000-0010-0000-1700-00000E000000}" name="Menthol/camphor/phenol" dataDxfId="4"/>
    <tableColumn id="15" xr3:uid="{00000000-0010-0000-1700-00000F000000}" name="Astringent (zinc)" dataDxfId="3"/>
    <tableColumn id="6" xr3:uid="{00000000-0010-0000-1700-000006000000}" name="Column1" dataDxfId="2">
      <calculatedColumnFormula>AND(Table33[[#This Row],[Kids]:[Astringent (zinc)]])</calculatedColumnFormula>
    </tableColumn>
    <tableColumn id="12" xr3:uid="{00000000-0010-0000-1700-00000C000000}" name="Products"/>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18000000}" name="Table1" displayName="Table1" ref="A1:A3" totalsRowShown="0" dataDxfId="1">
  <autoFilter ref="A1:A3" xr:uid="{00000000-0009-0000-0100-000001000000}"/>
  <tableColumns count="1">
    <tableColumn id="1" xr3:uid="{00000000-0010-0000-1800-000001000000}" name="Column1" dataDxfId="0"/>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9000000}" name="Table2" displayName="Table2" ref="A6:A14" totalsRowShown="0">
  <autoFilter ref="A6:A14" xr:uid="{00000000-0009-0000-0100-000002000000}"/>
  <tableColumns count="1">
    <tableColumn id="1" xr3:uid="{00000000-0010-0000-1900-000001000000}" name="Cough and Cold"/>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A000000}" name="Table7" displayName="Table7" ref="C6:C13" totalsRowShown="0">
  <autoFilter ref="C6:C13" xr:uid="{00000000-0009-0000-0100-000007000000}"/>
  <tableColumns count="1">
    <tableColumn id="1" xr3:uid="{00000000-0010-0000-1A00-000001000000}" name="Allergies"/>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B000000}" name="Table10" displayName="Table10" ref="E6:E11" totalsRowShown="0">
  <autoFilter ref="E6:E11" xr:uid="{00000000-0009-0000-0100-00000A000000}"/>
  <tableColumns count="1">
    <tableColumn id="1" xr3:uid="{00000000-0010-0000-1B00-000001000000}" name="Insomnia"/>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1C000000}" name="Table12" displayName="Table12" ref="G6:G20" totalsRowShown="0">
  <autoFilter ref="G6:G20" xr:uid="{00000000-0009-0000-0100-00000C000000}"/>
  <tableColumns count="1">
    <tableColumn id="1" xr3:uid="{00000000-0010-0000-1C00-000001000000}" name="Pai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S71" totalsRowShown="0">
  <autoFilter ref="A1:S71" xr:uid="{00000000-0009-0000-0100-000004000000}"/>
  <tableColumns count="19">
    <tableColumn id="1" xr3:uid="{00000000-0010-0000-0200-000001000000}" name="Product Options" dataDxfId="300">
      <calculatedColumnFormula>IF(Table4[[#This Row],[Column1]],T2)</calculatedColumnFormula>
    </tableColumn>
    <tableColumn id="8" xr3:uid="{00000000-0010-0000-0200-000008000000}" name="Adult" dataDxfId="299"/>
    <tableColumn id="14" xr3:uid="{00000000-0010-0000-0200-00000E000000}" name="Kids" dataDxfId="298"/>
    <tableColumn id="15" xr3:uid="{00000000-0010-0000-0200-00000F000000}" name="Oral" dataDxfId="297"/>
    <tableColumn id="16" xr3:uid="{00000000-0010-0000-0200-000010000000}" name="Nasal" dataDxfId="296"/>
    <tableColumn id="17" xr3:uid="{00000000-0010-0000-0200-000011000000}" name="Eye Drops"/>
    <tableColumn id="12" xr3:uid="{00000000-0010-0000-0200-00000C000000}" name="Cream/Oint"/>
    <tableColumn id="18" xr3:uid="{00000000-0010-0000-0200-000012000000}" name="Fast" dataDxfId="295"/>
    <tableColumn id="13" xr3:uid="{00000000-0010-0000-0200-00000D000000}" name="Long" dataDxfId="294"/>
    <tableColumn id="20" xr3:uid="{00000000-0010-0000-0200-000014000000}" name="1° AH"/>
    <tableColumn id="2" xr3:uid="{00000000-0010-0000-0200-000002000000}" name="2° AH" dataDxfId="293"/>
    <tableColumn id="3" xr3:uid="{00000000-0010-0000-0200-000003000000}" name="Decongestant" dataDxfId="292"/>
    <tableColumn id="4" xr3:uid="{00000000-0010-0000-0200-000004000000}" name="Steroid"/>
    <tableColumn id="7" xr3:uid="{00000000-0010-0000-0200-000007000000}" name="Saline"/>
    <tableColumn id="5" xr3:uid="{00000000-0010-0000-0200-000005000000}" name="Mast Cell Stabilizer"/>
    <tableColumn id="10" xr3:uid="{00000000-0010-0000-0200-00000A000000}" name="Acetaminophen" dataDxfId="291"/>
    <tableColumn id="9" xr3:uid="{00000000-0010-0000-0200-000009000000}" name="Ibuprofen"/>
    <tableColumn id="11" xr3:uid="{00000000-0010-0000-0200-00000B000000}" name="Pramoxine/Zinc"/>
    <tableColumn id="6" xr3:uid="{00000000-0010-0000-0200-000006000000}" name="Column1" dataDxfId="290">
      <calculatedColumnFormula>AND(Table4[[#This Row],[Adult]:[Pramoxine/Zinc]])</calculatedColumnFormula>
    </tableColumn>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1D000000}" name="Table9" displayName="Table9" ref="I6:I12" totalsRowShown="0">
  <autoFilter ref="I6:I12" xr:uid="{00000000-0009-0000-0100-000009000000}"/>
  <tableColumns count="1">
    <tableColumn id="1" xr3:uid="{00000000-0010-0000-1D00-000001000000}" name="Vaginal"/>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1E000000}" name="Table13" displayName="Table13" ref="K6:K26" totalsRowShown="0">
  <autoFilter ref="K6:K26" xr:uid="{00000000-0009-0000-0100-00000D000000}"/>
  <tableColumns count="1">
    <tableColumn id="1" xr3:uid="{00000000-0010-0000-1E00-000001000000}" name="Gastrointestinal"/>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F000000}" name="Table17" displayName="Table17" ref="M6:M19" totalsRowShown="0">
  <autoFilter ref="M6:M19" xr:uid="{00000000-0009-0000-0100-000011000000}"/>
  <tableColumns count="1">
    <tableColumn id="1" xr3:uid="{00000000-0010-0000-1F00-000001000000}" name="Eye"/>
  </tableColumns>
  <tableStyleInfo name="TableStyleMedium2"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20000000}" name="Table18" displayName="Table18" ref="O6:O10" totalsRowShown="0">
  <autoFilter ref="O6:O10" xr:uid="{00000000-0009-0000-0100-000012000000}"/>
  <tableColumns count="1">
    <tableColumn id="1" xr3:uid="{00000000-0010-0000-2000-000001000000}" name="Ea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W78" totalsRowShown="0" dataDxfId="289">
  <autoFilter ref="A1:W78" xr:uid="{00000000-0009-0000-0100-000005000000}"/>
  <tableColumns count="23">
    <tableColumn id="1" xr3:uid="{00000000-0010-0000-0300-000001000000}" name="Product Options" dataDxfId="288">
      <calculatedColumnFormula>IF(Table5[[#This Row],[Column1]],Table5[[#This Row],[Column2]])</calculatedColumnFormula>
    </tableColumn>
    <tableColumn id="19" xr3:uid="{00000000-0010-0000-0300-000013000000}" name="Adult" dataDxfId="287"/>
    <tableColumn id="22" xr3:uid="{00000000-0010-0000-0300-000016000000}" name="Kids" dataDxfId="286"/>
    <tableColumn id="21" xr3:uid="{00000000-0010-0000-0300-000015000000}" name="Fast" dataDxfId="285"/>
    <tableColumn id="24" xr3:uid="{00000000-0010-0000-0300-000018000000}" name="Long" dataDxfId="284"/>
    <tableColumn id="23" xr3:uid="{00000000-0010-0000-0300-000017000000}" name="Oral" dataDxfId="283"/>
    <tableColumn id="20" xr3:uid="{00000000-0010-0000-0300-000014000000}" name="Topical" dataDxfId="282"/>
    <tableColumn id="2" xr3:uid="{00000000-0010-0000-0300-000002000000}" name="APAP" dataDxfId="281"/>
    <tableColumn id="3" xr3:uid="{00000000-0010-0000-0300-000003000000}" name="Ibuprofen" dataDxfId="280"/>
    <tableColumn id="4" xr3:uid="{00000000-0010-0000-0300-000004000000}" name="Napoxen" dataDxfId="279"/>
    <tableColumn id="5" xr3:uid="{00000000-0010-0000-0300-000005000000}" name="Methocarbamol" dataDxfId="278"/>
    <tableColumn id="6" xr3:uid="{00000000-0010-0000-0300-000006000000}" name="Diclofenac" dataDxfId="277"/>
    <tableColumn id="7" xr3:uid="{00000000-0010-0000-0300-000007000000}" name="ASA/Salicylate" dataDxfId="276"/>
    <tableColumn id="8" xr3:uid="{00000000-0010-0000-0300-000008000000}" name="Capsaicin" dataDxfId="275"/>
    <tableColumn id="15" xr3:uid="{00000000-0010-0000-0300-00000F000000}" name="Caffeine" dataDxfId="274"/>
    <tableColumn id="14" xr3:uid="{00000000-0010-0000-0300-00000E000000}" name="Pyrilamine" dataDxfId="273"/>
    <tableColumn id="16" xr3:uid="{00000000-0010-0000-0300-000010000000}" name="Pamabrom" dataDxfId="272"/>
    <tableColumn id="9" xr3:uid="{00000000-0010-0000-0300-000009000000}" name="Menthol" dataDxfId="271"/>
    <tableColumn id="12" xr3:uid="{00000000-0010-0000-0300-00000C000000}" name="AntiHistamine" dataDxfId="270"/>
    <tableColumn id="17" xr3:uid="{00000000-0010-0000-0300-000011000000}" name="Arnica" dataDxfId="269"/>
    <tableColumn id="13" xr3:uid="{00000000-0010-0000-0300-00000D000000}" name="Heat" dataDxfId="268"/>
    <tableColumn id="10" xr3:uid="{00000000-0010-0000-0300-00000A000000}" name="Column1" dataDxfId="267">
      <calculatedColumnFormula>AND(Table5[[#This Row],[Adult]:[Heat]])</calculatedColumnFormula>
    </tableColumn>
    <tableColumn id="11" xr3:uid="{00000000-0010-0000-0300-00000B000000}" name="Column2" dataDxfId="26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1:J22" totalsRowShown="0" headerRowDxfId="265">
  <autoFilter ref="A1:J22" xr:uid="{00000000-0009-0000-0100-000006000000}"/>
  <tableColumns count="10">
    <tableColumn id="1" xr3:uid="{00000000-0010-0000-0400-000001000000}" name="Product Options" dataDxfId="264">
      <calculatedColumnFormula>IF(Table6[[#This Row],[column]],Table6[[#This Row],[Total Options]])</calculatedColumnFormula>
    </tableColumn>
    <tableColumn id="2" xr3:uid="{00000000-0010-0000-0400-000002000000}" name="Diphenhydramine"/>
    <tableColumn id="3" xr3:uid="{00000000-0010-0000-0400-000003000000}" name="Melatonin"/>
    <tableColumn id="4" xr3:uid="{00000000-0010-0000-0400-000004000000}" name="Valerian"/>
    <tableColumn id="5" xr3:uid="{00000000-0010-0000-0400-000005000000}" name="APAP"/>
    <tableColumn id="6" xr3:uid="{00000000-0010-0000-0400-000006000000}" name="Ibuprofen"/>
    <tableColumn id="10" xr3:uid="{00000000-0010-0000-0400-00000A000000}" name="Fast Acting" dataDxfId="263"/>
    <tableColumn id="9" xr3:uid="{00000000-0010-0000-0400-000009000000}" name="Long Acting" dataDxfId="262"/>
    <tableColumn id="7" xr3:uid="{00000000-0010-0000-0400-000007000000}" name="column" dataDxfId="261">
      <calculatedColumnFormula>AND(Table6[[#This Row],[Diphenhydramine]:[Long Acting]])</calculatedColumnFormula>
    </tableColumn>
    <tableColumn id="8" xr3:uid="{00000000-0010-0000-0400-000008000000}" name="Total Options" dataDxfId="26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5000000}" name="Table11" displayName="Table11" ref="A1:P68" totalsRowShown="0" headerRowDxfId="259" headerRowBorderDxfId="258" tableBorderDxfId="257">
  <autoFilter ref="A1:P68" xr:uid="{00000000-0009-0000-0100-00000B000000}"/>
  <tableColumns count="16">
    <tableColumn id="1" xr3:uid="{00000000-0010-0000-0500-000001000000}" name="Product Options">
      <calculatedColumnFormula>IF(O2,P2)</calculatedColumnFormula>
    </tableColumn>
    <tableColumn id="12" xr3:uid="{00000000-0010-0000-0500-00000C000000}" name="Oral"/>
    <tableColumn id="15" xr3:uid="{00000000-0010-0000-0500-00000F000000}" name="Topical" dataDxfId="256"/>
    <tableColumn id="16" xr3:uid="{00000000-0010-0000-0500-000010000000}" name="Vag Tab" dataDxfId="255"/>
    <tableColumn id="17" xr3:uid="{00000000-0010-0000-0500-000011000000}" name="Pregnant"/>
    <tableColumn id="14" xr3:uid="{00000000-0010-0000-0500-00000E000000}" name="Not Pregnant" dataDxfId="254"/>
    <tableColumn id="2" xr3:uid="{00000000-0010-0000-0500-000002000000}" name="Anti-Fungal"/>
    <tableColumn id="3" xr3:uid="{00000000-0010-0000-0500-000003000000}" name="Moisterizer"/>
    <tableColumn id="4" xr3:uid="{00000000-0010-0000-0500-000004000000}" name="Lubricant"/>
    <tableColumn id="5" xr3:uid="{00000000-0010-0000-0500-000005000000}" name="Probiotic"/>
    <tableColumn id="6" xr3:uid="{00000000-0010-0000-0500-000006000000}" name="Acid"/>
    <tableColumn id="11" xr3:uid="{00000000-0010-0000-0500-00000B000000}" name="Base"/>
    <tableColumn id="7" xr3:uid="{00000000-0010-0000-0500-000007000000}" name="Cleanser"/>
    <tableColumn id="8" xr3:uid="{00000000-0010-0000-0500-000008000000}" name="Odor Eliminator"/>
    <tableColumn id="9" xr3:uid="{00000000-0010-0000-0500-000009000000}" name="column" dataDxfId="253">
      <calculatedColumnFormula>AND(G2:N2)</calculatedColumnFormula>
    </tableColumn>
    <tableColumn id="10" xr3:uid="{00000000-0010-0000-0500-00000A000000}" name="column2" dataDxfId="25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AF129" totalsRowShown="0">
  <autoFilter ref="A1:AF129" xr:uid="{00000000-0009-0000-0100-000008000000}"/>
  <tableColumns count="32">
    <tableColumn id="1" xr3:uid="{00000000-0010-0000-0600-000001000000}" name="Product Options" dataDxfId="251">
      <calculatedColumnFormula>IF(Table8[[#This Row],[Column12]],Table8[[#This Row],[Column13]])</calculatedColumnFormula>
    </tableColumn>
    <tableColumn id="6" xr3:uid="{00000000-0010-0000-0600-000006000000}" name="Pregnant" dataDxfId="250"/>
    <tableColumn id="32" xr3:uid="{00000000-0010-0000-0600-000020000000}" name="Non-Preg" dataDxfId="249"/>
    <tableColumn id="28" xr3:uid="{00000000-0010-0000-0600-00001C000000}" name="Adult" dataDxfId="248"/>
    <tableColumn id="29" xr3:uid="{00000000-0010-0000-0600-00001D000000}" name="Kids" dataDxfId="247"/>
    <tableColumn id="24" xr3:uid="{00000000-0010-0000-0600-000018000000}" name="Tab" dataDxfId="246"/>
    <tableColumn id="26" xr3:uid="{00000000-0010-0000-0600-00001A000000}" name="Liquid" dataDxfId="245"/>
    <tableColumn id="25" xr3:uid="{00000000-0010-0000-0600-000019000000}" name="Rectal" dataDxfId="244"/>
    <tableColumn id="27" xr3:uid="{00000000-0010-0000-0600-00001B000000}" name="Fast-Acting" dataDxfId="243"/>
    <tableColumn id="19" xr3:uid="{00000000-0010-0000-0600-000013000000}" name="Long-Acting" dataDxfId="242"/>
    <tableColumn id="2" xr3:uid="{00000000-0010-0000-0600-000002000000}" name="PEG" dataDxfId="241"/>
    <tableColumn id="16" xr3:uid="{00000000-0010-0000-0600-000010000000}" name="Fiber" dataDxfId="240"/>
    <tableColumn id="3" xr3:uid="{00000000-0010-0000-0600-000003000000}" name="Glycerin"/>
    <tableColumn id="4" xr3:uid="{00000000-0010-0000-0600-000004000000}" name="Docusate"/>
    <tableColumn id="5" xr3:uid="{00000000-0010-0000-0600-000005000000}" name="Senna"/>
    <tableColumn id="17" xr3:uid="{00000000-0010-0000-0600-000011000000}" name="Ginger"/>
    <tableColumn id="18" xr3:uid="{00000000-0010-0000-0600-000012000000}" name="Dimenhydrinate"/>
    <tableColumn id="33" xr3:uid="{00000000-0010-0000-0600-000021000000}" name="Laxative-Salt"/>
    <tableColumn id="31" xr3:uid="{00000000-0010-0000-0600-00001F000000}" name="Electrolytes"/>
    <tableColumn id="30" xr3:uid="{00000000-0010-0000-0600-00001E000000}" name="Antacid-Salt"/>
    <tableColumn id="7" xr3:uid="{00000000-0010-0000-0600-000007000000}" name="Loperamide"/>
    <tableColumn id="8" xr3:uid="{00000000-0010-0000-0600-000008000000}" name="Calcium"/>
    <tableColumn id="9" xr3:uid="{00000000-0010-0000-0600-000009000000}" name="H2RA"/>
    <tableColumn id="10" xr3:uid="{00000000-0010-0000-0600-00000A000000}" name="PPI"/>
    <tableColumn id="11" xr3:uid="{00000000-0010-0000-0600-00000B000000}" name="Simeticone" dataDxfId="239"/>
    <tableColumn id="20" xr3:uid="{00000000-0010-0000-0600-000014000000}" name="Enzyme"/>
    <tableColumn id="22" xr3:uid="{00000000-0010-0000-0600-000016000000}" name="Mineral Oil"/>
    <tableColumn id="21" xr3:uid="{00000000-0010-0000-0600-000015000000}" name="Bisacodyl"/>
    <tableColumn id="23" xr3:uid="{00000000-0010-0000-0600-000017000000}" name="Probiotic"/>
    <tableColumn id="15" xr3:uid="{00000000-0010-0000-0600-00000F000000}" name="Bismuth"/>
    <tableColumn id="12" xr3:uid="{00000000-0010-0000-0600-00000C000000}" name="Column12" dataDxfId="238">
      <calculatedColumnFormula>AND(Table8[[#This Row],[Adult]:[Bismuth]])</calculatedColumnFormula>
    </tableColumn>
    <tableColumn id="13" xr3:uid="{00000000-0010-0000-0600-00000D000000}" name="Column1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7000000}" name="Table14" displayName="Table14" ref="A1:U88" totalsRowShown="0">
  <autoFilter ref="A1:U88" xr:uid="{00000000-0009-0000-0100-00000E000000}"/>
  <tableColumns count="21">
    <tableColumn id="1" xr3:uid="{00000000-0010-0000-0700-000001000000}" name="Product Options" dataDxfId="237">
      <calculatedColumnFormula>IF(Table14[[#This Row],[Column8]],Table14[[#This Row],[Column9]])</calculatedColumnFormula>
    </tableColumn>
    <tableColumn id="2" xr3:uid="{00000000-0010-0000-0700-000002000000}" name="Preservative" dataDxfId="236"/>
    <tableColumn id="10" xr3:uid="{00000000-0010-0000-0700-00000A000000}" name="BAC-Free" dataDxfId="235"/>
    <tableColumn id="3" xr3:uid="{00000000-0010-0000-0700-000003000000}" name="Soft Preservative"/>
    <tableColumn id="4" xr3:uid="{00000000-0010-0000-0700-000004000000}" name="Preser-free"/>
    <tableColumn id="5" xr3:uid="{00000000-0010-0000-0700-000005000000}" name="Ointment"/>
    <tableColumn id="6" xr3:uid="{00000000-0010-0000-0700-000006000000}" name="Gel"/>
    <tableColumn id="7" xr3:uid="{00000000-0010-0000-0700-000007000000}" name="Drops" dataDxfId="234"/>
    <tableColumn id="12" xr3:uid="{00000000-0010-0000-0700-00000C000000}" name="Contact Compatible"/>
    <tableColumn id="17" xr3:uid="{00000000-0010-0000-0700-000011000000}" name="X Contacts" dataDxfId="233"/>
    <tableColumn id="13" xr3:uid="{00000000-0010-0000-0700-00000D000000}" name="Lanolin"/>
    <tableColumn id="18" xr3:uid="{00000000-0010-0000-0700-000012000000}" name="Lanolin-free" dataDxfId="232"/>
    <tableColumn id="11" xr3:uid="{00000000-0010-0000-0700-00000B000000}" name="Decongestant" dataDxfId="231"/>
    <tableColumn id="19" xr3:uid="{00000000-0010-0000-0700-000013000000}" name="Decon-free" dataDxfId="230"/>
    <tableColumn id="14" xr3:uid="{00000000-0010-0000-0700-00000E000000}" name="Antibiotic"/>
    <tableColumn id="16" xr3:uid="{00000000-0010-0000-0700-000010000000}" name="Lasik" dataDxfId="229"/>
    <tableColumn id="20" xr3:uid="{00000000-0010-0000-0700-000014000000}" name="Non-Lasik" dataDxfId="228"/>
    <tableColumn id="15" xr3:uid="{00000000-0010-0000-0700-00000F000000}" name="Lipid Layer" dataDxfId="227"/>
    <tableColumn id="22" xr3:uid="{00000000-0010-0000-0700-000016000000}" name="Non-Lipid" dataDxfId="226"/>
    <tableColumn id="8" xr3:uid="{00000000-0010-0000-0700-000008000000}" name="Column8" dataDxfId="225">
      <calculatedColumnFormula>AND(Table14[[#This Row],[Preservative]:[Non-Lipid]])</calculatedColumnFormula>
    </tableColumn>
    <tableColumn id="9" xr3:uid="{00000000-0010-0000-0700-000009000000}" name="Column9"/>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8000000}" name="Table1526" displayName="Table1526" ref="A1:K34" totalsRowShown="0">
  <autoFilter ref="A1:K34" xr:uid="{00000000-0009-0000-0100-000019000000}"/>
  <tableColumns count="11">
    <tableColumn id="1" xr3:uid="{00000000-0010-0000-0800-000001000000}" name="Product Options" dataDxfId="224">
      <calculatedColumnFormula>IF(Table1526[[#This Row],[Column11]],Table1526[[#This Row],[Column12]])</calculatedColumnFormula>
    </tableColumn>
    <tableColumn id="3" xr3:uid="{00000000-0010-0000-0800-000003000000}" name="Menthol" dataDxfId="223"/>
    <tableColumn id="4" xr3:uid="{00000000-0010-0000-0800-000004000000}" name="Oat Protein"/>
    <tableColumn id="5" xr3:uid="{00000000-0010-0000-0800-000005000000}" name="Urea"/>
    <tableColumn id="6" xr3:uid="{00000000-0010-0000-0800-000006000000}" name="Selenium Sulfide"/>
    <tableColumn id="7" xr3:uid="{00000000-0010-0000-0800-000007000000}" name="Zinc Pyrithione" dataDxfId="222"/>
    <tableColumn id="9" xr3:uid="{00000000-0010-0000-0800-000009000000}" name="AntiFungal" dataDxfId="221"/>
    <tableColumn id="15" xr3:uid="{00000000-0010-0000-0800-00000F000000}" name="Salicylic Acid" dataDxfId="220"/>
    <tableColumn id="20" xr3:uid="{00000000-0010-0000-0800-000014000000}" name="Coal Tar" dataDxfId="219"/>
    <tableColumn id="11" xr3:uid="{00000000-0010-0000-0800-00000B000000}" name="Column11" dataDxfId="218">
      <calculatedColumnFormula>AND(Table1526[[#This Row],[Selenium Sulfide]:[Coal Tar]])</calculatedColumnFormula>
    </tableColumn>
    <tableColumn id="12" xr3:uid="{00000000-0010-0000-0800-00000C000000}" name="Column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3" Type="http://schemas.openxmlformats.org/officeDocument/2006/relationships/hyperlink" Target="https://www.reactine.ca/products/children-s-liquid" TargetMode="External"/><Relationship Id="rId18" Type="http://schemas.openxmlformats.org/officeDocument/2006/relationships/hyperlink" Target="https://www.allegraallergy.ca/en/allegra-d-12hr" TargetMode="External"/><Relationship Id="rId26" Type="http://schemas.openxmlformats.org/officeDocument/2006/relationships/hyperlink" Target="https://www.benadryl.ca/products/children-s-benadryl-chewables" TargetMode="External"/><Relationship Id="rId39" Type="http://schemas.openxmlformats.org/officeDocument/2006/relationships/hyperlink" Target="https://www.otrivin.ca/" TargetMode="External"/><Relationship Id="rId21" Type="http://schemas.openxmlformats.org/officeDocument/2006/relationships/hyperlink" Target="https://www.benadryl.ca/products/benadryl-liqui-gels" TargetMode="External"/><Relationship Id="rId34" Type="http://schemas.openxmlformats.org/officeDocument/2006/relationships/hyperlink" Target="https://www.sudafed.ca/products/congestion-pain/Sudafed-head-cold-sinus" TargetMode="External"/><Relationship Id="rId42" Type="http://schemas.openxmlformats.org/officeDocument/2006/relationships/hyperlink" Target="https://www.otrivin.ca/" TargetMode="External"/><Relationship Id="rId47" Type="http://schemas.openxmlformats.org/officeDocument/2006/relationships/hyperlink" Target="https://www.polysporin.ca/products/itch-relief-lotion" TargetMode="External"/><Relationship Id="rId50" Type="http://schemas.openxmlformats.org/officeDocument/2006/relationships/table" Target="../tables/table3.xml"/><Relationship Id="rId7" Type="http://schemas.openxmlformats.org/officeDocument/2006/relationships/hyperlink" Target="https://www.claritin.ca/en/products/allergy-decongestant-nasal-spray/decongestant-nasal-spray" TargetMode="External"/><Relationship Id="rId2" Type="http://schemas.openxmlformats.org/officeDocument/2006/relationships/hyperlink" Target="https://www.claritin.ca/en/products/claritin/24-hour-rapid-dissolve" TargetMode="External"/><Relationship Id="rId16" Type="http://schemas.openxmlformats.org/officeDocument/2006/relationships/hyperlink" Target="https://www.allegraallergy.ca/en/allegra-12hr" TargetMode="External"/><Relationship Id="rId29" Type="http://schemas.openxmlformats.org/officeDocument/2006/relationships/hyperlink" Target="https://www.benadryl.ca/products/benadryl-itch-cream" TargetMode="External"/><Relationship Id="rId11" Type="http://schemas.openxmlformats.org/officeDocument/2006/relationships/hyperlink" Target="https://www.reactine.ca/products/regular-strength-product" TargetMode="External"/><Relationship Id="rId24" Type="http://schemas.openxmlformats.org/officeDocument/2006/relationships/hyperlink" Target="https://www.benadryl.ca/products/benadryl-liquid-elixir" TargetMode="External"/><Relationship Id="rId32" Type="http://schemas.openxmlformats.org/officeDocument/2006/relationships/hyperlink" Target="https://www.aerius.ca/en/products/aerius-dual-action/" TargetMode="External"/><Relationship Id="rId37" Type="http://schemas.openxmlformats.org/officeDocument/2006/relationships/hyperlink" Target="https://www.otrivin.ca/" TargetMode="External"/><Relationship Id="rId40" Type="http://schemas.openxmlformats.org/officeDocument/2006/relationships/hyperlink" Target="https://www.otrivin.ca/" TargetMode="External"/><Relationship Id="rId45" Type="http://schemas.openxmlformats.org/officeDocument/2006/relationships/hyperlink" Target="https://www.visine.com/eye-drops/red-eye-relief-original" TargetMode="External"/><Relationship Id="rId5" Type="http://schemas.openxmlformats.org/officeDocument/2006/relationships/hyperlink" Target="https://www.claritin.ca/en/products/allergy-sinus/24-hour-allergy-sinus-extra-strength" TargetMode="External"/><Relationship Id="rId15" Type="http://schemas.openxmlformats.org/officeDocument/2006/relationships/hyperlink" Target="https://www.reactine.ca/products/naturease-nasal-spray" TargetMode="External"/><Relationship Id="rId23" Type="http://schemas.openxmlformats.org/officeDocument/2006/relationships/hyperlink" Target="https://www.benadryl.ca/products/extra-strength-benadryl-nighttime-caplets" TargetMode="External"/><Relationship Id="rId28" Type="http://schemas.openxmlformats.org/officeDocument/2006/relationships/hyperlink" Target="https://www.benadryl.ca/products/benadryl-itch-spray" TargetMode="External"/><Relationship Id="rId36" Type="http://schemas.openxmlformats.org/officeDocument/2006/relationships/hyperlink" Target="https://www.nasacort.com/" TargetMode="External"/><Relationship Id="rId49" Type="http://schemas.openxmlformats.org/officeDocument/2006/relationships/printerSettings" Target="../printerSettings/printerSettings11.bin"/><Relationship Id="rId10" Type="http://schemas.openxmlformats.org/officeDocument/2006/relationships/hyperlink" Target="https://www.reactine.ca/products/reactine-rapid-dissolve" TargetMode="External"/><Relationship Id="rId19" Type="http://schemas.openxmlformats.org/officeDocument/2006/relationships/hyperlink" Target="https://www.benadryl.ca/products/benadryl-caplets" TargetMode="External"/><Relationship Id="rId31" Type="http://schemas.openxmlformats.org/officeDocument/2006/relationships/hyperlink" Target="https://www.aerius.ca/en/products/aerius-kids/" TargetMode="External"/><Relationship Id="rId44" Type="http://schemas.openxmlformats.org/officeDocument/2006/relationships/hyperlink" Target="https://www.cleareyes.com/" TargetMode="External"/><Relationship Id="rId4" Type="http://schemas.openxmlformats.org/officeDocument/2006/relationships/hyperlink" Target="https://www.claritin.ca/en/products/allergy-sinus/12-hour-allergy-sinus" TargetMode="External"/><Relationship Id="rId9" Type="http://schemas.openxmlformats.org/officeDocument/2006/relationships/hyperlink" Target="https://www.reactine.ca/products/liquid-gels-product" TargetMode="External"/><Relationship Id="rId14" Type="http://schemas.openxmlformats.org/officeDocument/2006/relationships/hyperlink" Target="https://www.reactine.ca/products/fast-melt" TargetMode="External"/><Relationship Id="rId22" Type="http://schemas.openxmlformats.org/officeDocument/2006/relationships/hyperlink" Target="https://www.benadryl.ca/products/extra-strength-benadryl-total-allergy-sinus" TargetMode="External"/><Relationship Id="rId27" Type="http://schemas.openxmlformats.org/officeDocument/2006/relationships/hyperlink" Target="https://www.benadryl.ca/products/benadryl-extra-strength-itch-relief-stick" TargetMode="External"/><Relationship Id="rId30" Type="http://schemas.openxmlformats.org/officeDocument/2006/relationships/hyperlink" Target="https://www.aerius.ca/en/products/aerius/" TargetMode="External"/><Relationship Id="rId35" Type="http://schemas.openxmlformats.org/officeDocument/2006/relationships/hyperlink" Target="https://www.flonase.ca/" TargetMode="External"/><Relationship Id="rId43" Type="http://schemas.openxmlformats.org/officeDocument/2006/relationships/hyperlink" Target="https://www.otrivin.ca/" TargetMode="External"/><Relationship Id="rId48" Type="http://schemas.openxmlformats.org/officeDocument/2006/relationships/hyperlink" Target="https://www.polysporin.ca/products/hydrocortisone-anti-itch-cream" TargetMode="External"/><Relationship Id="rId8" Type="http://schemas.openxmlformats.org/officeDocument/2006/relationships/hyperlink" Target="https://www.reactine.ca/products/extra-strength-product" TargetMode="External"/><Relationship Id="rId3" Type="http://schemas.openxmlformats.org/officeDocument/2006/relationships/hyperlink" Target="https://www.claritin.ca/en/products/claritin/24-hour-liquid-capsules" TargetMode="External"/><Relationship Id="rId12" Type="http://schemas.openxmlformats.org/officeDocument/2006/relationships/hyperlink" Target="https://www.reactine.ca/products/complete-sinus-allergy" TargetMode="External"/><Relationship Id="rId17" Type="http://schemas.openxmlformats.org/officeDocument/2006/relationships/hyperlink" Target="https://www.allegraallergy.ca/en/allegra-24hr" TargetMode="External"/><Relationship Id="rId25" Type="http://schemas.openxmlformats.org/officeDocument/2006/relationships/hyperlink" Target="https://www.benadryl.ca/products/childrens-benadryl-liquid" TargetMode="External"/><Relationship Id="rId33" Type="http://schemas.openxmlformats.org/officeDocument/2006/relationships/hyperlink" Target="https://www.sudafed.ca/products/pressure-pain/sudafed-sinus-advance" TargetMode="External"/><Relationship Id="rId38" Type="http://schemas.openxmlformats.org/officeDocument/2006/relationships/hyperlink" Target="https://www.otrivin.ca/" TargetMode="External"/><Relationship Id="rId46" Type="http://schemas.openxmlformats.org/officeDocument/2006/relationships/hyperlink" Target="https://www.visine.com/eye-drops/antihistamine-eye-allergy" TargetMode="External"/><Relationship Id="rId20" Type="http://schemas.openxmlformats.org/officeDocument/2006/relationships/hyperlink" Target="https://www.benadryl.ca/products/benadryl-extra-strength-allergy" TargetMode="External"/><Relationship Id="rId41" Type="http://schemas.openxmlformats.org/officeDocument/2006/relationships/hyperlink" Target="https://www.otrivin.ca/" TargetMode="External"/><Relationship Id="rId1" Type="http://schemas.openxmlformats.org/officeDocument/2006/relationships/hyperlink" Target="https://www.claritin.ca/en/products/claritin/24-hour-tablets" TargetMode="External"/><Relationship Id="rId6" Type="http://schemas.openxmlformats.org/officeDocument/2006/relationships/hyperlink" Target="https://www.claritin.ca/en/products/Claritin-Kids-Syrup/24-hour-syrup-kids"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6" Type="http://schemas.openxmlformats.org/officeDocument/2006/relationships/hyperlink" Target="https://www.advil.ca/product/children-s-advil" TargetMode="External"/><Relationship Id="rId21" Type="http://schemas.openxmlformats.org/officeDocument/2006/relationships/hyperlink" Target="https://www.advil.ca/product/advil-mini-gels" TargetMode="External"/><Relationship Id="rId34" Type="http://schemas.openxmlformats.org/officeDocument/2006/relationships/hyperlink" Target="https://www.backrelief.ca/back-relief-products/robax-oral-caplets/robaxisal-extra-strength" TargetMode="External"/><Relationship Id="rId42" Type="http://schemas.openxmlformats.org/officeDocument/2006/relationships/hyperlink" Target="https://www.aspirin.ca/en/products/aspirin-extra-strength" TargetMode="External"/><Relationship Id="rId47" Type="http://schemas.openxmlformats.org/officeDocument/2006/relationships/hyperlink" Target="https://www.midol.ca/en/midol-products/maxidol-liquid-gels/" TargetMode="External"/><Relationship Id="rId50" Type="http://schemas.openxmlformats.org/officeDocument/2006/relationships/hyperlink" Target="https://icyhot.ca/patches-creams-roll-on-and-spray/advanced-spray/" TargetMode="External"/><Relationship Id="rId55" Type="http://schemas.openxmlformats.org/officeDocument/2006/relationships/hyperlink" Target="https://ruba535.ca/product/arthritis-flare-relief-cream" TargetMode="External"/><Relationship Id="rId63" Type="http://schemas.openxmlformats.org/officeDocument/2006/relationships/hyperlink" Target="https://ruba535.ca/product/muscle-joint-regular-strength-heat-cream" TargetMode="External"/><Relationship Id="rId7" Type="http://schemas.openxmlformats.org/officeDocument/2006/relationships/hyperlink" Target="https://www.tylenol.ca/products/back-body/tylenol-muscle-aches-body-pain" TargetMode="External"/><Relationship Id="rId2" Type="http://schemas.openxmlformats.org/officeDocument/2006/relationships/hyperlink" Target="https://www.tylenol.ca/products/headache-migraine/tylenol-extra-strength" TargetMode="External"/><Relationship Id="rId16" Type="http://schemas.openxmlformats.org/officeDocument/2006/relationships/hyperlink" Target="https://www.advil.ca/product/advil-daynight-convenience-pack" TargetMode="External"/><Relationship Id="rId29" Type="http://schemas.openxmlformats.org/officeDocument/2006/relationships/hyperlink" Target="https://www.aleve.ca/en/products/aleve/aleve-nighttime/" TargetMode="External"/><Relationship Id="rId11" Type="http://schemas.openxmlformats.org/officeDocument/2006/relationships/hyperlink" Target="https://www.tylenol.ca/products/infants-children/infants-tylenol-drops" TargetMode="External"/><Relationship Id="rId24" Type="http://schemas.openxmlformats.org/officeDocument/2006/relationships/hyperlink" Target="https://www.advil.ca/product/advil-nighttime" TargetMode="External"/><Relationship Id="rId32" Type="http://schemas.openxmlformats.org/officeDocument/2006/relationships/hyperlink" Target="https://www.backrelief.ca/back-relief-products/robax-oral-caplets/robax-platinum" TargetMode="External"/><Relationship Id="rId37" Type="http://schemas.openxmlformats.org/officeDocument/2006/relationships/hyperlink" Target="https://www.backrelief.ca/back-relief-products/robax-heatwraps/neck-shoulder-heatwraps" TargetMode="External"/><Relationship Id="rId40" Type="http://schemas.openxmlformats.org/officeDocument/2006/relationships/hyperlink" Target="https://www.voltaren.ca/products/voltaren-emulgel-extra-strength.html" TargetMode="External"/><Relationship Id="rId45" Type="http://schemas.openxmlformats.org/officeDocument/2006/relationships/hyperlink" Target="https://www.midol.ca/en/midol-products/midol-pmscomplete/" TargetMode="External"/><Relationship Id="rId53" Type="http://schemas.openxmlformats.org/officeDocument/2006/relationships/hyperlink" Target="https://ruba535.ca/product/natural-source-arnica-cream" TargetMode="External"/><Relationship Id="rId58" Type="http://schemas.openxmlformats.org/officeDocument/2006/relationships/hyperlink" Target="https://ruba535.ca/product/injury-ice-relief-spray" TargetMode="External"/><Relationship Id="rId66" Type="http://schemas.openxmlformats.org/officeDocument/2006/relationships/table" Target="../tables/table4.xml"/><Relationship Id="rId5" Type="http://schemas.openxmlformats.org/officeDocument/2006/relationships/hyperlink" Target="https://www.tylenol.ca/products/headache-migraine/tylenol-ultra-relief" TargetMode="External"/><Relationship Id="rId61" Type="http://schemas.openxmlformats.org/officeDocument/2006/relationships/hyperlink" Target="https://ruba535.ca/product/back-pro-heat-relief-wraps" TargetMode="External"/><Relationship Id="rId19" Type="http://schemas.openxmlformats.org/officeDocument/2006/relationships/hyperlink" Target="https://www.advil.ca/product/advil-liqui-gels" TargetMode="External"/><Relationship Id="rId14" Type="http://schemas.openxmlformats.org/officeDocument/2006/relationships/hyperlink" Target="https://www.advil.ca/product/advil-12-hour" TargetMode="External"/><Relationship Id="rId22" Type="http://schemas.openxmlformats.org/officeDocument/2006/relationships/hyperlink" Target="https://www.advil.ca/product/advil-arthritis-pain" TargetMode="External"/><Relationship Id="rId27" Type="http://schemas.openxmlformats.org/officeDocument/2006/relationships/hyperlink" Target="https://www.advil.ca/product/junior-strength-advil" TargetMode="External"/><Relationship Id="rId30" Type="http://schemas.openxmlformats.org/officeDocument/2006/relationships/hyperlink" Target="https://www.aleve.ca/en/products/aleve/aleve-back-body/" TargetMode="External"/><Relationship Id="rId35" Type="http://schemas.openxmlformats.org/officeDocument/2006/relationships/hyperlink" Target="https://www.backrelief.ca/back-relief-products/robax-oral-caplets/robaxacet-extra-strength" TargetMode="External"/><Relationship Id="rId43" Type="http://schemas.openxmlformats.org/officeDocument/2006/relationships/hyperlink" Target="https://www.aspirin.ca/en/products/aspirin-coated-regular-strength" TargetMode="External"/><Relationship Id="rId48" Type="http://schemas.openxmlformats.org/officeDocument/2006/relationships/hyperlink" Target="https://icyhot.ca/patches-creams-roll-on-and-spray/advanced-cream/" TargetMode="External"/><Relationship Id="rId56" Type="http://schemas.openxmlformats.org/officeDocument/2006/relationships/hyperlink" Target="https://ruba535.ca/product/arthritis-pain-relief-roll-lotion" TargetMode="External"/><Relationship Id="rId64" Type="http://schemas.openxmlformats.org/officeDocument/2006/relationships/hyperlink" Target="https://ruba535.ca/product/muscle-joint-maximum-strength-heat-cream" TargetMode="External"/><Relationship Id="rId8" Type="http://schemas.openxmlformats.org/officeDocument/2006/relationships/hyperlink" Target="https://www.tylenol.ca/products/back-body/tylenol-back-pain" TargetMode="External"/><Relationship Id="rId51" Type="http://schemas.openxmlformats.org/officeDocument/2006/relationships/hyperlink" Target="https://icyhot.ca/patches-creams-roll-on-and-spray/medicated-patch/" TargetMode="External"/><Relationship Id="rId3" Type="http://schemas.openxmlformats.org/officeDocument/2006/relationships/hyperlink" Target="https://www.tylenol.ca/products/headache-migraine/tylenol-liquid-gels" TargetMode="External"/><Relationship Id="rId12" Type="http://schemas.openxmlformats.org/officeDocument/2006/relationships/hyperlink" Target="https://www.tylenol.ca/products/infants-children/childrens-tylenol-liquid" TargetMode="External"/><Relationship Id="rId17" Type="http://schemas.openxmlformats.org/officeDocument/2006/relationships/hyperlink" Target="https://www.advil.ca/product/advil-extra-strength-caplets" TargetMode="External"/><Relationship Id="rId25" Type="http://schemas.openxmlformats.org/officeDocument/2006/relationships/hyperlink" Target="https://www.advil.ca/product/advil-pediatric-drops" TargetMode="External"/><Relationship Id="rId33" Type="http://schemas.openxmlformats.org/officeDocument/2006/relationships/hyperlink" Target="https://www.backrelief.ca/back-relief-products/robax-oral-caplets/robaxacet" TargetMode="External"/><Relationship Id="rId38" Type="http://schemas.openxmlformats.org/officeDocument/2006/relationships/hyperlink" Target="https://www.voltaren.ca/products/voltaren-emulgel-back-and-muscle-pain.html" TargetMode="External"/><Relationship Id="rId46" Type="http://schemas.openxmlformats.org/officeDocument/2006/relationships/hyperlink" Target="https://www.midol.ca/en/midol-products/midol-teen/" TargetMode="External"/><Relationship Id="rId59" Type="http://schemas.openxmlformats.org/officeDocument/2006/relationships/hyperlink" Target="https://ruba535.ca/product/injury-ice-heat-relief-cream" TargetMode="External"/><Relationship Id="rId20" Type="http://schemas.openxmlformats.org/officeDocument/2006/relationships/hyperlink" Target="https://www.advil.ca/product/advil-tablets" TargetMode="External"/><Relationship Id="rId41" Type="http://schemas.openxmlformats.org/officeDocument/2006/relationships/hyperlink" Target="https://www.aspirin.ca/en/products/aspirin-regular-strength" TargetMode="External"/><Relationship Id="rId54" Type="http://schemas.openxmlformats.org/officeDocument/2006/relationships/hyperlink" Target="https://ruba535.ca/product/sport-warm-up-cream" TargetMode="External"/><Relationship Id="rId62" Type="http://schemas.openxmlformats.org/officeDocument/2006/relationships/hyperlink" Target="https://ruba535.ca/product/muscle-joint-extra-strength-heat-cream" TargetMode="External"/><Relationship Id="rId1" Type="http://schemas.openxmlformats.org/officeDocument/2006/relationships/hyperlink" Target="https://www.tylenol.ca/products/headache-migraine/tylenol-rapid-release-gels" TargetMode="External"/><Relationship Id="rId6" Type="http://schemas.openxmlformats.org/officeDocument/2006/relationships/hyperlink" Target="https://www.tylenol.ca/products/arthritis/tylenol-arthritis-pain" TargetMode="External"/><Relationship Id="rId15" Type="http://schemas.openxmlformats.org/officeDocument/2006/relationships/hyperlink" Target="https://www.advil.ca/product/advil-caplets" TargetMode="External"/><Relationship Id="rId23" Type="http://schemas.openxmlformats.org/officeDocument/2006/relationships/hyperlink" Target="https://www.advil.ca/product/advil-muscle-joint" TargetMode="External"/><Relationship Id="rId28" Type="http://schemas.openxmlformats.org/officeDocument/2006/relationships/hyperlink" Target="https://www.aleve.ca/en/products/aleve/aleve-caplets/" TargetMode="External"/><Relationship Id="rId36" Type="http://schemas.openxmlformats.org/officeDocument/2006/relationships/hyperlink" Target="https://www.backrelief.ca/back-relief-products/robax-oral-caplets/robaxin" TargetMode="External"/><Relationship Id="rId49" Type="http://schemas.openxmlformats.org/officeDocument/2006/relationships/hyperlink" Target="https://icyhot.ca/patches-creams-roll-on-and-spray/extra-strength-cream/" TargetMode="External"/><Relationship Id="rId57" Type="http://schemas.openxmlformats.org/officeDocument/2006/relationships/hyperlink" Target="https://ruba535.ca/product/injury-ice-relief-gel" TargetMode="External"/><Relationship Id="rId10" Type="http://schemas.openxmlformats.org/officeDocument/2006/relationships/hyperlink" Target="https://www.tylenol.ca/products/nighttime/tylenol-body-pain-night" TargetMode="External"/><Relationship Id="rId31" Type="http://schemas.openxmlformats.org/officeDocument/2006/relationships/hyperlink" Target="https://www.aleve.ca/en/products/aleve/aleve-liquid-gels/" TargetMode="External"/><Relationship Id="rId44" Type="http://schemas.openxmlformats.org/officeDocument/2006/relationships/hyperlink" Target="https://www.midol.ca/en/midol-products/midol-menstrualcomplete/" TargetMode="External"/><Relationship Id="rId52" Type="http://schemas.openxmlformats.org/officeDocument/2006/relationships/hyperlink" Target="https://ruba535.ca/product/ice-heat-recovery-patches" TargetMode="External"/><Relationship Id="rId60" Type="http://schemas.openxmlformats.org/officeDocument/2006/relationships/hyperlink" Target="https://ruba535.ca/product/back-ice-heat-relief-patches" TargetMode="External"/><Relationship Id="rId65" Type="http://schemas.openxmlformats.org/officeDocument/2006/relationships/printerSettings" Target="../printerSettings/printerSettings13.bin"/><Relationship Id="rId4" Type="http://schemas.openxmlformats.org/officeDocument/2006/relationships/hyperlink" Target="https://www.tylenol.ca/products/headache-migraine/tylenol-regular-strength" TargetMode="External"/><Relationship Id="rId9" Type="http://schemas.openxmlformats.org/officeDocument/2006/relationships/hyperlink" Target="https://www.tylenol.ca/products/nighttime/extra-strength-tylenol-nighttime" TargetMode="External"/><Relationship Id="rId13" Type="http://schemas.openxmlformats.org/officeDocument/2006/relationships/hyperlink" Target="https://www.tylenol.ca/products/infants-children/children-s-tylenol-chewables" TargetMode="External"/><Relationship Id="rId18" Type="http://schemas.openxmlformats.org/officeDocument/2006/relationships/hyperlink" Target="https://www.advil.ca/product/advil-extra-strength-liqui-gels" TargetMode="External"/><Relationship Id="rId39" Type="http://schemas.openxmlformats.org/officeDocument/2006/relationships/hyperlink" Target="https://www.voltaren.ca/products/voltaren-emulgel-joint-pain.html"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8" Type="http://schemas.openxmlformats.org/officeDocument/2006/relationships/hyperlink" Target="https://www.jamiesonvitamins.com/collections/melatonin/products/melatonin-10-mg-dual-action-time-release" TargetMode="External"/><Relationship Id="rId13" Type="http://schemas.openxmlformats.org/officeDocument/2006/relationships/hyperlink" Target="https://webbernaturals.com/en-ca/product/melatonin-maximum-strength-quick-dissolve-10-mg/" TargetMode="External"/><Relationship Id="rId3" Type="http://schemas.openxmlformats.org/officeDocument/2006/relationships/hyperlink" Target="https://vicks.ca/en-ca/shop-products/zzzquil-sleep-aid/vicks-zzzquil-pure-zzzs-melatonin-sleep-aid-gummies-with-chamomile-lavender" TargetMode="External"/><Relationship Id="rId7" Type="http://schemas.openxmlformats.org/officeDocument/2006/relationships/hyperlink" Target="https://www.tylenol.ca/products/nighttime/extra-strength-tylenol-nighttime" TargetMode="External"/><Relationship Id="rId12" Type="http://schemas.openxmlformats.org/officeDocument/2006/relationships/hyperlink" Target="https://webbernaturals.com/en-ca/product/melatonin-gummies-10-mg-cherry-pomegranate/" TargetMode="External"/><Relationship Id="rId2" Type="http://schemas.openxmlformats.org/officeDocument/2006/relationships/hyperlink" Target="https://unisom.ca/en/products/unisom-extra-strength-tablets" TargetMode="External"/><Relationship Id="rId1" Type="http://schemas.openxmlformats.org/officeDocument/2006/relationships/hyperlink" Target="https://unisom.ca/en/products/unisom-sleepgels-extra-strength-soft-gel-capsules" TargetMode="External"/><Relationship Id="rId6" Type="http://schemas.openxmlformats.org/officeDocument/2006/relationships/hyperlink" Target="https://www.advil.ca/product/advil-nighttime" TargetMode="External"/><Relationship Id="rId11" Type="http://schemas.openxmlformats.org/officeDocument/2006/relationships/hyperlink" Target="https://webbernaturals.com/en-ca/product/melatonin-maximum-strength-dual-action-release-10-mg/" TargetMode="External"/><Relationship Id="rId5" Type="http://schemas.openxmlformats.org/officeDocument/2006/relationships/hyperlink" Target="https://vicks.ca/en-ca/shop-products/zzzquil-sleep-aid/zzzquil-liquid-sleep-aid" TargetMode="External"/><Relationship Id="rId15" Type="http://schemas.openxmlformats.org/officeDocument/2006/relationships/table" Target="../tables/table5.xml"/><Relationship Id="rId10" Type="http://schemas.openxmlformats.org/officeDocument/2006/relationships/hyperlink" Target="https://www.jamiesonvitamins.com/collections/melatonin/products/melatonin-stress-and-sleep-support" TargetMode="External"/><Relationship Id="rId4" Type="http://schemas.openxmlformats.org/officeDocument/2006/relationships/hyperlink" Target="https://vicks.ca/en-ca/shop-products/zzzquil-sleep-aid/zzzquil-liquicaps-sleep-aid" TargetMode="External"/><Relationship Id="rId9" Type="http://schemas.openxmlformats.org/officeDocument/2006/relationships/hyperlink" Target="https://www.jamiesonvitamins.com/collections/melatonin/products/healthy-sleep" TargetMode="External"/><Relationship Id="rId14"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3" Type="http://schemas.openxmlformats.org/officeDocument/2006/relationships/hyperlink" Target="https://www.canesten.ca/en/products/1-day-combi-pak-yeast-infection-cream/" TargetMode="External"/><Relationship Id="rId18" Type="http://schemas.openxmlformats.org/officeDocument/2006/relationships/hyperlink" Target="http://www.rephresh.com/RepHresh-Products/RepHresh-Pro-B.aspx" TargetMode="External"/><Relationship Id="rId26" Type="http://schemas.openxmlformats.org/officeDocument/2006/relationships/hyperlink" Target="https://www.k-y.ca/en/products/sensation-warming/k-y-touch-2-in-1-warming-oil-and-personal-lubricant/" TargetMode="External"/><Relationship Id="rId39" Type="http://schemas.openxmlformats.org/officeDocument/2006/relationships/hyperlink" Target="http://www.replens.com/en-ca/Products/Replens-External-Comfort-Gel/" TargetMode="External"/><Relationship Id="rId21" Type="http://schemas.openxmlformats.org/officeDocument/2006/relationships/hyperlink" Target="https://www.k-y.ca/en/products/comfort-lubrication/k-y-jelly-personal-lubricant/" TargetMode="External"/><Relationship Id="rId34" Type="http://schemas.openxmlformats.org/officeDocument/2006/relationships/hyperlink" Target="https://astroglide.com/products/astroglide-x-silicone-gel" TargetMode="External"/><Relationship Id="rId42" Type="http://schemas.openxmlformats.org/officeDocument/2006/relationships/hyperlink" Target="https://www.vagisil.com/odor-block-wash" TargetMode="External"/><Relationship Id="rId47" Type="http://schemas.openxmlformats.org/officeDocument/2006/relationships/hyperlink" Target="http://provacare.ca/about/provacare-products" TargetMode="External"/><Relationship Id="rId50" Type="http://schemas.openxmlformats.org/officeDocument/2006/relationships/printerSettings" Target="../printerSettings/printerSettings17.bin"/><Relationship Id="rId7" Type="http://schemas.openxmlformats.org/officeDocument/2006/relationships/hyperlink" Target="https://www.monistat.com/yeast-infection-treatment/monistat-7-day-antifungal" TargetMode="External"/><Relationship Id="rId2" Type="http://schemas.openxmlformats.org/officeDocument/2006/relationships/hyperlink" Target="https://www.vagisil.com/prohydrate-natural-feel-internal-moisturizing-gel-personal-lubricant" TargetMode="External"/><Relationship Id="rId16" Type="http://schemas.openxmlformats.org/officeDocument/2006/relationships/hyperlink" Target="https://www.canesten.ca/en/products/6-day-yeast-infection-cream/" TargetMode="External"/><Relationship Id="rId29" Type="http://schemas.openxmlformats.org/officeDocument/2006/relationships/hyperlink" Target="https://www.k-y.ca/en/products/bold-beyond/k-y-yours-mine-couples-lubricants/" TargetMode="External"/><Relationship Id="rId11" Type="http://schemas.openxmlformats.org/officeDocument/2006/relationships/hyperlink" Target="https://www.canesten.ca/en/products/canesoral-combi-pak-yeast-infection/" TargetMode="External"/><Relationship Id="rId24" Type="http://schemas.openxmlformats.org/officeDocument/2006/relationships/hyperlink" Target="https://www.k-y.ca/en/products/comfort-lubrication/k-y-liquid-personal-lubricant/" TargetMode="External"/><Relationship Id="rId32" Type="http://schemas.openxmlformats.org/officeDocument/2006/relationships/hyperlink" Target="https://astroglide.com/products/astroglide-ultra-gentle-gel" TargetMode="External"/><Relationship Id="rId37" Type="http://schemas.openxmlformats.org/officeDocument/2006/relationships/hyperlink" Target="http://www.replens.com/en-ca/Products/Replens-Long-Lasting-Moisturizer/" TargetMode="External"/><Relationship Id="rId40" Type="http://schemas.openxmlformats.org/officeDocument/2006/relationships/hyperlink" Target="https://www.gynatrof.com/en/gynatrof/?gclid=EAIaIQobChMI062kpITh5wIVA9RkCh1CKArpEAAYASAAEgIzC_D_BwE" TargetMode="External"/><Relationship Id="rId45" Type="http://schemas.openxmlformats.org/officeDocument/2006/relationships/hyperlink" Target="https://www.vagisil.com/scentsitive-scents-peach-blossom-daily-intimate-wash" TargetMode="External"/><Relationship Id="rId5" Type="http://schemas.openxmlformats.org/officeDocument/2006/relationships/hyperlink" Target="https://www.monistat.com/yeast-infection-treatment/monistat-1-day-antifungal" TargetMode="External"/><Relationship Id="rId15" Type="http://schemas.openxmlformats.org/officeDocument/2006/relationships/hyperlink" Target="https://www.canesten.ca/en/products/3-day-yeast-infection-cream/" TargetMode="External"/><Relationship Id="rId23" Type="http://schemas.openxmlformats.org/officeDocument/2006/relationships/hyperlink" Target="https://www.k-y.ca/en/products/comfort-lubrication/k-y-gentle-sensitive-jelly-personal-lubricant/" TargetMode="External"/><Relationship Id="rId28" Type="http://schemas.openxmlformats.org/officeDocument/2006/relationships/hyperlink" Target="https://www.k-y.ca/en/products/sensation-warming/k-y-warming-jelly-personal-lubricant/" TargetMode="External"/><Relationship Id="rId36" Type="http://schemas.openxmlformats.org/officeDocument/2006/relationships/hyperlink" Target="https://astroglide.com/products/astroglide-strawberry-liquid" TargetMode="External"/><Relationship Id="rId49" Type="http://schemas.openxmlformats.org/officeDocument/2006/relationships/hyperlink" Target="https://cystoplus.ca/" TargetMode="External"/><Relationship Id="rId10" Type="http://schemas.openxmlformats.org/officeDocument/2006/relationships/hyperlink" Target="https://www.canesten.ca/en/products/3-day-combi-pak-comfortab-yeast-infection/" TargetMode="External"/><Relationship Id="rId19" Type="http://schemas.openxmlformats.org/officeDocument/2006/relationships/hyperlink" Target="http://www.rephresh.com/RepHresh-Products/RepHresh-Clean-Balance.aspx" TargetMode="External"/><Relationship Id="rId31" Type="http://schemas.openxmlformats.org/officeDocument/2006/relationships/hyperlink" Target="https://astroglide.com/products/astroglide-gel" TargetMode="External"/><Relationship Id="rId44" Type="http://schemas.openxmlformats.org/officeDocument/2006/relationships/hyperlink" Target="https://www.vagisil.com/sensitive-plus-wash" TargetMode="External"/><Relationship Id="rId4" Type="http://schemas.openxmlformats.org/officeDocument/2006/relationships/hyperlink" Target="https://www.monistat.com/yeast-infection-treatment/monistat-1-day-antifungal" TargetMode="External"/><Relationship Id="rId9" Type="http://schemas.openxmlformats.org/officeDocument/2006/relationships/hyperlink" Target="https://www.canesten.ca/en/products/1-day-combi-pak-comfortab-yeast-infection/" TargetMode="External"/><Relationship Id="rId14" Type="http://schemas.openxmlformats.org/officeDocument/2006/relationships/hyperlink" Target="https://www.canesten.ca/en/products/1-day-yeast-infection-cream/" TargetMode="External"/><Relationship Id="rId22" Type="http://schemas.openxmlformats.org/officeDocument/2006/relationships/hyperlink" Target="https://www.k-y.ca/en/products/comfort-lubrication/k-y-silk-e-vaginal-moisturizer-and-personal-lubricant/" TargetMode="External"/><Relationship Id="rId27" Type="http://schemas.openxmlformats.org/officeDocument/2006/relationships/hyperlink" Target="https://www.k-y.ca/en/products/sensation-warming/k-y-warming-liquid-personal-lubricant/" TargetMode="External"/><Relationship Id="rId30" Type="http://schemas.openxmlformats.org/officeDocument/2006/relationships/hyperlink" Target="https://astroglide.com/products/astroglide-liquid" TargetMode="External"/><Relationship Id="rId35" Type="http://schemas.openxmlformats.org/officeDocument/2006/relationships/hyperlink" Target="https://astroglide.com/products/astroglide-warming-liquid" TargetMode="External"/><Relationship Id="rId43" Type="http://schemas.openxmlformats.org/officeDocument/2006/relationships/hyperlink" Target="https://www.vagisil.com/ph-balance-wash" TargetMode="External"/><Relationship Id="rId48" Type="http://schemas.openxmlformats.org/officeDocument/2006/relationships/hyperlink" Target="https://www.prevegyne.com/en/" TargetMode="External"/><Relationship Id="rId8" Type="http://schemas.openxmlformats.org/officeDocument/2006/relationships/hyperlink" Target="https://www.canesten.ca/en/bacterial-vaginosis/products/?bv" TargetMode="External"/><Relationship Id="rId51" Type="http://schemas.openxmlformats.org/officeDocument/2006/relationships/table" Target="../tables/table6.xml"/><Relationship Id="rId3" Type="http://schemas.openxmlformats.org/officeDocument/2006/relationships/hyperlink" Target="https://www.vagisil.com/vagistat-3-day-yeast-infection-treatment" TargetMode="External"/><Relationship Id="rId12" Type="http://schemas.openxmlformats.org/officeDocument/2006/relationships/hyperlink" Target="https://www.canesten.ca/en/products/canesoral-yeast-infection-pill/" TargetMode="External"/><Relationship Id="rId17" Type="http://schemas.openxmlformats.org/officeDocument/2006/relationships/hyperlink" Target="https://www.canesten.ca/en/products/external-yeast-infection-cream/" TargetMode="External"/><Relationship Id="rId25" Type="http://schemas.openxmlformats.org/officeDocument/2006/relationships/hyperlink" Target="https://www.k-y.ca/en/products/comfort-lubrication/k-y-sensual-silk-personal-lubricant/" TargetMode="External"/><Relationship Id="rId33" Type="http://schemas.openxmlformats.org/officeDocument/2006/relationships/hyperlink" Target="https://astroglide.com/products/glycerin-and-paraben-free" TargetMode="External"/><Relationship Id="rId38" Type="http://schemas.openxmlformats.org/officeDocument/2006/relationships/hyperlink" Target="http://www.replens.com/en-ca/Products/Replens-Silky-Smooth-Lubricant/" TargetMode="External"/><Relationship Id="rId46" Type="http://schemas.openxmlformats.org/officeDocument/2006/relationships/hyperlink" Target="https://www.vagisil.com/scentsitive-scents-white-jasmine-daily-intimate-wash" TargetMode="External"/><Relationship Id="rId20" Type="http://schemas.openxmlformats.org/officeDocument/2006/relationships/hyperlink" Target="http://www.rephresh.com/RepHresh-Products/RepHresh-Vaginal-Gel.aspx" TargetMode="External"/><Relationship Id="rId41" Type="http://schemas.openxmlformats.org/officeDocument/2006/relationships/hyperlink" Target="https://www.monistat.com/vaginal-complete-care-products/stay-fresh-gel" TargetMode="External"/><Relationship Id="rId1" Type="http://schemas.openxmlformats.org/officeDocument/2006/relationships/hyperlink" Target="https://www.probaclac.ca/vaginal-probiotics-for-bv" TargetMode="External"/><Relationship Id="rId6" Type="http://schemas.openxmlformats.org/officeDocument/2006/relationships/hyperlink" Target="https://www.monistat.com/yeast-infection-treatment/monistat-3-day-antifungal" TargetMode="Externa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6" Type="http://schemas.openxmlformats.org/officeDocument/2006/relationships/hyperlink" Target="https://gravol.ca/en/product/kids-liquid/" TargetMode="External"/><Relationship Id="rId21" Type="http://schemas.openxmlformats.org/officeDocument/2006/relationships/hyperlink" Target="https://gravol.ca/en/product/liquid-gel-capsules/" TargetMode="External"/><Relationship Id="rId42" Type="http://schemas.openxmlformats.org/officeDocument/2006/relationships/hyperlink" Target="https://pepto-bismol.ca/en-ca/product/pepto-bismol-to-go-cherry-chewable-tablets" TargetMode="External"/><Relationship Id="rId47" Type="http://schemas.openxmlformats.org/officeDocument/2006/relationships/hyperlink" Target="https://www.gaviscon.com/products/tablets.html" TargetMode="External"/><Relationship Id="rId63" Type="http://schemas.openxmlformats.org/officeDocument/2006/relationships/hyperlink" Target="https://www.fleetlabs.com/constipation-relief-products/suppositories/fleet-liquid-glycerin-suppositories/" TargetMode="External"/><Relationship Id="rId68" Type="http://schemas.openxmlformats.org/officeDocument/2006/relationships/hyperlink" Target="https://www.pedia-lax.com/childrens-constipation-relief-products/pedia-lax-liquid-glycerin-suppositories" TargetMode="External"/><Relationship Id="rId84" Type="http://schemas.openxmlformats.org/officeDocument/2006/relationships/hyperlink" Target="https://www.phillipsdigestive.com/products/colon-health-probiotic-caps/" TargetMode="External"/><Relationship Id="rId89" Type="http://schemas.openxmlformats.org/officeDocument/2006/relationships/hyperlink" Target="https://www.aligngi.ca/en-ca/products/probiotic-chewables/align-jr-probiotic-supplement-chewables-for-kids" TargetMode="External"/><Relationship Id="rId16" Type="http://schemas.openxmlformats.org/officeDocument/2006/relationships/hyperlink" Target="https://colacecapsules.com/products/colace-regular-strength/" TargetMode="External"/><Relationship Id="rId11" Type="http://schemas.openxmlformats.org/officeDocument/2006/relationships/hyperlink" Target="https://www.metamucil.ca/en-ca/products/fibre-supplements/pink-lemonade-sugar-free-smooth" TargetMode="External"/><Relationship Id="rId32" Type="http://schemas.openxmlformats.org/officeDocument/2006/relationships/hyperlink" Target="https://www.tums.ca/find-your-tums/tums-extra-strength-assorted-berries-100ct/" TargetMode="External"/><Relationship Id="rId37" Type="http://schemas.openxmlformats.org/officeDocument/2006/relationships/hyperlink" Target="https://pepto-bismol.ca/en-ca/product/pepto-bismol-original-liquid" TargetMode="External"/><Relationship Id="rId53" Type="http://schemas.openxmlformats.org/officeDocument/2006/relationships/hyperlink" Target="https://www.pepcid.ca/our-products/original-strength-pepcid-ac" TargetMode="External"/><Relationship Id="rId58" Type="http://schemas.openxmlformats.org/officeDocument/2006/relationships/hyperlink" Target="https://www.lactaid.com/products/lactaid-original-strength-caplets" TargetMode="External"/><Relationship Id="rId74" Type="http://schemas.openxmlformats.org/officeDocument/2006/relationships/hyperlink" Target="https://www.dulcolax.ca/en/dulcocomfort-stool-softener" TargetMode="External"/><Relationship Id="rId79" Type="http://schemas.openxmlformats.org/officeDocument/2006/relationships/hyperlink" Target="https://www.phillipsdigestive.com/products/phillips-fiber-good-gummies-plus-energy-support/" TargetMode="External"/><Relationship Id="rId5" Type="http://schemas.openxmlformats.org/officeDocument/2006/relationships/hyperlink" Target="https://www.restoralax.ca/en/why-restoralax/how-restoralax-works/" TargetMode="External"/><Relationship Id="rId90" Type="http://schemas.openxmlformats.org/officeDocument/2006/relationships/hyperlink" Target="https://www.aligngi.ca/en-ca/products/probiotic-capsules/align-probiotic-supplement" TargetMode="External"/><Relationship Id="rId22" Type="http://schemas.openxmlformats.org/officeDocument/2006/relationships/hyperlink" Target="https://gravol.ca/en/product/quick-dissolve-chewable/" TargetMode="External"/><Relationship Id="rId27" Type="http://schemas.openxmlformats.org/officeDocument/2006/relationships/hyperlink" Target="https://gravol.ca/en/product/ginger-liquid-gel-capsules/" TargetMode="External"/><Relationship Id="rId43" Type="http://schemas.openxmlformats.org/officeDocument/2006/relationships/hyperlink" Target="https://pepto-bismol.ca/en-ca/product/pepto-bismol-extra-strength-liquid" TargetMode="External"/><Relationship Id="rId48" Type="http://schemas.openxmlformats.org/officeDocument/2006/relationships/hyperlink" Target="https://www.zantac.ca/en/zantac-75-regular-strength" TargetMode="External"/><Relationship Id="rId64" Type="http://schemas.openxmlformats.org/officeDocument/2006/relationships/hyperlink" Target="https://www.fleetlabs.com/constipation-relief-products/suppositories/fleet-glycerin-suppositories/" TargetMode="External"/><Relationship Id="rId69" Type="http://schemas.openxmlformats.org/officeDocument/2006/relationships/hyperlink" Target="https://www.pedia-lax.com/childrens-constipation-relief-products/pedia-lax-enema-for-kids" TargetMode="External"/><Relationship Id="rId8" Type="http://schemas.openxmlformats.org/officeDocument/2006/relationships/hyperlink" Target="https://www.metamucil.ca/en-ca/products/fibre-supplements/fibre-capsules-plus-calcium" TargetMode="External"/><Relationship Id="rId51" Type="http://schemas.openxmlformats.org/officeDocument/2006/relationships/hyperlink" Target="https://www.pepcid.ca/our-products/pepcid-complete" TargetMode="External"/><Relationship Id="rId72" Type="http://schemas.openxmlformats.org/officeDocument/2006/relationships/hyperlink" Target="https://www.dulcolax.ca/en/dulcolax-laxative-tablets" TargetMode="External"/><Relationship Id="rId80" Type="http://schemas.openxmlformats.org/officeDocument/2006/relationships/hyperlink" Target="https://www.phillipsdigestive.com/products/phillips-fiber-good-gummies-plus-metabolism-support/" TargetMode="External"/><Relationship Id="rId85" Type="http://schemas.openxmlformats.org/officeDocument/2006/relationships/hyperlink" Target="https://www.phillipsdigestive.com/products/colon-health-probiotic-gummies/" TargetMode="External"/><Relationship Id="rId93" Type="http://schemas.openxmlformats.org/officeDocument/2006/relationships/table" Target="../tables/table7.xml"/><Relationship Id="rId3" Type="http://schemas.openxmlformats.org/officeDocument/2006/relationships/hyperlink" Target="https://www.imodium.ca/products/imodium-quick-dissolve" TargetMode="External"/><Relationship Id="rId12" Type="http://schemas.openxmlformats.org/officeDocument/2006/relationships/hyperlink" Target="https://www.metamucil.ca/en-ca/products/fibre-supplements/sugar-free-orange-fibre-singles" TargetMode="External"/><Relationship Id="rId17" Type="http://schemas.openxmlformats.org/officeDocument/2006/relationships/hyperlink" Target="https://colacecapsules.com/products/colace-clear/" TargetMode="External"/><Relationship Id="rId25" Type="http://schemas.openxmlformats.org/officeDocument/2006/relationships/hyperlink" Target="https://gravol.ca/en/product/quick-dissolve-chewable-for-kids/" TargetMode="External"/><Relationship Id="rId33" Type="http://schemas.openxmlformats.org/officeDocument/2006/relationships/hyperlink" Target="https://www.tums.ca/find-your-tums/tums-extra-strength-assorted-berries-100ct/" TargetMode="External"/><Relationship Id="rId38" Type="http://schemas.openxmlformats.org/officeDocument/2006/relationships/hyperlink" Target="https://pepto-bismol.ca/en-ca/product/pepto-bismol-cherry-liquid" TargetMode="External"/><Relationship Id="rId46" Type="http://schemas.openxmlformats.org/officeDocument/2006/relationships/hyperlink" Target="https://www.gaviscon.com/products/liquid.html" TargetMode="External"/><Relationship Id="rId59" Type="http://schemas.openxmlformats.org/officeDocument/2006/relationships/hyperlink" Target="https://www.fleetlabs.com/constipation-relief-products/enemas/fleet-saline-enema/" TargetMode="External"/><Relationship Id="rId67" Type="http://schemas.openxmlformats.org/officeDocument/2006/relationships/hyperlink" Target="https://www.pedia-lax.com/childrens-constipation-relief-products/pedia-lax-liquid-stool-softener" TargetMode="External"/><Relationship Id="rId20" Type="http://schemas.openxmlformats.org/officeDocument/2006/relationships/hyperlink" Target="https://gravol.ca/en/product/easy-to-swallow-tablets/" TargetMode="External"/><Relationship Id="rId41" Type="http://schemas.openxmlformats.org/officeDocument/2006/relationships/hyperlink" Target="https://pepto-bismol.ca/en-ca/product/pepto-bismol-original-caplets" TargetMode="External"/><Relationship Id="rId54" Type="http://schemas.openxmlformats.org/officeDocument/2006/relationships/hyperlink" Target="https://www.nexium24.ca/about-nexium-24hr" TargetMode="External"/><Relationship Id="rId62" Type="http://schemas.openxmlformats.org/officeDocument/2006/relationships/hyperlink" Target="https://www.fleetlabs.com/constipation-relief-products/enemas/fleet-bisacodyl-enema/" TargetMode="External"/><Relationship Id="rId70" Type="http://schemas.openxmlformats.org/officeDocument/2006/relationships/hyperlink" Target="https://www.pedia-lax.com/childrens-constipation-relief-products/pedia-lax-probiotic-yums" TargetMode="External"/><Relationship Id="rId75" Type="http://schemas.openxmlformats.org/officeDocument/2006/relationships/hyperlink" Target="https://www.beanogas.com/anti-gas-pills/beano-tablets/" TargetMode="External"/><Relationship Id="rId83" Type="http://schemas.openxmlformats.org/officeDocument/2006/relationships/hyperlink" Target="https://www.phillipsdigestive.com/products/stool-softener-liquid-gels/" TargetMode="External"/><Relationship Id="rId88" Type="http://schemas.openxmlformats.org/officeDocument/2006/relationships/hyperlink" Target="https://www.aligngi.ca/en-ca/products/probiotic-chewables/align-probiotic-supplement-chewables-for-adults" TargetMode="External"/><Relationship Id="rId91" Type="http://schemas.openxmlformats.org/officeDocument/2006/relationships/hyperlink" Target="https://www.aligngi.ca/en-ca/products/probiotic-capsules/align-advanced-probiotic-supplement" TargetMode="External"/><Relationship Id="rId1" Type="http://schemas.openxmlformats.org/officeDocument/2006/relationships/hyperlink" Target="https://www.imodium.ca/products/Imodium-liqui-gels" TargetMode="External"/><Relationship Id="rId6" Type="http://schemas.openxmlformats.org/officeDocument/2006/relationships/hyperlink" Target="https://www.metamucil.ca/en-ca/products/fibre-supplements/orange-smooth-powder" TargetMode="External"/><Relationship Id="rId15" Type="http://schemas.openxmlformats.org/officeDocument/2006/relationships/hyperlink" Target="https://senokot.ca/en/products/" TargetMode="External"/><Relationship Id="rId23" Type="http://schemas.openxmlformats.org/officeDocument/2006/relationships/hyperlink" Target="https://gravol.ca/en/product/comfort-shaped-suppositories/" TargetMode="External"/><Relationship Id="rId28" Type="http://schemas.openxmlformats.org/officeDocument/2006/relationships/hyperlink" Target="https://gravol.ca/en/product/ginger-tablets/" TargetMode="External"/><Relationship Id="rId36" Type="http://schemas.openxmlformats.org/officeDocument/2006/relationships/hyperlink" Target="https://www.tums.ca/find-your-tums/tums-chewies-orange-rush-32ct-bag/" TargetMode="External"/><Relationship Id="rId49" Type="http://schemas.openxmlformats.org/officeDocument/2006/relationships/hyperlink" Target="https://www.zantac.ca/en/zantac-150-cool-mint" TargetMode="External"/><Relationship Id="rId57" Type="http://schemas.openxmlformats.org/officeDocument/2006/relationships/hyperlink" Target="https://www.lactaid.com/products/lactaid-fast-act-caplets" TargetMode="External"/><Relationship Id="rId10" Type="http://schemas.openxmlformats.org/officeDocument/2006/relationships/hyperlink" Target="https://www.metamucil.ca/en-ca/products/fibre-supplements/original-coarse-powder" TargetMode="External"/><Relationship Id="rId31" Type="http://schemas.openxmlformats.org/officeDocument/2006/relationships/hyperlink" Target="https://www.gas-x.ca/products/" TargetMode="External"/><Relationship Id="rId44" Type="http://schemas.openxmlformats.org/officeDocument/2006/relationships/hyperlink" Target="https://pepto-bismol.ca/en-ca/product/pepto-bismol-cherry-extra-liquid" TargetMode="External"/><Relationship Id="rId52" Type="http://schemas.openxmlformats.org/officeDocument/2006/relationships/hyperlink" Target="https://www.pepcid.ca/our-products/maximum-strength-pepcid-ac" TargetMode="External"/><Relationship Id="rId60" Type="http://schemas.openxmlformats.org/officeDocument/2006/relationships/hyperlink" Target="https://www.fleetlabs.com/constipation-relief-products/enemas/fleet-enema-extra/" TargetMode="External"/><Relationship Id="rId65" Type="http://schemas.openxmlformats.org/officeDocument/2006/relationships/hyperlink" Target="https://www.pedia-lax.com/childrens-constipation-relief-products/pedia-lax-glycerin-suppositories" TargetMode="External"/><Relationship Id="rId73" Type="http://schemas.openxmlformats.org/officeDocument/2006/relationships/hyperlink" Target="https://www.dulcolax.ca/en/dulcolax-for-women-laxative-tablets" TargetMode="External"/><Relationship Id="rId78" Type="http://schemas.openxmlformats.org/officeDocument/2006/relationships/hyperlink" Target="https://www.phillipsdigestive.com/products/fiber-gummies/" TargetMode="External"/><Relationship Id="rId81" Type="http://schemas.openxmlformats.org/officeDocument/2006/relationships/hyperlink" Target="https://www.phillipsdigestive.com/products/milk-magnesia/" TargetMode="External"/><Relationship Id="rId86" Type="http://schemas.openxmlformats.org/officeDocument/2006/relationships/hyperlink" Target="https://pendorehydration.com/en/products/electrolyte-gastro-drink-powder/" TargetMode="External"/><Relationship Id="rId4" Type="http://schemas.openxmlformats.org/officeDocument/2006/relationships/hyperlink" Target="https://www.imodium.ca/products/imodium-complete" TargetMode="External"/><Relationship Id="rId9" Type="http://schemas.openxmlformats.org/officeDocument/2006/relationships/hyperlink" Target="https://www.metamucil.ca/en-ca/products/fibre-supplements/sugar-free-orange-smooth" TargetMode="External"/><Relationship Id="rId13" Type="http://schemas.openxmlformats.org/officeDocument/2006/relationships/hyperlink" Target="https://www.metamucil.ca/en-ca/products/fibre-supplements/sugar-free-berry-smooth" TargetMode="External"/><Relationship Id="rId18" Type="http://schemas.openxmlformats.org/officeDocument/2006/relationships/hyperlink" Target="https://colacecapsules.com/products/colace-2-in-1/" TargetMode="External"/><Relationship Id="rId39" Type="http://schemas.openxmlformats.org/officeDocument/2006/relationships/hyperlink" Target="https://pepto-bismol.ca/en-ca/product/pepto-bismol-chewable-tablets-original" TargetMode="External"/><Relationship Id="rId34" Type="http://schemas.openxmlformats.org/officeDocument/2006/relationships/hyperlink" Target="https://www.tums.ca/find-your-tums/tums-ultra-strength-peppermint-72ct-bottle/" TargetMode="External"/><Relationship Id="rId50" Type="http://schemas.openxmlformats.org/officeDocument/2006/relationships/hyperlink" Target="https://www.zantac.ca/en/zantac-150-maximum-strength" TargetMode="External"/><Relationship Id="rId55" Type="http://schemas.openxmlformats.org/officeDocument/2006/relationships/hyperlink" Target="https://pendopharm.com/newsroom/olex-20mg-omeprazole-delayed-release-tablets-a-new-option-for-canadians-suffering-from-frequent-heartburn/" TargetMode="External"/><Relationship Id="rId76" Type="http://schemas.openxmlformats.org/officeDocument/2006/relationships/hyperlink" Target="https://www.tevacanada.com/en/canada/our-products/over-the-counter-products/search-results/product/?pn=Citro-Mag%C2%AE%20-%20Lemon/Lime" TargetMode="External"/><Relationship Id="rId7" Type="http://schemas.openxmlformats.org/officeDocument/2006/relationships/hyperlink" Target="https://www.metamucil.ca/en-ca/products/fibre-supplements/no-sweetener-added-powder" TargetMode="External"/><Relationship Id="rId71" Type="http://schemas.openxmlformats.org/officeDocument/2006/relationships/hyperlink" Target="https://www.dulcolax.ca/en/dulcolax-suppositories" TargetMode="External"/><Relationship Id="rId92" Type="http://schemas.openxmlformats.org/officeDocument/2006/relationships/printerSettings" Target="../printerSettings/printerSettings19.bin"/><Relationship Id="rId2" Type="http://schemas.openxmlformats.org/officeDocument/2006/relationships/hyperlink" Target="https://www.imodium.ca/products/imodium-calming-liquid" TargetMode="External"/><Relationship Id="rId29" Type="http://schemas.openxmlformats.org/officeDocument/2006/relationships/hyperlink" Target="https://gravol.ca/en/product/ginger-lozenges/" TargetMode="External"/><Relationship Id="rId24" Type="http://schemas.openxmlformats.org/officeDocument/2006/relationships/hyperlink" Target="https://gravol.ca/en/product/comfort-shaped-suppositories-for-kids/" TargetMode="External"/><Relationship Id="rId40" Type="http://schemas.openxmlformats.org/officeDocument/2006/relationships/hyperlink" Target="https://pepto-bismol.ca/en-ca/product/pepto-bismol-chewable-tablets-cherry" TargetMode="External"/><Relationship Id="rId45" Type="http://schemas.openxmlformats.org/officeDocument/2006/relationships/hyperlink" Target="https://pepto-bismol.ca/en-ca/product/kids-chewable-tablets-bubblegum" TargetMode="External"/><Relationship Id="rId66" Type="http://schemas.openxmlformats.org/officeDocument/2006/relationships/hyperlink" Target="https://www.pedia-lax.com/childrens-constipation-relief-products/pedia-lax-chewable-tablets" TargetMode="External"/><Relationship Id="rId87" Type="http://schemas.openxmlformats.org/officeDocument/2006/relationships/hyperlink" Target="https://pendorehydration.com/en/pediatric-electrolyte-for-children/" TargetMode="External"/><Relationship Id="rId61" Type="http://schemas.openxmlformats.org/officeDocument/2006/relationships/hyperlink" Target="https://www.fleetlabs.com/constipation-relief-products/enemas/fleet-mineral-oil-enema/" TargetMode="External"/><Relationship Id="rId82" Type="http://schemas.openxmlformats.org/officeDocument/2006/relationships/hyperlink" Target="https://www.phillipsdigestive.com/products/phillips-laxative-caplets/" TargetMode="External"/><Relationship Id="rId19" Type="http://schemas.openxmlformats.org/officeDocument/2006/relationships/hyperlink" Target="https://gravol.ca/en/product/immediate-release-long-acting-caplets/" TargetMode="External"/><Relationship Id="rId14" Type="http://schemas.openxmlformats.org/officeDocument/2006/relationships/hyperlink" Target="https://www.metamucil.ca/en-ca/products/fibre-supplements/fibre-capsules" TargetMode="External"/><Relationship Id="rId30" Type="http://schemas.openxmlformats.org/officeDocument/2006/relationships/hyperlink" Target="https://www.enoantacid.ca/products.html" TargetMode="External"/><Relationship Id="rId35" Type="http://schemas.openxmlformats.org/officeDocument/2006/relationships/hyperlink" Target="https://www.tums.ca/find-your-tums/tums-regular-strength-peppermint-3-roll-pack/" TargetMode="External"/><Relationship Id="rId56" Type="http://schemas.openxmlformats.org/officeDocument/2006/relationships/hyperlink" Target="https://www.lactaid.com/products/fast-act-chewables" TargetMode="External"/><Relationship Id="rId77" Type="http://schemas.openxmlformats.org/officeDocument/2006/relationships/hyperlink" Target="https://www.tevacanada.com/en/canada/our-products/over-the-counter-products/search-results/product/?pn=Citro-Mag%C2%AE%20-%20Cher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6" Type="http://schemas.openxmlformats.org/officeDocument/2006/relationships/hyperlink" Target="https://systane-ca.myalcon.com/ca-en/eye-care/systane/products/systane-ultra-preservative-free/" TargetMode="External"/><Relationship Id="rId21" Type="http://schemas.openxmlformats.org/officeDocument/2006/relationships/hyperlink" Target="https://systane-ca.myalcon.com/ca-en/eye-care/systane/products/systane-complete/" TargetMode="External"/><Relationship Id="rId42" Type="http://schemas.openxmlformats.org/officeDocument/2006/relationships/hyperlink" Target="https://opti-free.myalcon.com/sites/g/files/rbvwei511/files/2019-04/ofpuremoistrd_us_en.pdf" TargetMode="External"/><Relationship Id="rId47" Type="http://schemas.openxmlformats.org/officeDocument/2006/relationships/hyperlink" Target="https://www.justblink.com/find-your-products/dry-eye-lubricating-eye-drops/blink-geltears-lubricating-eye-drops" TargetMode="External"/><Relationship Id="rId63" Type="http://schemas.openxmlformats.org/officeDocument/2006/relationships/hyperlink" Target="https://www.cleareyes.com/eye-drops/for-travelers/travelers-eye-relief/" TargetMode="External"/><Relationship Id="rId68" Type="http://schemas.openxmlformats.org/officeDocument/2006/relationships/hyperlink" Target="https://www.cleareyes.com/eye-drops/multi-symptom-relief/clear-eyes-complete-7-symptom-relief-eye-drops/" TargetMode="External"/><Relationship Id="rId2" Type="http://schemas.openxmlformats.org/officeDocument/2006/relationships/hyperlink" Target="https://www.visine.ca/products/dry-eye/visine-eye-revival" TargetMode="External"/><Relationship Id="rId16" Type="http://schemas.openxmlformats.org/officeDocument/2006/relationships/hyperlink" Target="https://www.refreshbrand.com/Products/refresh-celluvisc" TargetMode="External"/><Relationship Id="rId29" Type="http://schemas.openxmlformats.org/officeDocument/2006/relationships/hyperlink" Target="https://systane-ca.myalcon.com/ca-en/eye-care/systane/products/systane-bion-tears/" TargetMode="External"/><Relationship Id="rId11" Type="http://schemas.openxmlformats.org/officeDocument/2006/relationships/hyperlink" Target="https://www.refreshbrand.com/Products/optive-sensitive" TargetMode="External"/><Relationship Id="rId24" Type="http://schemas.openxmlformats.org/officeDocument/2006/relationships/hyperlink" Target="https://systane-ca.myalcon.com/ca-en/eye-care/systane/products/systane-ultra/" TargetMode="External"/><Relationship Id="rId32" Type="http://schemas.openxmlformats.org/officeDocument/2006/relationships/hyperlink" Target="https://www.hydrasense.ca/en/products/eye-care/advanced/" TargetMode="External"/><Relationship Id="rId37" Type="http://schemas.openxmlformats.org/officeDocument/2006/relationships/hyperlink" Target="http://www.bausch.com/our-products/dry-eye-products/dry-eye-products/soothe-lubricant-eye-drops-maximum-hydration" TargetMode="External"/><Relationship Id="rId40" Type="http://schemas.openxmlformats.org/officeDocument/2006/relationships/hyperlink" Target="http://www.bausch.com/our-products/dry-eye-products/dry-eye-products/soothe-night-time-ointment" TargetMode="External"/><Relationship Id="rId45" Type="http://schemas.openxmlformats.org/officeDocument/2006/relationships/hyperlink" Target="https://www.justblink.com/find-your-products/contact-lens-lubricating-eye-drops/blink-contacts-lubricating-eye-drops" TargetMode="External"/><Relationship Id="rId53" Type="http://schemas.openxmlformats.org/officeDocument/2006/relationships/hyperlink" Target="https://gentealtears.myalcon.com/eye-care/genteal/products/genteal-mild/" TargetMode="External"/><Relationship Id="rId58" Type="http://schemas.openxmlformats.org/officeDocument/2006/relationships/hyperlink" Target="https://www.cleareyes.com/eye-drops/clear-eyes-pure-relief-eye-drops-for-dry-eyes/" TargetMode="External"/><Relationship Id="rId66" Type="http://schemas.openxmlformats.org/officeDocument/2006/relationships/hyperlink" Target="https://www.cleareyes.com/eye-drops/clear-eyes-advanced-dry-and-itchy-eye-relief/" TargetMode="External"/><Relationship Id="rId74" Type="http://schemas.openxmlformats.org/officeDocument/2006/relationships/hyperlink" Target="https://www.sandoz.ca/en/optimyxinr-eye-drops-antibiotic-10-ml" TargetMode="External"/><Relationship Id="rId5" Type="http://schemas.openxmlformats.org/officeDocument/2006/relationships/hyperlink" Target="https://www.refreshbrand.com/Products/relieva" TargetMode="External"/><Relationship Id="rId61" Type="http://schemas.openxmlformats.org/officeDocument/2006/relationships/hyperlink" Target="https://www.cleareyes.com/eye-drops/redness-relief/clear-eyes-maximum-redness-relief-eye-drops/" TargetMode="External"/><Relationship Id="rId19" Type="http://schemas.openxmlformats.org/officeDocument/2006/relationships/hyperlink" Target="https://www.refreshbrand.com/Products/refresh-lacrilube" TargetMode="External"/><Relationship Id="rId14" Type="http://schemas.openxmlformats.org/officeDocument/2006/relationships/hyperlink" Target="https://www.refreshbrand.com/Products/refresh-classic" TargetMode="External"/><Relationship Id="rId22" Type="http://schemas.openxmlformats.org/officeDocument/2006/relationships/hyperlink" Target="https://systane-ca.myalcon.com/ca-en/eye-care/systane/products/systane-ultra-hydration-preservative-free/" TargetMode="External"/><Relationship Id="rId27" Type="http://schemas.openxmlformats.org/officeDocument/2006/relationships/hyperlink" Target="https://systane-ca.myalcon.com/ca-en/eye-care/systane/products/systane-lubricant-gel/" TargetMode="External"/><Relationship Id="rId30" Type="http://schemas.openxmlformats.org/officeDocument/2006/relationships/hyperlink" Target="https://systane-ca.myalcon.com/ca-en/eye-care/systane/products/systane-nighttime/" TargetMode="External"/><Relationship Id="rId35" Type="http://schemas.openxmlformats.org/officeDocument/2006/relationships/hyperlink" Target="http://www.bausch.com/our-products/dry-eye-products/dry-eye-products/soothe-xp-xtra-protection-emollient-lubricant-eye-drops" TargetMode="External"/><Relationship Id="rId43" Type="http://schemas.openxmlformats.org/officeDocument/2006/relationships/hyperlink" Target="https://opti-free.myalcon.com/sites/g/files/rbvwei511/files/2019-04/ofreplenishrd_us_en.pdf" TargetMode="External"/><Relationship Id="rId48" Type="http://schemas.openxmlformats.org/officeDocument/2006/relationships/hyperlink" Target="https://www.justblink.com/find-your-products/dry-eye-lubricating-eye-drops/blink-tears-preservative-free-lubricating-eye-drops" TargetMode="External"/><Relationship Id="rId56" Type="http://schemas.openxmlformats.org/officeDocument/2006/relationships/hyperlink" Target="https://gentealtears.myalcon.com/eye-care/genteal/products/genteal-nighttime-severe/" TargetMode="External"/><Relationship Id="rId64" Type="http://schemas.openxmlformats.org/officeDocument/2006/relationships/hyperlink" Target="https://www.cleareyes.com/eye-drops/itchy-eye-relief/clear-eyes-maximum-itchy-eye-relief/" TargetMode="External"/><Relationship Id="rId69" Type="http://schemas.openxmlformats.org/officeDocument/2006/relationships/hyperlink" Target="https://www.cleareyes.com/eye-drops/multi-symptom-relief/clear-eyes-triple-action-relief-eye-drops/" TargetMode="External"/><Relationship Id="rId8" Type="http://schemas.openxmlformats.org/officeDocument/2006/relationships/hyperlink" Target="https://www.refreshbrand.com/Products/refresh-optive-advanced" TargetMode="External"/><Relationship Id="rId51" Type="http://schemas.openxmlformats.org/officeDocument/2006/relationships/hyperlink" Target="http://www.theratears.com/products/" TargetMode="External"/><Relationship Id="rId72" Type="http://schemas.openxmlformats.org/officeDocument/2006/relationships/hyperlink" Target="https://www.visine.ca/products/red-eye/advance-triple-action" TargetMode="External"/><Relationship Id="rId3" Type="http://schemas.openxmlformats.org/officeDocument/2006/relationships/hyperlink" Target="https://www.visine.ca/products/dry-eye/visine-tired-eye-relief" TargetMode="External"/><Relationship Id="rId12" Type="http://schemas.openxmlformats.org/officeDocument/2006/relationships/hyperlink" Target="https://www.refreshbrand.com/Products/refresh-tears" TargetMode="External"/><Relationship Id="rId17" Type="http://schemas.openxmlformats.org/officeDocument/2006/relationships/hyperlink" Target="https://www.refreshbrand.com/Products/refresh-liquigel" TargetMode="External"/><Relationship Id="rId25" Type="http://schemas.openxmlformats.org/officeDocument/2006/relationships/hyperlink" Target="https://systane-ca.myalcon.com/ca-en/eye-care/systane/products/systane-balance/" TargetMode="External"/><Relationship Id="rId33" Type="http://schemas.openxmlformats.org/officeDocument/2006/relationships/hyperlink" Target="https://www.hydrasense.ca/en/products/eye-care/night-therapy/" TargetMode="External"/><Relationship Id="rId38" Type="http://schemas.openxmlformats.org/officeDocument/2006/relationships/hyperlink" Target="http://www.bausch.com/our-products/dry-eye-products/dry-eye-products/soothe-hydration-lubricant-eye-drops" TargetMode="External"/><Relationship Id="rId46" Type="http://schemas.openxmlformats.org/officeDocument/2006/relationships/hyperlink" Target="https://www.justblink.com/find-your-products/dry-eye-lubricating-eye-drops/blink-tears-lubricating-eye-drops" TargetMode="External"/><Relationship Id="rId59" Type="http://schemas.openxmlformats.org/officeDocument/2006/relationships/hyperlink" Target="https://www.cleareyes.com/eye-drops/clear-eyes-pure-relief-multi-symptom-eye-drops/" TargetMode="External"/><Relationship Id="rId67" Type="http://schemas.openxmlformats.org/officeDocument/2006/relationships/hyperlink" Target="https://www.cleareyes.com/eye-drops/for-contacts/clear-eyes-multi-action-relief-eye-drops/" TargetMode="External"/><Relationship Id="rId20" Type="http://schemas.openxmlformats.org/officeDocument/2006/relationships/hyperlink" Target="https://www.refreshbrand.com/Products/refresh-contacts" TargetMode="External"/><Relationship Id="rId41" Type="http://schemas.openxmlformats.org/officeDocument/2006/relationships/hyperlink" Target="http://www.bausch.com/our-products/dry-eye-products/dry-eye-products/advanced-eye-relief-dry-eye" TargetMode="External"/><Relationship Id="rId54" Type="http://schemas.openxmlformats.org/officeDocument/2006/relationships/hyperlink" Target="https://gentealtears.myalcon.com/eye-care/genteal/products/genteal-moderate/" TargetMode="External"/><Relationship Id="rId62" Type="http://schemas.openxmlformats.org/officeDocument/2006/relationships/hyperlink" Target="https://www.cleareyes.com/eye-drops/redness-relief/clear-eyes-cooling-comfort-itchy-eye-relief/" TargetMode="External"/><Relationship Id="rId70" Type="http://schemas.openxmlformats.org/officeDocument/2006/relationships/hyperlink" Target="https://www.visine.ca/products/red-eye/visine-red-eye-workplace" TargetMode="External"/><Relationship Id="rId75" Type="http://schemas.openxmlformats.org/officeDocument/2006/relationships/printerSettings" Target="../printerSettings/printerSettings21.bin"/><Relationship Id="rId1" Type="http://schemas.openxmlformats.org/officeDocument/2006/relationships/hyperlink" Target="https://www.visine.ca/products/dry-eye/visine-environmental-relief" TargetMode="External"/><Relationship Id="rId6" Type="http://schemas.openxmlformats.org/officeDocument/2006/relationships/hyperlink" Target="https://www.refreshbrand.com/Products/relieva-contacts" TargetMode="External"/><Relationship Id="rId15" Type="http://schemas.openxmlformats.org/officeDocument/2006/relationships/hyperlink" Target="https://www.refreshbrand.com/Products/optive-gel-drops" TargetMode="External"/><Relationship Id="rId23" Type="http://schemas.openxmlformats.org/officeDocument/2006/relationships/hyperlink" Target="https://systane-ca.myalcon.com/ca-en/eye-care/systane/products/systane-ultra-hydration/" TargetMode="External"/><Relationship Id="rId28" Type="http://schemas.openxmlformats.org/officeDocument/2006/relationships/hyperlink" Target="https://systane-ca.myalcon.com/ca-en/eye-care/systane/products/systane-gel/" TargetMode="External"/><Relationship Id="rId36" Type="http://schemas.openxmlformats.org/officeDocument/2006/relationships/hyperlink" Target="http://www.bausch.com/our-products/dry-eye-products/dry-eye-products/soothe-xp-emollient-lubricant-eye-drops-preservative-free" TargetMode="External"/><Relationship Id="rId49" Type="http://schemas.openxmlformats.org/officeDocument/2006/relationships/hyperlink" Target="http://www.theratears.com/products/" TargetMode="External"/><Relationship Id="rId57" Type="http://schemas.openxmlformats.org/officeDocument/2006/relationships/hyperlink" Target="https://gentealtears.myalcon.com/eye-care/genteal/products/genteal-severe/" TargetMode="External"/><Relationship Id="rId10" Type="http://schemas.openxmlformats.org/officeDocument/2006/relationships/hyperlink" Target="https://www.refreshbrand.com/Products/refresh-optive-15ml" TargetMode="External"/><Relationship Id="rId31" Type="http://schemas.openxmlformats.org/officeDocument/2006/relationships/hyperlink" Target="https://www.hydrasense.ca/en/products/eye-care/dry-eyes/" TargetMode="External"/><Relationship Id="rId44" Type="http://schemas.openxmlformats.org/officeDocument/2006/relationships/hyperlink" Target="https://opti-free.myalcon.com/sites/g/files/rbvwei511/files/2019-04/w9011883_i_ofxrd.pdf" TargetMode="External"/><Relationship Id="rId52" Type="http://schemas.openxmlformats.org/officeDocument/2006/relationships/hyperlink" Target="http://www.theratears.com/products/" TargetMode="External"/><Relationship Id="rId60" Type="http://schemas.openxmlformats.org/officeDocument/2006/relationships/hyperlink" Target="https://www.cleareyes.com/eye-drops/redness-relief/clear-eyes-redness-relief-eye-drops/" TargetMode="External"/><Relationship Id="rId65" Type="http://schemas.openxmlformats.org/officeDocument/2006/relationships/hyperlink" Target="https://www.cleareyes.com/eye-drops/dry-eye-relief/clear-eyes-natural-tears-lubricating-eye-drops/" TargetMode="External"/><Relationship Id="rId73" Type="http://schemas.openxmlformats.org/officeDocument/2006/relationships/hyperlink" Target="https://www.polysporin.ca/products/antibiotic-eye-drops" TargetMode="External"/><Relationship Id="rId4" Type="http://schemas.openxmlformats.org/officeDocument/2006/relationships/hyperlink" Target="https://www.refreshbrand.com/Products/relieva-pf" TargetMode="External"/><Relationship Id="rId9" Type="http://schemas.openxmlformats.org/officeDocument/2006/relationships/hyperlink" Target="https://www.refreshbrand.com/Products/optive-advanced-preservative-free" TargetMode="External"/><Relationship Id="rId13" Type="http://schemas.openxmlformats.org/officeDocument/2006/relationships/hyperlink" Target="https://www.refreshbrand.com/Products/refresh-plus" TargetMode="External"/><Relationship Id="rId18" Type="http://schemas.openxmlformats.org/officeDocument/2006/relationships/hyperlink" Target="https://www.refreshbrand.com/Products/refresh-pm" TargetMode="External"/><Relationship Id="rId39" Type="http://schemas.openxmlformats.org/officeDocument/2006/relationships/hyperlink" Target="http://www.bausch.com/our-products/dry-eye-products/dry-eye-products/soothe-preservative-free-lubricant-eye-drops" TargetMode="External"/><Relationship Id="rId34" Type="http://schemas.openxmlformats.org/officeDocument/2006/relationships/hyperlink" Target="https://www.hydrasense.ca/en/products/eye-care/allergy-therapy/" TargetMode="External"/><Relationship Id="rId50" Type="http://schemas.openxmlformats.org/officeDocument/2006/relationships/hyperlink" Target="http://www.theratears.com/products/" TargetMode="External"/><Relationship Id="rId55" Type="http://schemas.openxmlformats.org/officeDocument/2006/relationships/hyperlink" Target="https://gentealtears.myalcon.com/eye-care/genteal/products/genteal-moderate-preservative-free/" TargetMode="External"/><Relationship Id="rId76" Type="http://schemas.openxmlformats.org/officeDocument/2006/relationships/table" Target="../tables/table8.xml"/><Relationship Id="rId7" Type="http://schemas.openxmlformats.org/officeDocument/2006/relationships/hyperlink" Target="https://www.refreshbrand.com/Products/mega-3" TargetMode="External"/><Relationship Id="rId71" Type="http://schemas.openxmlformats.org/officeDocument/2006/relationships/hyperlink" Target="https://www.visine.ca/products/red-eye/original"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8" Type="http://schemas.openxmlformats.org/officeDocument/2006/relationships/hyperlink" Target="https://www.selsunblue.ca/2-in1-anti-dandruff-shampoo.aspx" TargetMode="External"/><Relationship Id="rId13" Type="http://schemas.openxmlformats.org/officeDocument/2006/relationships/hyperlink" Target="https://www.sumlab.com/products/tarsum-shampoogel/" TargetMode="External"/><Relationship Id="rId18" Type="http://schemas.openxmlformats.org/officeDocument/2006/relationships/hyperlink" Target="https://www.headandshoulders.ca/en-ca/shop-products/dandruff-shampoo/classic-clean-shampoo" TargetMode="External"/><Relationship Id="rId3" Type="http://schemas.openxmlformats.org/officeDocument/2006/relationships/hyperlink" Target="https://www.neutrogena.com/haircare/haircare-itchyscalp/tsal-therapeutic-shampoo-scalp-build-up-control/6809650.html?cgid=haircare-itchyscalp" TargetMode="External"/><Relationship Id="rId21" Type="http://schemas.openxmlformats.org/officeDocument/2006/relationships/printerSettings" Target="../printerSettings/printerSettings23.bin"/><Relationship Id="rId7" Type="http://schemas.openxmlformats.org/officeDocument/2006/relationships/hyperlink" Target="https://www.selsunblue.ca/normal-oily-anti-dandruff-shampoo.aspx" TargetMode="External"/><Relationship Id="rId12" Type="http://schemas.openxmlformats.org/officeDocument/2006/relationships/hyperlink" Target="https://www.selsunblue.ca/extra-strength-seborrheic-dermatitis-shampoo.aspx" TargetMode="External"/><Relationship Id="rId17" Type="http://schemas.openxmlformats.org/officeDocument/2006/relationships/hyperlink" Target="https://www.headandshoulders.ca/en-ca/shop-products/dandruff-shampoo/deep-moisture-shampoo" TargetMode="External"/><Relationship Id="rId2" Type="http://schemas.openxmlformats.org/officeDocument/2006/relationships/hyperlink" Target="https://www.neutrogena.com/haircare/haircare-itchyscalp/tgel-therapeutic-shampoo-extra-strength/6809466.html?cgid=haircare-itchyscalp" TargetMode="External"/><Relationship Id="rId16" Type="http://schemas.openxmlformats.org/officeDocument/2006/relationships/hyperlink" Target="https://www.dermalogix.com/productsbuy/dermazinc-shampoo/" TargetMode="External"/><Relationship Id="rId20" Type="http://schemas.openxmlformats.org/officeDocument/2006/relationships/hyperlink" Target="https://www.headandshoulders.ca/en-ca/shop-products/dandruff-shampoo/clinical-strength-shampoo" TargetMode="External"/><Relationship Id="rId1" Type="http://schemas.openxmlformats.org/officeDocument/2006/relationships/hyperlink" Target="https://www.neutrogena.com/haircare/haircare-itchyscalp/tgel-daily-control-2-in-1-dandruff-shampoo-plus-conditioner/6809000.html?cgid=haircare-itchyscalp" TargetMode="External"/><Relationship Id="rId6" Type="http://schemas.openxmlformats.org/officeDocument/2006/relationships/hyperlink" Target="https://nizoral.com/products/shampoo/nizoral-d-shampoo" TargetMode="External"/><Relationship Id="rId11" Type="http://schemas.openxmlformats.org/officeDocument/2006/relationships/hyperlink" Target="https://www.selsunblue.ca/clear-fresh-scent-itchy-dry-scalp-anti-dandruff-shampoo.aspx" TargetMode="External"/><Relationship Id="rId5" Type="http://schemas.openxmlformats.org/officeDocument/2006/relationships/hyperlink" Target="https://www.neutrogena.com/haircare/haircare-itchyscalp/tgel-therapeutic-shampoo-original-formula/6809200XX.html?cgid=haircare-itchyscalp" TargetMode="External"/><Relationship Id="rId15" Type="http://schemas.openxmlformats.org/officeDocument/2006/relationships/hyperlink" Target="https://www.triderma.com/soothing-shampoo.html" TargetMode="External"/><Relationship Id="rId10" Type="http://schemas.openxmlformats.org/officeDocument/2006/relationships/hyperlink" Target="https://www.selsunblue.ca/itchy-dry-scalp-anti-dandruff-shampoo.aspx" TargetMode="External"/><Relationship Id="rId19" Type="http://schemas.openxmlformats.org/officeDocument/2006/relationships/hyperlink" Target="https://www.headandshoulders.ca/en-ca/shop-products/dandruff-shampoo/itchy-scalp-care-with-eucalyptus-shampoo" TargetMode="External"/><Relationship Id="rId4" Type="http://schemas.openxmlformats.org/officeDocument/2006/relationships/hyperlink" Target="https://www.neutrogena.com/haircare/haircare-itchyscalp/tgel-therapeutic-shampoo-stubborn-itch/6809250.html?cgid=haircare-itchyscalp" TargetMode="External"/><Relationship Id="rId9" Type="http://schemas.openxmlformats.org/officeDocument/2006/relationships/hyperlink" Target="https://www.selsunblue.ca/activ-hydration-anti-dandruff-dry-scalp-shampoo.aspx" TargetMode="External"/><Relationship Id="rId14" Type="http://schemas.openxmlformats.org/officeDocument/2006/relationships/hyperlink" Target="https://www.triderma.com/all-products/psoriasis-control-shampoo.html" TargetMode="External"/><Relationship Id="rId22" Type="http://schemas.openxmlformats.org/officeDocument/2006/relationships/table" Target="../tables/table9.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6" Type="http://schemas.openxmlformats.org/officeDocument/2006/relationships/hyperlink" Target="https://www.neutrogena.ca/face/eye-treatment/neutrogena-hydro-boost-gel-cream-eye" TargetMode="External"/><Relationship Id="rId21" Type="http://schemas.openxmlformats.org/officeDocument/2006/relationships/hyperlink" Target="https://www.aveeno.com/products/cracked-skin-relief-cica-ointment" TargetMode="External"/><Relationship Id="rId42" Type="http://schemas.openxmlformats.org/officeDocument/2006/relationships/hyperlink" Target="https://www.aveeno.ca/products/skin-relief-moisturizing-lotion-diabetics-dry-skin" TargetMode="External"/><Relationship Id="rId47" Type="http://schemas.openxmlformats.org/officeDocument/2006/relationships/hyperlink" Target="https://www.aveeno.ca/products/positively-radiant-intensive-night-cream" TargetMode="External"/><Relationship Id="rId63" Type="http://schemas.openxmlformats.org/officeDocument/2006/relationships/hyperlink" Target="https://www.cetaphil.ca/en/products/moisturizers/daily-hydrating-lotion" TargetMode="External"/><Relationship Id="rId68" Type="http://schemas.openxmlformats.org/officeDocument/2006/relationships/hyperlink" Target="https://www.vaseline.com/ca/en/products/petroleum-jelly/vaseline-jelly-original.html" TargetMode="External"/><Relationship Id="rId16" Type="http://schemas.openxmlformats.org/officeDocument/2006/relationships/hyperlink" Target="https://www.goldbond.ca/en/products/eczema-relief-skin-proctectant-cream" TargetMode="External"/><Relationship Id="rId11" Type="http://schemas.openxmlformats.org/officeDocument/2006/relationships/hyperlink" Target="https://www.goldbond.ca/en/products/pain-relieving-foot-cream" TargetMode="External"/><Relationship Id="rId32" Type="http://schemas.openxmlformats.org/officeDocument/2006/relationships/hyperlink" Target="https://www.aveeno.ca/products/skin-relief-moisturizing-lotion" TargetMode="External"/><Relationship Id="rId37" Type="http://schemas.openxmlformats.org/officeDocument/2006/relationships/hyperlink" Target="https://www.aveeno.ca/products/daily-moisturizing-lotion" TargetMode="External"/><Relationship Id="rId53" Type="http://schemas.openxmlformats.org/officeDocument/2006/relationships/hyperlink" Target="https://odanlab.com/product/uremol-10/" TargetMode="External"/><Relationship Id="rId58" Type="http://schemas.openxmlformats.org/officeDocument/2006/relationships/hyperlink" Target="https://www.cerave.ca/our-products/moisturizers/pm-facial-moisturizing-lotion" TargetMode="External"/><Relationship Id="rId74" Type="http://schemas.openxmlformats.org/officeDocument/2006/relationships/hyperlink" Target="https://www.vaseline.com/ca/en/products/lotions-and-moisturizers/vaseline-lotion-edsr.html" TargetMode="External"/><Relationship Id="rId79" Type="http://schemas.openxmlformats.org/officeDocument/2006/relationships/hyperlink" Target="https://www.glysomed.com/products/" TargetMode="External"/><Relationship Id="rId5" Type="http://schemas.openxmlformats.org/officeDocument/2006/relationships/hyperlink" Target="https://www.polysporin.ca/products/cracked-skin-healing-ointment" TargetMode="External"/><Relationship Id="rId61" Type="http://schemas.openxmlformats.org/officeDocument/2006/relationships/hyperlink" Target="https://www.cetaphil.ca/en/products/moisturizers/moisturizing-cream" TargetMode="External"/><Relationship Id="rId82" Type="http://schemas.openxmlformats.org/officeDocument/2006/relationships/printerSettings" Target="../printerSettings/printerSettings25.bin"/><Relationship Id="rId19" Type="http://schemas.openxmlformats.org/officeDocument/2006/relationships/hyperlink" Target="https://www.goldbond.ca/en/products/moisturizing-skin-therapy-lotion-cream" TargetMode="External"/><Relationship Id="rId14" Type="http://schemas.openxmlformats.org/officeDocument/2006/relationships/hyperlink" Target="https://www.goldbond.ca/en/products/original-strength-body-lotion" TargetMode="External"/><Relationship Id="rId22" Type="http://schemas.openxmlformats.org/officeDocument/2006/relationships/hyperlink" Target="https://www.goldbond.ca/en/products/eczema-relief-skin-proctectant-cream" TargetMode="External"/><Relationship Id="rId27" Type="http://schemas.openxmlformats.org/officeDocument/2006/relationships/hyperlink" Target="https://www.neutrogena.ca/face/moisturizer-hydration-serum/neutrogena-naturals-multi-vitamin-nourishing-night-cream" TargetMode="External"/><Relationship Id="rId30" Type="http://schemas.openxmlformats.org/officeDocument/2006/relationships/hyperlink" Target="https://www.neutrogena.ca/face/moisturizer-hydration-serum/neutrogena-hydro-boost-gel-cream" TargetMode="External"/><Relationship Id="rId35" Type="http://schemas.openxmlformats.org/officeDocument/2006/relationships/hyperlink" Target="https://www.aveeno.ca/products/daily-moisturizing-honey-and-apricot-body-yogurt-lotion" TargetMode="External"/><Relationship Id="rId43" Type="http://schemas.openxmlformats.org/officeDocument/2006/relationships/hyperlink" Target="https://www.aveeno.ca/products/skin-relief-gentle-scent-coconut-lotion" TargetMode="External"/><Relationship Id="rId48" Type="http://schemas.openxmlformats.org/officeDocument/2006/relationships/hyperlink" Target="https://www.aveeno.ca/products/intense-relief-hand-cream" TargetMode="External"/><Relationship Id="rId56" Type="http://schemas.openxmlformats.org/officeDocument/2006/relationships/hyperlink" Target="https://www.cerave.ca/our-products/moisturizers/moisturizing-cream" TargetMode="External"/><Relationship Id="rId64" Type="http://schemas.openxmlformats.org/officeDocument/2006/relationships/hyperlink" Target="https://www.cetaphil.ca/en/products/moisturizers/hydrating-night-cream" TargetMode="External"/><Relationship Id="rId69" Type="http://schemas.openxmlformats.org/officeDocument/2006/relationships/hyperlink" Target="https://www.vaseline.com/ca/en/products/petroleum-jelly/vaseline-jelly-cocoa.html" TargetMode="External"/><Relationship Id="rId77" Type="http://schemas.openxmlformats.org/officeDocument/2006/relationships/hyperlink" Target="https://www.glysomed.com/products/" TargetMode="External"/><Relationship Id="rId8" Type="http://schemas.openxmlformats.org/officeDocument/2006/relationships/hyperlink" Target="https://www.goldbond.ca/en/products/eczema-relief-1-hydrocortisone-cream" TargetMode="External"/><Relationship Id="rId51" Type="http://schemas.openxmlformats.org/officeDocument/2006/relationships/hyperlink" Target="https://www.aveeno.ca/products/skin-relief-moisturizing-lotion-cooling-menthol" TargetMode="External"/><Relationship Id="rId72" Type="http://schemas.openxmlformats.org/officeDocument/2006/relationships/hyperlink" Target="https://www.vaseline.com/ca/en/products/lotions-and-moisturizers/vaseline-butter-cocoa.html" TargetMode="External"/><Relationship Id="rId80" Type="http://schemas.openxmlformats.org/officeDocument/2006/relationships/hyperlink" Target="https://www.glysomed.com/products/" TargetMode="External"/><Relationship Id="rId3" Type="http://schemas.openxmlformats.org/officeDocument/2006/relationships/hyperlink" Target="https://www.polysporin.ca/products/hydrocortisone-anti-itch-cream" TargetMode="External"/><Relationship Id="rId12" Type="http://schemas.openxmlformats.org/officeDocument/2006/relationships/hyperlink" Target="https://www.goldbond.ca/en/products/moisturizing-foot-cream" TargetMode="External"/><Relationship Id="rId17" Type="http://schemas.openxmlformats.org/officeDocument/2006/relationships/hyperlink" Target="https://www.goldbond.ca/en/products/healing-hand-cream" TargetMode="External"/><Relationship Id="rId25" Type="http://schemas.openxmlformats.org/officeDocument/2006/relationships/hyperlink" Target="https://www.neutrogena.ca/body/moisturizer/neutrogena-hydro-boost-body-gel-cream-fragrance-free" TargetMode="External"/><Relationship Id="rId33" Type="http://schemas.openxmlformats.org/officeDocument/2006/relationships/hyperlink" Target="https://www.aveeno.ca/products/intense-relief-moisture-repair-cream" TargetMode="External"/><Relationship Id="rId38" Type="http://schemas.openxmlformats.org/officeDocument/2006/relationships/hyperlink" Target="https://www.aveeno.ca/products/daily-moisturizing-lotion-sheer-hydration" TargetMode="External"/><Relationship Id="rId46" Type="http://schemas.openxmlformats.org/officeDocument/2006/relationships/hyperlink" Target="https://www.aveeno.ca/products/intense-relief-overnight-cream" TargetMode="External"/><Relationship Id="rId59" Type="http://schemas.openxmlformats.org/officeDocument/2006/relationships/hyperlink" Target="https://www.cetaphil.ca/en/products/moisturizers/moisturizing-lotion" TargetMode="External"/><Relationship Id="rId67" Type="http://schemas.openxmlformats.org/officeDocument/2006/relationships/hyperlink" Target="https://glaxalbase.ca/moisturizing-lotion/" TargetMode="External"/><Relationship Id="rId20" Type="http://schemas.openxmlformats.org/officeDocument/2006/relationships/hyperlink" Target="https://www.aveeno.com/products/cracked-skin-relief-cica-balm" TargetMode="External"/><Relationship Id="rId41" Type="http://schemas.openxmlformats.org/officeDocument/2006/relationships/hyperlink" Target="https://www.aveeno.ca/products/positively-radiant-body-lotion" TargetMode="External"/><Relationship Id="rId54" Type="http://schemas.openxmlformats.org/officeDocument/2006/relationships/hyperlink" Target="https://odanlab.com/product/uremol-10/" TargetMode="External"/><Relationship Id="rId62" Type="http://schemas.openxmlformats.org/officeDocument/2006/relationships/hyperlink" Target="https://www.cetaphil.ca/en/products/moisturizers/barrier-cream" TargetMode="External"/><Relationship Id="rId70" Type="http://schemas.openxmlformats.org/officeDocument/2006/relationships/hyperlink" Target="https://www.vaseline.com/ca/en/products/lotions-and-moisturizers/vaseline-lotion-dry.html" TargetMode="External"/><Relationship Id="rId75" Type="http://schemas.openxmlformats.org/officeDocument/2006/relationships/hyperlink" Target="https://www.vaseline.com/ca/en/products/lotions-and-moisturizers/vaseline-lotion-overnight.html" TargetMode="External"/><Relationship Id="rId83" Type="http://schemas.openxmlformats.org/officeDocument/2006/relationships/table" Target="../tables/table10.xml"/><Relationship Id="rId1" Type="http://schemas.openxmlformats.org/officeDocument/2006/relationships/hyperlink" Target="https://www.polysporin.ca/products/eczema-essentials-flare-up-cream" TargetMode="External"/><Relationship Id="rId6" Type="http://schemas.openxmlformats.org/officeDocument/2006/relationships/hyperlink" Target="https://www.polysporin.ca/products/cracked-skin-healing-balm" TargetMode="External"/><Relationship Id="rId15" Type="http://schemas.openxmlformats.org/officeDocument/2006/relationships/hyperlink" Target="https://www.goldbond.ca/en/products/diabetics-dry-skin-relief-foot-cream" TargetMode="External"/><Relationship Id="rId23" Type="http://schemas.openxmlformats.org/officeDocument/2006/relationships/hyperlink" Target="https://www.goldbond.ca/en/products/moisturizing-skin-therapy-lotion-cream" TargetMode="External"/><Relationship Id="rId28" Type="http://schemas.openxmlformats.org/officeDocument/2006/relationships/hyperlink" Target="https://www.neutrogena.ca/face/moisturizer-hydration-serum/neutrogena-deep-moisture-night-cream" TargetMode="External"/><Relationship Id="rId36" Type="http://schemas.openxmlformats.org/officeDocument/2006/relationships/hyperlink" Target="https://www.aveeno.ca/products/daily-moisturizing-vanilla-body-yogurt-lotion" TargetMode="External"/><Relationship Id="rId49" Type="http://schemas.openxmlformats.org/officeDocument/2006/relationships/hyperlink" Target="https://www.aveeno.ca/products/skin-relief-moisturizing-cream" TargetMode="External"/><Relationship Id="rId57" Type="http://schemas.openxmlformats.org/officeDocument/2006/relationships/hyperlink" Target="https://www.cerave.ca/our-products/moisturizers/moisturizing-lotion" TargetMode="External"/><Relationship Id="rId10" Type="http://schemas.openxmlformats.org/officeDocument/2006/relationships/hyperlink" Target="https://www.goldbond.ca/en/products/anti-itch-lotion" TargetMode="External"/><Relationship Id="rId31" Type="http://schemas.openxmlformats.org/officeDocument/2006/relationships/hyperlink" Target="https://www.aveeno.ca/products/stress-relief-moisturizing-lotion" TargetMode="External"/><Relationship Id="rId44" Type="http://schemas.openxmlformats.org/officeDocument/2006/relationships/hyperlink" Target="https://www.aveeno.ca/products/skin-relief-gentle-scent-chamomile-lotion" TargetMode="External"/><Relationship Id="rId52" Type="http://schemas.openxmlformats.org/officeDocument/2006/relationships/hyperlink" Target="https://www.aveeno.ca/products/eczema-care-moisturizing-cream" TargetMode="External"/><Relationship Id="rId60" Type="http://schemas.openxmlformats.org/officeDocument/2006/relationships/hyperlink" Target="https://www.cetaphil.ca/en/products/moisturizers/dailyadvance-lotion" TargetMode="External"/><Relationship Id="rId65" Type="http://schemas.openxmlformats.org/officeDocument/2006/relationships/hyperlink" Target="https://www.cetaphil.ca/en/products/moisturizers/cetaphil-pro-eczema-soothing-moisturizer" TargetMode="External"/><Relationship Id="rId73" Type="http://schemas.openxmlformats.org/officeDocument/2006/relationships/hyperlink" Target="https://www.vaseline.com/ca/en/products/lotions-and-moisturizers/vaseline-lotion-aloe.html" TargetMode="External"/><Relationship Id="rId78" Type="http://schemas.openxmlformats.org/officeDocument/2006/relationships/hyperlink" Target="https://www.glysomed.com/products/" TargetMode="External"/><Relationship Id="rId81" Type="http://schemas.openxmlformats.org/officeDocument/2006/relationships/hyperlink" Target="https://www.glysomed.com/products/" TargetMode="External"/><Relationship Id="rId4" Type="http://schemas.openxmlformats.org/officeDocument/2006/relationships/hyperlink" Target="https://www.polysporin.ca/products/itch-relief-lotion" TargetMode="External"/><Relationship Id="rId9" Type="http://schemas.openxmlformats.org/officeDocument/2006/relationships/hyperlink" Target="https://www.goldbond.ca/en/products/anti-itch-cream" TargetMode="External"/><Relationship Id="rId13" Type="http://schemas.openxmlformats.org/officeDocument/2006/relationships/hyperlink" Target="https://www.goldbond.ca/en/products/extra-strength-body-lotion" TargetMode="External"/><Relationship Id="rId18" Type="http://schemas.openxmlformats.org/officeDocument/2006/relationships/hyperlink" Target="https://www.goldbond.ca/en/products/restoring-skin-therapy-lotion" TargetMode="External"/><Relationship Id="rId39" Type="http://schemas.openxmlformats.org/officeDocument/2006/relationships/hyperlink" Target="https://www.aveeno.ca/products/eczema-care-hand-cream" TargetMode="External"/><Relationship Id="rId34" Type="http://schemas.openxmlformats.org/officeDocument/2006/relationships/hyperlink" Target="https://www.aveeno.ca/products/anti-itch-lotion" TargetMode="External"/><Relationship Id="rId50" Type="http://schemas.openxmlformats.org/officeDocument/2006/relationships/hyperlink" Target="https://www.aveeno.ca/products/daily-moisturizing-hand-cream" TargetMode="External"/><Relationship Id="rId55" Type="http://schemas.openxmlformats.org/officeDocument/2006/relationships/hyperlink" Target="https://odanlab.com/product/uremol-20/" TargetMode="External"/><Relationship Id="rId76" Type="http://schemas.openxmlformats.org/officeDocument/2006/relationships/hyperlink" Target="https://www.glysomed.com/products/" TargetMode="External"/><Relationship Id="rId7" Type="http://schemas.openxmlformats.org/officeDocument/2006/relationships/hyperlink" Target="https://www.polysporin.ca/products/visible-lip-health-overnight-renewal" TargetMode="External"/><Relationship Id="rId71" Type="http://schemas.openxmlformats.org/officeDocument/2006/relationships/hyperlink" Target="https://www.vaseline.com/ca/en/products/lotions-and-moisturizers/vaseline-lotion-cocoa.html" TargetMode="External"/><Relationship Id="rId2" Type="http://schemas.openxmlformats.org/officeDocument/2006/relationships/hyperlink" Target="https://www.polysporin.ca/products/eczema-essentials-hydrocortisone-anti-itch-cream" TargetMode="External"/><Relationship Id="rId29" Type="http://schemas.openxmlformats.org/officeDocument/2006/relationships/hyperlink" Target="https://www.neutrogena.ca/face/moisturizer-hydration-serum/neutrogena-hydro-boost-gel-cream-extra-dry-skin" TargetMode="External"/><Relationship Id="rId24" Type="http://schemas.openxmlformats.org/officeDocument/2006/relationships/hyperlink" Target="https://www.neutrogena.ca/body/moisturizer/neutrogena-hydro-boost-body-gel-cream" TargetMode="External"/><Relationship Id="rId40" Type="http://schemas.openxmlformats.org/officeDocument/2006/relationships/hyperlink" Target="https://www.aveeno.ca/products/eczema-care-itch-relief-balm" TargetMode="External"/><Relationship Id="rId45" Type="http://schemas.openxmlformats.org/officeDocument/2006/relationships/hyperlink" Target="https://www.aveeno.ca/products/skin-relief-hand-cream" TargetMode="External"/><Relationship Id="rId66" Type="http://schemas.openxmlformats.org/officeDocument/2006/relationships/hyperlink" Target="https://glaxalbase.ca/moisturizing-cream/" TargetMode="Externa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8" Type="http://schemas.openxmlformats.org/officeDocument/2006/relationships/hyperlink" Target="https://www.compoundw.com/wart-removal-products/salicylic-acid-wart-removal/compound-w-one-step-invisible-strips" TargetMode="External"/><Relationship Id="rId13" Type="http://schemas.openxmlformats.org/officeDocument/2006/relationships/hyperlink" Target="https://www.drscholls.ca/en/products/warts/dual-action-freeze-away-wart-remover/" TargetMode="External"/><Relationship Id="rId3" Type="http://schemas.openxmlformats.org/officeDocument/2006/relationships/hyperlink" Target="https://www.compoundw.com/wart-removal-products/cryogenic-wart-removal/compound-w-complete-wart-kit" TargetMode="External"/><Relationship Id="rId7" Type="http://schemas.openxmlformats.org/officeDocument/2006/relationships/hyperlink" Target="https://www.compoundw.com/wart-removal-products/salicylic-acid-wart-removal/compound-w-one-step-strip-kids" TargetMode="External"/><Relationship Id="rId12" Type="http://schemas.openxmlformats.org/officeDocument/2006/relationships/hyperlink" Target="https://www.compoundw.com/wart-removal-products/salicylic-acid-wart-removal/compound-w-fast-acting-wart-removal-liquid" TargetMode="External"/><Relationship Id="rId17" Type="http://schemas.openxmlformats.org/officeDocument/2006/relationships/table" Target="../tables/table11.xml"/><Relationship Id="rId2" Type="http://schemas.openxmlformats.org/officeDocument/2006/relationships/hyperlink" Target="https://www.compoundw.com/wart-removal-products/cryogenic-wart-removal/compound-w-freeze-off-wart-removal" TargetMode="External"/><Relationship Id="rId16" Type="http://schemas.openxmlformats.org/officeDocument/2006/relationships/printerSettings" Target="../printerSettings/printerSettings27.bin"/><Relationship Id="rId1" Type="http://schemas.openxmlformats.org/officeDocument/2006/relationships/hyperlink" Target="https://www.compoundw.com/wart-removal-products/nitrous-oxide-wart-removal/compound-w-nitrofreeze" TargetMode="External"/><Relationship Id="rId6" Type="http://schemas.openxmlformats.org/officeDocument/2006/relationships/hyperlink" Target="https://www.compoundw.com/wart-removal-products/cryogenic-wart-removal/compound-w-freeze-off-advanced-wart-remover" TargetMode="External"/><Relationship Id="rId11" Type="http://schemas.openxmlformats.org/officeDocument/2006/relationships/hyperlink" Target="https://www.compoundw.com/wart-removal-products/salicylic-acid-wart-removal/compound-w-fast-acting-wart-removal-gel" TargetMode="External"/><Relationship Id="rId5" Type="http://schemas.openxmlformats.org/officeDocument/2006/relationships/hyperlink" Target="https://www.compoundw.com/wart-removal-products/cryogenic-wart-removal/compound-w-freeze-off-plantar-wart-removal-kit" TargetMode="External"/><Relationship Id="rId15" Type="http://schemas.openxmlformats.org/officeDocument/2006/relationships/hyperlink" Target="https://www.drscholls.ca/en/products/warts/clear-away-wart-remover-fast-acting-liquid/" TargetMode="External"/><Relationship Id="rId10" Type="http://schemas.openxmlformats.org/officeDocument/2006/relationships/hyperlink" Target="https://www.compoundw.com/wart-removal-products/salicylic-acid-wart-removal/compound-w-one-step-pads" TargetMode="External"/><Relationship Id="rId4" Type="http://schemas.openxmlformats.org/officeDocument/2006/relationships/hyperlink" Target="https://www.compoundw.com/wart-removal-products/cryogenic-wart-removal/compound-w-2-in-1-treatment-kit" TargetMode="External"/><Relationship Id="rId9" Type="http://schemas.openxmlformats.org/officeDocument/2006/relationships/hyperlink" Target="https://www.compoundw.com/wart-removal-products/salicylic-acid-wart-removal/compound-w-one-step-pads-plantar-warts" TargetMode="External"/><Relationship Id="rId14" Type="http://schemas.openxmlformats.org/officeDocument/2006/relationships/hyperlink" Target="https://www.drscholls.ca/en/products/warts/clear-away-wart-remover/" TargetMode="Externa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8" Type="http://schemas.openxmlformats.org/officeDocument/2006/relationships/hyperlink" Target="https://micatin.ca/en/products.php" TargetMode="External"/><Relationship Id="rId13" Type="http://schemas.openxmlformats.org/officeDocument/2006/relationships/hyperlink" Target="https://www.polysporin.ca/products/antibiotic-original-ointment" TargetMode="External"/><Relationship Id="rId18" Type="http://schemas.openxmlformats.org/officeDocument/2006/relationships/hyperlink" Target="https://funginail.com/products/fungi-nail-toe-solution/" TargetMode="External"/><Relationship Id="rId3" Type="http://schemas.openxmlformats.org/officeDocument/2006/relationships/hyperlink" Target="https://www.tinactin.com/tinactin-products/athletes-foot-powder-spray/" TargetMode="External"/><Relationship Id="rId21" Type="http://schemas.openxmlformats.org/officeDocument/2006/relationships/printerSettings" Target="../printerSettings/printerSettings29.bin"/><Relationship Id="rId7" Type="http://schemas.openxmlformats.org/officeDocument/2006/relationships/hyperlink" Target="https://www.tinactin.com/tinactin-products/jock-itch-powder-spray/" TargetMode="External"/><Relationship Id="rId12" Type="http://schemas.openxmlformats.org/officeDocument/2006/relationships/hyperlink" Target="https://www.polysporin.ca/products/antibiotic-cream-for-kids" TargetMode="External"/><Relationship Id="rId17" Type="http://schemas.openxmlformats.org/officeDocument/2006/relationships/hyperlink" Target="https://funginail.com/products/fungi-nail-toe-pen/" TargetMode="External"/><Relationship Id="rId2" Type="http://schemas.openxmlformats.org/officeDocument/2006/relationships/hyperlink" Target="https://www.tinactin.com/tinactin-products/athletes-foot-liquid-spray/" TargetMode="External"/><Relationship Id="rId16" Type="http://schemas.openxmlformats.org/officeDocument/2006/relationships/hyperlink" Target="https://emtrix.ca/en" TargetMode="External"/><Relationship Id="rId20" Type="http://schemas.openxmlformats.org/officeDocument/2006/relationships/hyperlink" Target="https://bactine.com/" TargetMode="External"/><Relationship Id="rId1" Type="http://schemas.openxmlformats.org/officeDocument/2006/relationships/hyperlink" Target="https://www.tinactin.com/tinactin-products/athletes-foot-cream/" TargetMode="External"/><Relationship Id="rId6" Type="http://schemas.openxmlformats.org/officeDocument/2006/relationships/hyperlink" Target="https://www.tinactin.com/tinactin-products/jock-itch-cream/" TargetMode="External"/><Relationship Id="rId11" Type="http://schemas.openxmlformats.org/officeDocument/2006/relationships/hyperlink" Target="https://www.polysporin.ca/products/plus-pain-relief-cream" TargetMode="External"/><Relationship Id="rId5" Type="http://schemas.openxmlformats.org/officeDocument/2006/relationships/hyperlink" Target="https://www.tinactin.com/tinactin-products/athletes-foot-super-absorbent-powder/" TargetMode="External"/><Relationship Id="rId15" Type="http://schemas.openxmlformats.org/officeDocument/2006/relationships/hyperlink" Target="https://www.polysporin.ca/products/poly-to-go-antiseptic-pain-relief-spray" TargetMode="External"/><Relationship Id="rId10" Type="http://schemas.openxmlformats.org/officeDocument/2006/relationships/hyperlink" Target="https://www.polysporin.ca/products/triple-antibiotic-ointment" TargetMode="External"/><Relationship Id="rId19" Type="http://schemas.openxmlformats.org/officeDocument/2006/relationships/hyperlink" Target="https://funginail.com/products/fungi-nail-toe-ointment/" TargetMode="External"/><Relationship Id="rId4" Type="http://schemas.openxmlformats.org/officeDocument/2006/relationships/hyperlink" Target="https://www.tinactin.com/tinactin-products/athletes-foot-deodorant-powder-spray/" TargetMode="External"/><Relationship Id="rId9" Type="http://schemas.openxmlformats.org/officeDocument/2006/relationships/hyperlink" Target="https://www.polysporin.ca/products/complete-antibiotic-ointment" TargetMode="External"/><Relationship Id="rId14" Type="http://schemas.openxmlformats.org/officeDocument/2006/relationships/hyperlink" Target="https://www.polysporin.ca/products/antibiotic-cream" TargetMode="External"/><Relationship Id="rId22" Type="http://schemas.openxmlformats.org/officeDocument/2006/relationships/table" Target="../tables/table12.xml"/></Relationships>
</file>

<file path=xl/worksheets/_rels/sheet3.xml.rels><?xml version="1.0" encoding="UTF-8" standalone="yes"?>
<Relationships xmlns="http://schemas.openxmlformats.org/package/2006/relationships"><Relationship Id="rId8" Type="http://schemas.openxmlformats.org/officeDocument/2006/relationships/hyperlink" Target="https://oralscience.com/en/products/gum_pastilles/" TargetMode="External"/><Relationship Id="rId3" Type="http://schemas.openxmlformats.org/officeDocument/2006/relationships/hyperlink" Target="https://www.biotene.ca/dry-mouth-products/moisturizing-gel/" TargetMode="External"/><Relationship Id="rId7" Type="http://schemas.openxmlformats.org/officeDocument/2006/relationships/hyperlink" Target="https://oralscience.com/en/products/gum_pastilles/" TargetMode="External"/><Relationship Id="rId12" Type="http://schemas.openxmlformats.org/officeDocument/2006/relationships/table" Target="../tables/table1.xml"/><Relationship Id="rId2" Type="http://schemas.openxmlformats.org/officeDocument/2006/relationships/hyperlink" Target="https://www.biotene.ca/dry-mouth-products/moisturizing-mouth-spray/" TargetMode="External"/><Relationship Id="rId1" Type="http://schemas.openxmlformats.org/officeDocument/2006/relationships/hyperlink" Target="https://www.biotene.ca/dry-mouth-products/mouthwash/" TargetMode="External"/><Relationship Id="rId6" Type="http://schemas.openxmlformats.org/officeDocument/2006/relationships/hyperlink" Target="https://oralscience.com/en/products/xylimelts/" TargetMode="External"/><Relationship Id="rId11" Type="http://schemas.openxmlformats.org/officeDocument/2006/relationships/printerSettings" Target="../printerSettings/printerSettings3.bin"/><Relationship Id="rId5" Type="http://schemas.openxmlformats.org/officeDocument/2006/relationships/hyperlink" Target="https://www.parnellpharm.com/mouth-kote-oral-moisturizer" TargetMode="External"/><Relationship Id="rId10" Type="http://schemas.openxmlformats.org/officeDocument/2006/relationships/hyperlink" Target="https://www.dentek.com/oral-pain-relief-and-dental-repair-products/oramoist-dry-mouth-treatment" TargetMode="External"/><Relationship Id="rId4" Type="http://schemas.openxmlformats.org/officeDocument/2006/relationships/hyperlink" Target="https://pendopharm.com/product/moi-stir/" TargetMode="External"/><Relationship Id="rId9" Type="http://schemas.openxmlformats.org/officeDocument/2006/relationships/hyperlink" Target="https://www.biotene.com/dry-mouth-products/lozenges/" TargetMode="Externa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3" Type="http://schemas.openxmlformats.org/officeDocument/2006/relationships/hyperlink" Target="https://www.clearasil.us/collections/all-products/products/clearasil-ultra-5in1-exfoliating-wash-6-78-oz" TargetMode="External"/><Relationship Id="rId18" Type="http://schemas.openxmlformats.org/officeDocument/2006/relationships/hyperlink" Target="https://www.clearasil.us/collections/all-products/products/clearasil-stubborn-acne-control-5in1-weekly-face-scrub-5-oz" TargetMode="External"/><Relationship Id="rId26" Type="http://schemas.openxmlformats.org/officeDocument/2006/relationships/hyperlink" Target="https://www.cleanandclear.ca/products/cleansers/acne-triple-clear-bubble-foam-cleanser" TargetMode="External"/><Relationship Id="rId39" Type="http://schemas.openxmlformats.org/officeDocument/2006/relationships/printerSettings" Target="../printerSettings/printerSettings31.bin"/><Relationship Id="rId21" Type="http://schemas.openxmlformats.org/officeDocument/2006/relationships/hyperlink" Target="https://www.clearasil.us/collections/all-products/products/clearasil-daily-clear-vanishing-acne-treatment-cream-1-ounce" TargetMode="External"/><Relationship Id="rId34" Type="http://schemas.openxmlformats.org/officeDocument/2006/relationships/hyperlink" Target="https://www.cleanandclear.ca/products/astringents/clean-clear-blackhead-clearing-astringent" TargetMode="External"/><Relationship Id="rId7" Type="http://schemas.openxmlformats.org/officeDocument/2006/relationships/hyperlink" Target="http://oxyskincare.com/products/rapid-spot-treatment/" TargetMode="External"/><Relationship Id="rId12" Type="http://schemas.openxmlformats.org/officeDocument/2006/relationships/hyperlink" Target="https://www.clearasil.us/collections/all-products/products/clearasil-ultra-rapid-action-vanishing-acne-treatment-4-hour-relief-gel-1-ounce" TargetMode="External"/><Relationship Id="rId17" Type="http://schemas.openxmlformats.org/officeDocument/2006/relationships/hyperlink" Target="https://www.clearasil.us/collections/all-products/products/clearasil-ultra-daily-face-wash-6-78-oz" TargetMode="External"/><Relationship Id="rId25" Type="http://schemas.openxmlformats.org/officeDocument/2006/relationships/hyperlink" Target="https://www.cleanandclear.ca/products/treatments/clean-clear-acne-triple-clear-clay-mask" TargetMode="External"/><Relationship Id="rId33" Type="http://schemas.openxmlformats.org/officeDocument/2006/relationships/hyperlink" Target="https://www.cleanandclear.ca/products/acne-treatments/advantage-acne-spot-treatment" TargetMode="External"/><Relationship Id="rId38" Type="http://schemas.openxmlformats.org/officeDocument/2006/relationships/hyperlink" Target="https://www.cleanandclear.ca/products/facial-scrubs/blackhead-eraser-scrub" TargetMode="External"/><Relationship Id="rId2" Type="http://schemas.openxmlformats.org/officeDocument/2006/relationships/hyperlink" Target="http://oxyskincare.com/products/oxy-total-care-vitamin-c-serum/" TargetMode="External"/><Relationship Id="rId16" Type="http://schemas.openxmlformats.org/officeDocument/2006/relationships/hyperlink" Target="https://www.clearasil.us/collections/all-products/products/clearasil-ultra-rapid-action-acne-treatment-pore-cleansing-pads-90-count" TargetMode="External"/><Relationship Id="rId20" Type="http://schemas.openxmlformats.org/officeDocument/2006/relationships/hyperlink" Target="https://www.clearasil.us/collections/all-products/products/clearasil-stubborn-acne-control-5in1-concealing-treatment-cream-1-oz-benzoyl-peroxide-acne-medication" TargetMode="External"/><Relationship Id="rId29" Type="http://schemas.openxmlformats.org/officeDocument/2006/relationships/hyperlink" Target="https://www.cleanandclear.ca/products/treatments/clean-clear-persa-gel-5" TargetMode="External"/><Relationship Id="rId1" Type="http://schemas.openxmlformats.org/officeDocument/2006/relationships/hyperlink" Target="http://oxyskincare.com/products/oxy-total-care-creamy-facial-cleanser/" TargetMode="External"/><Relationship Id="rId6" Type="http://schemas.openxmlformats.org/officeDocument/2006/relationships/hyperlink" Target="http://oxyskincare.com/products/sensitive-face-wash/" TargetMode="External"/><Relationship Id="rId11" Type="http://schemas.openxmlformats.org/officeDocument/2006/relationships/hyperlink" Target="https://www.clearasil.us/collections/all-products/products/clearasil-ultra-rapid-action-vanishing-acne-treatment-cream-1-ounce" TargetMode="External"/><Relationship Id="rId24" Type="http://schemas.openxmlformats.org/officeDocument/2006/relationships/hyperlink" Target="https://www.clearasil.us/collections/all-products/products/clearasil-gentle-prevention-daily-clean-pads-90-cnt-salicylic-acid-acne-medication" TargetMode="External"/><Relationship Id="rId32" Type="http://schemas.openxmlformats.org/officeDocument/2006/relationships/hyperlink" Target="https://www.cleanandclear.ca/products/facial-cleansers/advantage-3-in-1-foaming-acne-wash" TargetMode="External"/><Relationship Id="rId37" Type="http://schemas.openxmlformats.org/officeDocument/2006/relationships/hyperlink" Target="https://www.cleanandclear.ca/products/astringents-toners/essentials-deep-cleaning-toner-sensitive-skin" TargetMode="External"/><Relationship Id="rId40" Type="http://schemas.openxmlformats.org/officeDocument/2006/relationships/table" Target="../tables/table13.xml"/><Relationship Id="rId5" Type="http://schemas.openxmlformats.org/officeDocument/2006/relationships/hyperlink" Target="http://oxyskincare.com/products/3-in-1-acne-pads/" TargetMode="External"/><Relationship Id="rId15" Type="http://schemas.openxmlformats.org/officeDocument/2006/relationships/hyperlink" Target="https://www.clearasil.us/collections/all-products/products/clearasil-ultra-rapid-action-scrub-5-oz" TargetMode="External"/><Relationship Id="rId23" Type="http://schemas.openxmlformats.org/officeDocument/2006/relationships/hyperlink" Target="https://www.clearasil.us/collections/all-products/products/clearasil-gentle-prevention-daily-clear-acne-face-wash-hydra-blast-oil-free-face-wash-6-5-ounce" TargetMode="External"/><Relationship Id="rId28" Type="http://schemas.openxmlformats.org/officeDocument/2006/relationships/hyperlink" Target="https://www.cleanandclear.ca/products/cleansers/acne-triple-clear-gel-cleanser" TargetMode="External"/><Relationship Id="rId36" Type="http://schemas.openxmlformats.org/officeDocument/2006/relationships/hyperlink" Target="https://www.cleanandclear.ca/products/astringents-toners/essentials-deep-cleaning-astringent" TargetMode="External"/><Relationship Id="rId10" Type="http://schemas.openxmlformats.org/officeDocument/2006/relationships/hyperlink" Target="http://oxyskincare.com/products/overnight-patches/" TargetMode="External"/><Relationship Id="rId19" Type="http://schemas.openxmlformats.org/officeDocument/2006/relationships/hyperlink" Target="https://www.clearasil.us/collections/all-products/products/clearasil-ultra-rapid-action-facial-treatment-moisturizing-lotion-4-ounces" TargetMode="External"/><Relationship Id="rId31" Type="http://schemas.openxmlformats.org/officeDocument/2006/relationships/hyperlink" Target="https://www.cleanandclear.ca/products/moisturizers/advantage-acne-control-moisturizer" TargetMode="External"/><Relationship Id="rId4" Type="http://schemas.openxmlformats.org/officeDocument/2006/relationships/hyperlink" Target="http://oxyskincare.com/products/acne-cleanser/" TargetMode="External"/><Relationship Id="rId9" Type="http://schemas.openxmlformats.org/officeDocument/2006/relationships/hyperlink" Target="http://oxyskincare.com/products/deep-pore-cleansing-pads/" TargetMode="External"/><Relationship Id="rId14" Type="http://schemas.openxmlformats.org/officeDocument/2006/relationships/hyperlink" Target="https://www.clearasil.us/collections/all-products/products/clearasil-stubborn-acne-control-ultra-5-in-1-acne-face-wash-pads-90-count" TargetMode="External"/><Relationship Id="rId22" Type="http://schemas.openxmlformats.org/officeDocument/2006/relationships/hyperlink" Target="https://www.clearasil.us/collections/all-products/products/clearasil-stubborn-acne-control-one-minute-mask-6-78-oz" TargetMode="External"/><Relationship Id="rId27" Type="http://schemas.openxmlformats.org/officeDocument/2006/relationships/hyperlink" Target="https://www.cleanandclear.ca/products/scrubs/acne-triple-clear-exfoliating-scrub" TargetMode="External"/><Relationship Id="rId30" Type="http://schemas.openxmlformats.org/officeDocument/2006/relationships/hyperlink" Target="https://www.cleanandclear.ca/products/facial-cleansers/continuous-control-acne-cleanser" TargetMode="External"/><Relationship Id="rId35" Type="http://schemas.openxmlformats.org/officeDocument/2006/relationships/hyperlink" Target="https://www.cleanandclear.ca/products/moisturizers/essentials-dual-action-moisturizer" TargetMode="External"/><Relationship Id="rId8" Type="http://schemas.openxmlformats.org/officeDocument/2006/relationships/hyperlink" Target="http://oxyskincare.com/products/on-the-go-acne-stick/" TargetMode="External"/><Relationship Id="rId3" Type="http://schemas.openxmlformats.org/officeDocument/2006/relationships/hyperlink" Target="http://oxyskincare.com/products/oxy-total-care-clarifying-moisturizer/" TargetMode="Externa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8" Type="http://schemas.openxmlformats.org/officeDocument/2006/relationships/printerSettings" Target="../printerSettings/printerSettings33.bin"/><Relationship Id="rId3" Type="http://schemas.openxmlformats.org/officeDocument/2006/relationships/hyperlink" Target="https://auralgan.ca/" TargetMode="External"/><Relationship Id="rId7" Type="http://schemas.openxmlformats.org/officeDocument/2006/relationships/hyperlink" Target="https://www.mountainside-medical.com/products/auro-dri-ear-water-drying-aid-1-oz" TargetMode="External"/><Relationship Id="rId2" Type="http://schemas.openxmlformats.org/officeDocument/2006/relationships/hyperlink" Target="https://www.polysporin.ca/products/antibiotic-eye-drops" TargetMode="External"/><Relationship Id="rId1" Type="http://schemas.openxmlformats.org/officeDocument/2006/relationships/hyperlink" Target="https://www.polysporin.ca/products/pain-relief-ear-drops" TargetMode="External"/><Relationship Id="rId6" Type="http://schemas.openxmlformats.org/officeDocument/2006/relationships/hyperlink" Target="https://www.prestigebrands.com/products/eye-ear-nose-throat/murine-ear-wax-removal/" TargetMode="External"/><Relationship Id="rId5" Type="http://schemas.openxmlformats.org/officeDocument/2006/relationships/hyperlink" Target="https://www.paladin-labs.com/our_products/Cerumol_Insert_En.pdf" TargetMode="External"/><Relationship Id="rId4" Type="http://schemas.openxmlformats.org/officeDocument/2006/relationships/hyperlink" Target="https://www.sandoz.ca/en/optimyxinr-ear-drops-antibiotic-10-ml" TargetMode="External"/><Relationship Id="rId9" Type="http://schemas.openxmlformats.org/officeDocument/2006/relationships/table" Target="../tables/table14.xml"/></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6" Type="http://schemas.openxmlformats.org/officeDocument/2006/relationships/hyperlink" Target="https://www.coppertone.ca/en/products/family/lotion/baby/pure-simple-baby-mineral-lotion/index.html" TargetMode="External"/><Relationship Id="rId21" Type="http://schemas.openxmlformats.org/officeDocument/2006/relationships/hyperlink" Target="https://www.coppertone.ca/en/products/skin-health/lotion/sensitive-skin-bodylotion/index.html" TargetMode="External"/><Relationship Id="rId42" Type="http://schemas.openxmlformats.org/officeDocument/2006/relationships/hyperlink" Target="http://www.hawaiiantropic.ca/sun-care-products/hawaiian-tropic-sunscreen-oil-pump-spray" TargetMode="External"/><Relationship Id="rId47" Type="http://schemas.openxmlformats.org/officeDocument/2006/relationships/hyperlink" Target="https://www.aveeno.ca/products/protect-hydrate-sunscreen-lotion-spf-45" TargetMode="External"/><Relationship Id="rId63" Type="http://schemas.openxmlformats.org/officeDocument/2006/relationships/hyperlink" Target="http://www.bananaboat.ca/products/sport-sunscreen-performance-sunscreen-spray" TargetMode="External"/><Relationship Id="rId68" Type="http://schemas.openxmlformats.org/officeDocument/2006/relationships/hyperlink" Target="http://www.bananaboat.ca/products/general-protection-sunscreen-dry-balance-sunscreen-spray" TargetMode="External"/><Relationship Id="rId84" Type="http://schemas.openxmlformats.org/officeDocument/2006/relationships/table" Target="../tables/table15.xml"/><Relationship Id="rId16" Type="http://schemas.openxmlformats.org/officeDocument/2006/relationships/hyperlink" Target="https://www.coppertone.ca/en/products/sport/spray/sport/index.html" TargetMode="External"/><Relationship Id="rId11" Type="http://schemas.openxmlformats.org/officeDocument/2006/relationships/hyperlink" Target="https://www.neutrogena.ca/sun/minerals/neutrogena-sheer-zinctm-face" TargetMode="External"/><Relationship Id="rId32" Type="http://schemas.openxmlformats.org/officeDocument/2006/relationships/hyperlink" Target="https://www.coppertone.ca/en/products/family/stick/baby/waterbabies-sunscreen-stick/index.html" TargetMode="External"/><Relationship Id="rId37" Type="http://schemas.openxmlformats.org/officeDocument/2006/relationships/hyperlink" Target="http://www.hawaiiantropic.ca/sun-care-products/hawaiian-tropic-silk-hydration-weightless-sunscreen" TargetMode="External"/><Relationship Id="rId53" Type="http://schemas.openxmlformats.org/officeDocument/2006/relationships/hyperlink" Target="http://www.bananaboat.ca/products/baby-sunscreen-lotion" TargetMode="External"/><Relationship Id="rId58" Type="http://schemas.openxmlformats.org/officeDocument/2006/relationships/hyperlink" Target="http://www.bananaboat.ca/products/kids-and-baby-sunscreen-tear-free-spray-sunscreen" TargetMode="External"/><Relationship Id="rId74" Type="http://schemas.openxmlformats.org/officeDocument/2006/relationships/hyperlink" Target="https://www.garnier.ca/en-ca/about-our-brands/sun-care/ombrelle-complete/garnier-ombrelle-complete-continuous-spray-spf-30-142-g" TargetMode="External"/><Relationship Id="rId79" Type="http://schemas.openxmlformats.org/officeDocument/2006/relationships/hyperlink" Target="https://www.garnier.ca/en-ca/about-our-brands/sun-care/ombrelle-complete-sensitive-advantage/garnier-ombrelle-complete-sensitive-advanced-body-and-face-lotion-spf-60-200-ml" TargetMode="External"/><Relationship Id="rId5" Type="http://schemas.openxmlformats.org/officeDocument/2006/relationships/hyperlink" Target="https://www.neutrogena.ca/sun/body-protection/neutrogena-hydro-boost-water-gel-sunscreen?upcean=062600233929" TargetMode="External"/><Relationship Id="rId61" Type="http://schemas.openxmlformats.org/officeDocument/2006/relationships/hyperlink" Target="http://www.bananaboat.ca/products/simply-protect-sport-sunscreen-spray" TargetMode="External"/><Relationship Id="rId82" Type="http://schemas.openxmlformats.org/officeDocument/2006/relationships/hyperlink" Target="https://www.garnier.ca/en-ca/about-our-brands/sun-care/ombrelle-face/garnier-ombrelle-face-antishine-cream-spf-60-90-ml" TargetMode="External"/><Relationship Id="rId19" Type="http://schemas.openxmlformats.org/officeDocument/2006/relationships/hyperlink" Target="https://www.coppertone.ca/en/products/skin-health/lotion/bodylotion/index.html" TargetMode="External"/><Relationship Id="rId14" Type="http://schemas.openxmlformats.org/officeDocument/2006/relationships/hyperlink" Target="https://www.neutrogena.ca/sun/kids-protection/neutrogena-wet-skin-sunscreen-spray-kids" TargetMode="External"/><Relationship Id="rId22" Type="http://schemas.openxmlformats.org/officeDocument/2006/relationships/hyperlink" Target="https://www.coppertone.ca/en/products/skin-health/spray/spray/index.html" TargetMode="External"/><Relationship Id="rId27" Type="http://schemas.openxmlformats.org/officeDocument/2006/relationships/hyperlink" Target="https://www.coppertone.ca/en/products/family/lotion/kids/coppertone-kids-sunscreen-lotion/index.html" TargetMode="External"/><Relationship Id="rId30" Type="http://schemas.openxmlformats.org/officeDocument/2006/relationships/hyperlink" Target="https://www.coppertone.ca/en/products/family/spray/kids/kids-sunscreen-continuous-spray/index.html" TargetMode="External"/><Relationship Id="rId35" Type="http://schemas.openxmlformats.org/officeDocument/2006/relationships/hyperlink" Target="http://www.hawaiiantropic.ca/sun-care-products/duo-defence-refresh-sunscreen-mist" TargetMode="External"/><Relationship Id="rId43" Type="http://schemas.openxmlformats.org/officeDocument/2006/relationships/hyperlink" Target="http://www.hawaiiantropic.ca/sun-care-products/hawaiian-tropic-tanning-lotion-sunscreen-and-redirect" TargetMode="External"/><Relationship Id="rId48" Type="http://schemas.openxmlformats.org/officeDocument/2006/relationships/hyperlink" Target="https://www.aveeno.ca/products/protect-hydrate-lotion-sunscreen-spf-60" TargetMode="External"/><Relationship Id="rId56" Type="http://schemas.openxmlformats.org/officeDocument/2006/relationships/hyperlink" Target="http://www.bananaboat.ca/products/kids-and-baby-sunscreen-kids-sunscreen" TargetMode="External"/><Relationship Id="rId64" Type="http://schemas.openxmlformats.org/officeDocument/2006/relationships/hyperlink" Target="http://www.bananaboat.ca/products/sport-sunscreen-coolzone-spray-sunscreen" TargetMode="External"/><Relationship Id="rId69" Type="http://schemas.openxmlformats.org/officeDocument/2006/relationships/hyperlink" Target="http://www.bananaboat.ca/products/general-protection-sunscreen-suncomfort-spray-sunscreen" TargetMode="External"/><Relationship Id="rId77" Type="http://schemas.openxmlformats.org/officeDocument/2006/relationships/hyperlink" Target="https://www.garnier.ca/en-ca/about-our-brands/sun-care/ombrelle-sport/garnier-ombrelle-sport-endurance-spf-30-50-ml" TargetMode="External"/><Relationship Id="rId8" Type="http://schemas.openxmlformats.org/officeDocument/2006/relationships/hyperlink" Target="https://www.neutrogena.ca/sun/body-protection/neutrogena-ultra-sheer-body-mist-sunscreens?upcean=062600235732" TargetMode="External"/><Relationship Id="rId51" Type="http://schemas.openxmlformats.org/officeDocument/2006/relationships/hyperlink" Target="https://www.aveeno.ca/products/baby-sensitive-skin-face-sunscreen-stick-spf-50" TargetMode="External"/><Relationship Id="rId72" Type="http://schemas.openxmlformats.org/officeDocument/2006/relationships/hyperlink" Target="https://www.garnier.ca/en-ca/about-our-brands/sun-care/ombrelle-complete-sensitive-advantage/garnier-ombrelle-complete-sensitive-advanced-body-and-face-lotion-duo-spf-60-200-ml" TargetMode="External"/><Relationship Id="rId80" Type="http://schemas.openxmlformats.org/officeDocument/2006/relationships/hyperlink" Target="https://www.garnier.ca/en-ca/about-our-brands/sun-care/ombrelle-kids/garnier-ombrelle-kids-wet-n-protect-cream-spf-45-90-ml" TargetMode="External"/><Relationship Id="rId3" Type="http://schemas.openxmlformats.org/officeDocument/2006/relationships/hyperlink" Target="https://www.neutrogena.ca/sun/face-protection/neutrogena-ultra-sheer-face-body-stick-sunscreen-spf-50" TargetMode="External"/><Relationship Id="rId12" Type="http://schemas.openxmlformats.org/officeDocument/2006/relationships/hyperlink" Target="https://www.neutrogena.ca/sun/sport-protection/neutrogena-cooldry-sport-sunscreen-lotion" TargetMode="External"/><Relationship Id="rId17" Type="http://schemas.openxmlformats.org/officeDocument/2006/relationships/hyperlink" Target="https://www.coppertone.ca/en/products/sport/lotion/lotion/index.html" TargetMode="External"/><Relationship Id="rId25" Type="http://schemas.openxmlformats.org/officeDocument/2006/relationships/hyperlink" Target="https://www.coppertone.ca/en/products/family/lotion/baby/waterbabies-sunscreen-lotion/index.html" TargetMode="External"/><Relationship Id="rId33" Type="http://schemas.openxmlformats.org/officeDocument/2006/relationships/hyperlink" Target="http://www.hawaiiantropic.ca/sun-care-products/hawaiian-tropic-island-sport-lotion-sunscreen" TargetMode="External"/><Relationship Id="rId38" Type="http://schemas.openxmlformats.org/officeDocument/2006/relationships/hyperlink" Target="http://www.hawaiiantropic.ca/sun-care-products/hawaiian-tropic-silk-hydration-weightless-face-sunscreen" TargetMode="External"/><Relationship Id="rId46" Type="http://schemas.openxmlformats.org/officeDocument/2006/relationships/hyperlink" Target="https://www.aveeno.ca/products/protect-hydrate-lotion-sunscreen-spf-30" TargetMode="External"/><Relationship Id="rId59" Type="http://schemas.openxmlformats.org/officeDocument/2006/relationships/hyperlink" Target="http://www.bananaboat.ca/products/sport-sunscreen-sport-performance-sunscreen-stick" TargetMode="External"/><Relationship Id="rId67" Type="http://schemas.openxmlformats.org/officeDocument/2006/relationships/hyperlink" Target="http://www.bananaboat.ca/products/general-protection-sunscreen-dry-balance-sunscreen-lotion" TargetMode="External"/><Relationship Id="rId20" Type="http://schemas.openxmlformats.org/officeDocument/2006/relationships/hyperlink" Target="https://www.coppertone.ca/en/products/skin-health/lotion/sensitive-facelotion/index.html" TargetMode="External"/><Relationship Id="rId41" Type="http://schemas.openxmlformats.org/officeDocument/2006/relationships/hyperlink" Target="http://www.hawaiiantropic.ca/sun-care-products/protective-argan-dry-oil-sunscreen-spray" TargetMode="External"/><Relationship Id="rId54" Type="http://schemas.openxmlformats.org/officeDocument/2006/relationships/hyperlink" Target="http://www.bananaboat.ca/products/kids-sunscreen-spray" TargetMode="External"/><Relationship Id="rId62" Type="http://schemas.openxmlformats.org/officeDocument/2006/relationships/hyperlink" Target="http://www.bananaboat.ca/products/sport-sunscreen-sport-performance-sunscreen" TargetMode="External"/><Relationship Id="rId70" Type="http://schemas.openxmlformats.org/officeDocument/2006/relationships/hyperlink" Target="http://www.bananaboat.ca/products/general-protection-sunscreen-sunscreen-lipbalm" TargetMode="External"/><Relationship Id="rId75" Type="http://schemas.openxmlformats.org/officeDocument/2006/relationships/hyperlink" Target="https://www.garnier.ca/en-ca/about-our-brands/sun-care/ombrelle-kids/garnier-ombrelle-kids-wet-n-protect-lotion-spf-60-200-ml" TargetMode="External"/><Relationship Id="rId83" Type="http://schemas.openxmlformats.org/officeDocument/2006/relationships/printerSettings" Target="../printerSettings/printerSettings35.bin"/><Relationship Id="rId1" Type="http://schemas.openxmlformats.org/officeDocument/2006/relationships/hyperlink" Target="https://www.neutrogena.ca/sun/face-protection/neutrogena-clear-face-lotion?upcean=062600962195" TargetMode="External"/><Relationship Id="rId6" Type="http://schemas.openxmlformats.org/officeDocument/2006/relationships/hyperlink" Target="https://www.neutrogena.ca/sun/body-protection/neutrogena-beach-defense-sunscreen-spray" TargetMode="External"/><Relationship Id="rId15" Type="http://schemas.openxmlformats.org/officeDocument/2006/relationships/hyperlink" Target="https://www.neutrogena.ca/sun/kids-protection/neutrogena-beach-defense-sunscreen-spray-kids" TargetMode="External"/><Relationship Id="rId23" Type="http://schemas.openxmlformats.org/officeDocument/2006/relationships/hyperlink" Target="https://www.coppertone.ca/en/products/tanning/lotion/coppertone-tanning-sunscreen-lotion/index.html" TargetMode="External"/><Relationship Id="rId28" Type="http://schemas.openxmlformats.org/officeDocument/2006/relationships/hyperlink" Target="https://www.coppertone.ca/en/products/family/lotion/kids/pure-simple-kids-mineral-lotion/index.html" TargetMode="External"/><Relationship Id="rId36" Type="http://schemas.openxmlformats.org/officeDocument/2006/relationships/hyperlink" Target="http://www.hawaiiantropic.ca/sun-care-products/hawaiian-tropic-duo-defence-sunscreen-lotion" TargetMode="External"/><Relationship Id="rId49" Type="http://schemas.openxmlformats.org/officeDocument/2006/relationships/hyperlink" Target="https://www.aveeno.ca/products/protect-hydrate-lotion-sunscreen-spf-60-188" TargetMode="External"/><Relationship Id="rId57" Type="http://schemas.openxmlformats.org/officeDocument/2006/relationships/hyperlink" Target="http://www.bananaboat.ca/products/kids-and-baby-sunscreen-kids-sport-sunscreen-spray" TargetMode="External"/><Relationship Id="rId10" Type="http://schemas.openxmlformats.org/officeDocument/2006/relationships/hyperlink" Target="https://www.neutrogena.ca/sun/minerals/neutrogena-sheer-zinc-body" TargetMode="External"/><Relationship Id="rId31" Type="http://schemas.openxmlformats.org/officeDocument/2006/relationships/hyperlink" Target="https://www.coppertone.ca/en/products/family/spray/adult/ultra-guard-sunscreen-continuous-spray/index.html" TargetMode="External"/><Relationship Id="rId44" Type="http://schemas.openxmlformats.org/officeDocument/2006/relationships/hyperlink" Target="https://www.aveeno.ca/products/sensitive-skin-spf-50-sunscreen" TargetMode="External"/><Relationship Id="rId52" Type="http://schemas.openxmlformats.org/officeDocument/2006/relationships/hyperlink" Target="http://www.bananaboat.ca/products/kids-and-baby-sunscreen-kids-sport-sunscreen-stick" TargetMode="External"/><Relationship Id="rId60" Type="http://schemas.openxmlformats.org/officeDocument/2006/relationships/hyperlink" Target="http://www.bananaboat.ca/products/simply-protect-sport-sunscreen-lotion" TargetMode="External"/><Relationship Id="rId65" Type="http://schemas.openxmlformats.org/officeDocument/2006/relationships/hyperlink" Target="http://www.bananaboat.ca/products/simply-protect-sensitive-sunscreen-lotion" TargetMode="External"/><Relationship Id="rId73" Type="http://schemas.openxmlformats.org/officeDocument/2006/relationships/hyperlink" Target="https://www.garnier.ca/en-ca/about-our-brands/sun-care/ombrelle-face/garnier-ombrelle-face-face-stick-spf-50-9-g" TargetMode="External"/><Relationship Id="rId78" Type="http://schemas.openxmlformats.org/officeDocument/2006/relationships/hyperlink" Target="https://www.garnier.ca/en-ca/about-our-brands/sun-care/ombrelle-sport/garnier-ombrelle-sport-continuous-spray-spf-45-122-g" TargetMode="External"/><Relationship Id="rId81" Type="http://schemas.openxmlformats.org/officeDocument/2006/relationships/hyperlink" Target="https://www.garnier.ca/en-ca/about-our-brands/sun-care/ombrelle-kids/garnier-ombrelle-kids-wet-n-protect-lotion-spf-30-200-ml" TargetMode="External"/><Relationship Id="rId4" Type="http://schemas.openxmlformats.org/officeDocument/2006/relationships/hyperlink" Target="https://www.neutrogena.ca/sun/face-protection/neutrogena-ultra-sheer-face-sunscreen?upcean=062600962171" TargetMode="External"/><Relationship Id="rId9" Type="http://schemas.openxmlformats.org/officeDocument/2006/relationships/hyperlink" Target="https://www.neutrogena.ca/sun/body-protection/neutrogena-ultra-sheer-dry-touch-lotion?upcean=062600961495" TargetMode="External"/><Relationship Id="rId13" Type="http://schemas.openxmlformats.org/officeDocument/2006/relationships/hyperlink" Target="https://www.neutrogena.ca/sun/sport-protection/neutrogena-cooldry-sport-sunscreen-spray" TargetMode="External"/><Relationship Id="rId18" Type="http://schemas.openxmlformats.org/officeDocument/2006/relationships/hyperlink" Target="https://www.coppertone.ca/en/products/skin-health/lotion/sunscreen-lotion/index.html" TargetMode="External"/><Relationship Id="rId39" Type="http://schemas.openxmlformats.org/officeDocument/2006/relationships/hyperlink" Target="http://www.hawaiiantropic.ca/sun-care-products/hawaiian-tropic-silk-hydration-weightless-clear-spray-sunscreen" TargetMode="External"/><Relationship Id="rId34" Type="http://schemas.openxmlformats.org/officeDocument/2006/relationships/hyperlink" Target="http://www.hawaiiantropic.ca/sun-care-products/hawaiian-tropic-island-sport-clear-spray-sunscreen" TargetMode="External"/><Relationship Id="rId50" Type="http://schemas.openxmlformats.org/officeDocument/2006/relationships/hyperlink" Target="https://www.aveeno.ca/products/baby-sensitive-skin-sunscreen-spf-50" TargetMode="External"/><Relationship Id="rId55" Type="http://schemas.openxmlformats.org/officeDocument/2006/relationships/hyperlink" Target="http://www.bananaboat.ca/products/banana-boat-simply-protect-kids-sunscreen-lotion" TargetMode="External"/><Relationship Id="rId76" Type="http://schemas.openxmlformats.org/officeDocument/2006/relationships/hyperlink" Target="https://www.garnier.ca/en-ca/about-our-brands/sun-care/ombrelle-sport/garnier-ombrelle-sport-spray-spf-30-145-ml" TargetMode="External"/><Relationship Id="rId7" Type="http://schemas.openxmlformats.org/officeDocument/2006/relationships/hyperlink" Target="https://www.neutrogena.ca/sun/body-protection/neutrogena-beach-defense-sunscreen-lotion" TargetMode="External"/><Relationship Id="rId71" Type="http://schemas.openxmlformats.org/officeDocument/2006/relationships/hyperlink" Target="http://www.bananaboat.ca/products/tanning-sunscreen-oil-spray" TargetMode="External"/><Relationship Id="rId2" Type="http://schemas.openxmlformats.org/officeDocument/2006/relationships/hyperlink" Target="https://www.neutrogena.ca/sun/face-protection/neutrogena-ultra-sheer-water-light-daily-face-sunscreen-spf-60" TargetMode="External"/><Relationship Id="rId29" Type="http://schemas.openxmlformats.org/officeDocument/2006/relationships/hyperlink" Target="https://www.coppertone.ca/en/products/family/lotion/adult/ultra-guard-sunscreen-lotion/index.html" TargetMode="External"/><Relationship Id="rId24" Type="http://schemas.openxmlformats.org/officeDocument/2006/relationships/hyperlink" Target="https://www.coppertone.ca/en/products/family/whipped/baby/water-babies-pure-simple-whipped/index.html" TargetMode="External"/><Relationship Id="rId40" Type="http://schemas.openxmlformats.org/officeDocument/2006/relationships/hyperlink" Target="http://www.hawaiiantropic.ca/sun-care-products/hawaiian-tropic-sheer-touch-ultra-radiance-lotion-sunscreen" TargetMode="External"/><Relationship Id="rId45" Type="http://schemas.openxmlformats.org/officeDocument/2006/relationships/hyperlink" Target="https://www.aveeno.ca/products/sensitive-skin-face-spf-50" TargetMode="External"/><Relationship Id="rId66" Type="http://schemas.openxmlformats.org/officeDocument/2006/relationships/hyperlink" Target="http://www.bananaboat.ca/products/simply-protect-sensitive-face-sunscreen-lotion" TargetMode="Externa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8" Type="http://schemas.openxmlformats.org/officeDocument/2006/relationships/hyperlink" Target="https://www.firstresponse.com/en/product-listings/triple-check-pregnancy-test-kit" TargetMode="External"/><Relationship Id="rId13" Type="http://schemas.openxmlformats.org/officeDocument/2006/relationships/hyperlink" Target="https://pregmate.com/collections/pregnancy-tests/products/pregmate-pregnancy-test-strips-10-25-50-100" TargetMode="External"/><Relationship Id="rId18" Type="http://schemas.openxmlformats.org/officeDocument/2006/relationships/table" Target="../tables/table16.xml"/><Relationship Id="rId3" Type="http://schemas.openxmlformats.org/officeDocument/2006/relationships/hyperlink" Target="https://ca-en.clearblue.com/pregnancy-tests/rapid-detection" TargetMode="External"/><Relationship Id="rId7" Type="http://schemas.openxmlformats.org/officeDocument/2006/relationships/hyperlink" Target="https://www.firstresponse.com/en/product-listings/early-result-pregnancy-test" TargetMode="External"/><Relationship Id="rId12" Type="http://schemas.openxmlformats.org/officeDocument/2006/relationships/hyperlink" Target="https://www.firstresponse.com/en/product-listings/ovulation-plus-pregnancy-test" TargetMode="External"/><Relationship Id="rId17" Type="http://schemas.openxmlformats.org/officeDocument/2006/relationships/printerSettings" Target="../printerSettings/printerSettings37.bin"/><Relationship Id="rId2" Type="http://schemas.openxmlformats.org/officeDocument/2006/relationships/hyperlink" Target="https://ca-en.clearblue.com/pregnancy-tests/early-detection" TargetMode="External"/><Relationship Id="rId16" Type="http://schemas.openxmlformats.org/officeDocument/2006/relationships/hyperlink" Target="https://www.firstresponse.com/en-ca/products/ovulation/easy-read-ovulation-test" TargetMode="External"/><Relationship Id="rId1" Type="http://schemas.openxmlformats.org/officeDocument/2006/relationships/hyperlink" Target="https://ca-en.clearblue.com/pregnancy-tests/digital-with-weeks-indicator" TargetMode="External"/><Relationship Id="rId6" Type="http://schemas.openxmlformats.org/officeDocument/2006/relationships/hyperlink" Target="https://ca-en.clearblue.com/clearblue-ovulation-test-range/digital" TargetMode="External"/><Relationship Id="rId11" Type="http://schemas.openxmlformats.org/officeDocument/2006/relationships/hyperlink" Target="https://www.firstresponse.com/en/product-listings/digital-pregnancy-test" TargetMode="External"/><Relationship Id="rId5" Type="http://schemas.openxmlformats.org/officeDocument/2006/relationships/hyperlink" Target="https://ca-en.clearblue.com/clearblue-ovulation-test-range/clearblue-digital-ovulation-with-dual-hormone-indicator" TargetMode="External"/><Relationship Id="rId15" Type="http://schemas.openxmlformats.org/officeDocument/2006/relationships/hyperlink" Target="https://www.firstresponse.com/en-ca/products/ovulation/daily-digital-ovulation-test" TargetMode="External"/><Relationship Id="rId10" Type="http://schemas.openxmlformats.org/officeDocument/2006/relationships/hyperlink" Target="https://www.firstresponse.com/en/product-listings/test-and-confirm-pregnancy-test" TargetMode="External"/><Relationship Id="rId4" Type="http://schemas.openxmlformats.org/officeDocument/2006/relationships/hyperlink" Target="https://ca-en.clearblue.com/pregnancy-tests/combo-pack" TargetMode="External"/><Relationship Id="rId9" Type="http://schemas.openxmlformats.org/officeDocument/2006/relationships/hyperlink" Target="https://www.firstresponse.com/en/product-listings/rapid-result-pregnancy-test" TargetMode="External"/><Relationship Id="rId14" Type="http://schemas.openxmlformats.org/officeDocument/2006/relationships/hyperlink" Target="https://pregmate.com/collections/pregnancy-tests/products/pregmate-pregnancy-midstream-tests-8-10-25" TargetMode="Externa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8" Type="http://schemas.openxmlformats.org/officeDocument/2006/relationships/hyperlink" Target="http://thrive2quit.ca/products" TargetMode="External"/><Relationship Id="rId13" Type="http://schemas.openxmlformats.org/officeDocument/2006/relationships/hyperlink" Target="https://www.nicorette.ca/products/gum" TargetMode="External"/><Relationship Id="rId18" Type="http://schemas.openxmlformats.org/officeDocument/2006/relationships/printerSettings" Target="../printerSettings/printerSettings39.bin"/><Relationship Id="rId3" Type="http://schemas.openxmlformats.org/officeDocument/2006/relationships/hyperlink" Target="https://www.nicorette.ca/products/minilozenge" TargetMode="External"/><Relationship Id="rId7" Type="http://schemas.openxmlformats.org/officeDocument/2006/relationships/hyperlink" Target="https://www.nicoderm.ca/products/step-3" TargetMode="External"/><Relationship Id="rId12" Type="http://schemas.openxmlformats.org/officeDocument/2006/relationships/hyperlink" Target="https://habitrol.com/shop/" TargetMode="External"/><Relationship Id="rId17" Type="http://schemas.openxmlformats.org/officeDocument/2006/relationships/hyperlink" Target="http://thrive2quit.ca/products" TargetMode="External"/><Relationship Id="rId2" Type="http://schemas.openxmlformats.org/officeDocument/2006/relationships/hyperlink" Target="https://www.nicorette.ca/products/gum" TargetMode="External"/><Relationship Id="rId16" Type="http://schemas.openxmlformats.org/officeDocument/2006/relationships/hyperlink" Target="http://thrive2quit.ca/products" TargetMode="External"/><Relationship Id="rId1" Type="http://schemas.openxmlformats.org/officeDocument/2006/relationships/hyperlink" Target="https://www.nicorette.ca/products/quickmist" TargetMode="External"/><Relationship Id="rId6" Type="http://schemas.openxmlformats.org/officeDocument/2006/relationships/hyperlink" Target="https://www.nicoderm.ca/products/step-2" TargetMode="External"/><Relationship Id="rId11" Type="http://schemas.openxmlformats.org/officeDocument/2006/relationships/hyperlink" Target="https://habitrol.com/shop/" TargetMode="External"/><Relationship Id="rId5" Type="http://schemas.openxmlformats.org/officeDocument/2006/relationships/hyperlink" Target="https://www.nicoderm.ca/products/step-1" TargetMode="External"/><Relationship Id="rId15" Type="http://schemas.openxmlformats.org/officeDocument/2006/relationships/hyperlink" Target="http://thrive2quit.ca/products" TargetMode="External"/><Relationship Id="rId10" Type="http://schemas.openxmlformats.org/officeDocument/2006/relationships/hyperlink" Target="http://thrive2quit.ca/products" TargetMode="External"/><Relationship Id="rId19" Type="http://schemas.openxmlformats.org/officeDocument/2006/relationships/table" Target="../tables/table17.xml"/><Relationship Id="rId4" Type="http://schemas.openxmlformats.org/officeDocument/2006/relationships/hyperlink" Target="https://www.nicorette.ca/products/inhaler" TargetMode="External"/><Relationship Id="rId9" Type="http://schemas.openxmlformats.org/officeDocument/2006/relationships/hyperlink" Target="http://thrive2quit.ca/products" TargetMode="External"/><Relationship Id="rId14" Type="http://schemas.openxmlformats.org/officeDocument/2006/relationships/hyperlink" Target="https://www.nicorette.ca/products/minilozenge"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8" Type="http://schemas.openxmlformats.org/officeDocument/2006/relationships/hyperlink" Target="https://lifesourcecanada.com/product/ultraconnect-premium-wireless-blood-pressure-monitor/" TargetMode="External"/><Relationship Id="rId13" Type="http://schemas.openxmlformats.org/officeDocument/2006/relationships/hyperlink" Target="https://www.omronhealthcare.ca/products/5-series-wireless-upper-arm-blood-pressure-monitor-bp7250can/" TargetMode="External"/><Relationship Id="rId18" Type="http://schemas.openxmlformats.org/officeDocument/2006/relationships/hyperlink" Target="https://shop.panasonic.com/personal-care/blood-pressure-monitors/EW3109W.html" TargetMode="External"/><Relationship Id="rId3" Type="http://schemas.openxmlformats.org/officeDocument/2006/relationships/hyperlink" Target="https://lifesourcecanada.com/product/blood-pressure-monitor/" TargetMode="External"/><Relationship Id="rId21" Type="http://schemas.openxmlformats.org/officeDocument/2006/relationships/table" Target="../tables/table18.xml"/><Relationship Id="rId7" Type="http://schemas.openxmlformats.org/officeDocument/2006/relationships/hyperlink" Target="https://lifesourcecanada.com/product/premium-blood-pressure-monitor-with-extra-large-cuff/" TargetMode="External"/><Relationship Id="rId12" Type="http://schemas.openxmlformats.org/officeDocument/2006/relationships/hyperlink" Target="https://www.omronhealthcare.ca/products/silver-wireless-upper-arm-blood-pressure-monitor-bp5250/" TargetMode="External"/><Relationship Id="rId17" Type="http://schemas.openxmlformats.org/officeDocument/2006/relationships/hyperlink" Target="https://www.omronhealthcare.ca/products/10-series-wireless-upper-arm-blood-pressure-monitor-bp7450can/" TargetMode="External"/><Relationship Id="rId2" Type="http://schemas.openxmlformats.org/officeDocument/2006/relationships/hyperlink" Target="https://lifesourcecanada.com/product/blood-pressure-monitor-large-cuff/" TargetMode="External"/><Relationship Id="rId16" Type="http://schemas.openxmlformats.org/officeDocument/2006/relationships/hyperlink" Target="https://www.omronhealthcare.ca/products/7-series-wireless-upper-arm-blood-pressure-monitor-bp7350can/" TargetMode="External"/><Relationship Id="rId20" Type="http://schemas.openxmlformats.org/officeDocument/2006/relationships/printerSettings" Target="../printerSettings/printerSettings41.bin"/><Relationship Id="rId1" Type="http://schemas.openxmlformats.org/officeDocument/2006/relationships/hyperlink" Target="https://lifesourcecanada.com/product/premium-blood-pressure-monitor/" TargetMode="External"/><Relationship Id="rId6" Type="http://schemas.openxmlformats.org/officeDocument/2006/relationships/hyperlink" Target="https://lifesourcecanada.com/product/premium-blood-pressure-monitor-with-pre-formed-cuff/" TargetMode="External"/><Relationship Id="rId11" Type="http://schemas.openxmlformats.org/officeDocument/2006/relationships/hyperlink" Target="https://www.omronhealthcare.ca/products/3-series-upper-arm-blood-pressure-monitor-bp7100can/" TargetMode="External"/><Relationship Id="rId5" Type="http://schemas.openxmlformats.org/officeDocument/2006/relationships/hyperlink" Target="https://lifesourcecanada.com/product/premium-blood-pressure-monitor-with-verbal-assistance/" TargetMode="External"/><Relationship Id="rId15" Type="http://schemas.openxmlformats.org/officeDocument/2006/relationships/hyperlink" Target="https://www.omronhealthcare.ca/products/platinum-wireless-upper-arm-blood-pressure-monitor-bp5450/" TargetMode="External"/><Relationship Id="rId10" Type="http://schemas.openxmlformats.org/officeDocument/2006/relationships/hyperlink" Target="https://www.omronhealthcare.ca/products/bronze-upper-arm-blood-pressure-monitor-bp5100/" TargetMode="External"/><Relationship Id="rId19" Type="http://schemas.openxmlformats.org/officeDocument/2006/relationships/hyperlink" Target="https://hypertension.ca/bpdevices" TargetMode="External"/><Relationship Id="rId4" Type="http://schemas.openxmlformats.org/officeDocument/2006/relationships/hyperlink" Target="https://lifesourcecanada.com/product/premium-wireless-blood-pressure-monitor/" TargetMode="External"/><Relationship Id="rId9" Type="http://schemas.openxmlformats.org/officeDocument/2006/relationships/hyperlink" Target="https://lifesourcecanada.com/product/blood-pressure-monitor-with-small-cuff/" TargetMode="External"/><Relationship Id="rId14" Type="http://schemas.openxmlformats.org/officeDocument/2006/relationships/hyperlink" Target="https://www.omronhealthcare.ca/products/gold-wireless-upper-arm-blood-pressure-monitor-bp5350/" TargetMode="External"/></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3" Type="http://schemas.openxmlformats.org/officeDocument/2006/relationships/hyperlink" Target="https://resultz.ca/what-is-resultz/" TargetMode="External"/><Relationship Id="rId7" Type="http://schemas.openxmlformats.org/officeDocument/2006/relationships/table" Target="../tables/table19.xml"/><Relationship Id="rId2" Type="http://schemas.openxmlformats.org/officeDocument/2006/relationships/hyperlink" Target="https://www.nixlice.com/lice-products/nix-ultra-shampoo" TargetMode="External"/><Relationship Id="rId1" Type="http://schemas.openxmlformats.org/officeDocument/2006/relationships/hyperlink" Target="https://www.nixlice.com/lice-products/nix-permethrin-cream-rinse" TargetMode="External"/><Relationship Id="rId6" Type="http://schemas.openxmlformats.org/officeDocument/2006/relationships/printerSettings" Target="../printerSettings/printerSettings43.bin"/><Relationship Id="rId5" Type="http://schemas.openxmlformats.org/officeDocument/2006/relationships/hyperlink" Target="https://www.treatlice.ca/sites/lice/files/uploads/kaitlin%20obrien%20-%20R&amp;C%20cream%20rinse.pdf" TargetMode="External"/><Relationship Id="rId4" Type="http://schemas.openxmlformats.org/officeDocument/2006/relationships/hyperlink" Target="https://www.nyda.ca/en/" TargetMode="External"/></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6" Type="http://schemas.openxmlformats.org/officeDocument/2006/relationships/hyperlink" Target="https://www.bandaid.ca/products/plastic-bandages/assorted-value-pack-80-bandages" TargetMode="External"/><Relationship Id="rId21" Type="http://schemas.openxmlformats.org/officeDocument/2006/relationships/hyperlink" Target="https://www.bandaid.ca/products/fabric-bandages/assorted-value-pack-80-bandages" TargetMode="External"/><Relationship Id="rId42" Type="http://schemas.openxmlformats.org/officeDocument/2006/relationships/hyperlink" Target="https://www.bandaid.ca/products/waterproof-pad/waterproof-pad-6ct" TargetMode="External"/><Relationship Id="rId47" Type="http://schemas.openxmlformats.org/officeDocument/2006/relationships/hyperlink" Target="https://www.bandaid.ca/products/rolled-gauze/rolled-gauze-5-cm-45-m" TargetMode="External"/><Relationship Id="rId63" Type="http://schemas.openxmlformats.org/officeDocument/2006/relationships/hyperlink" Target="https://www.elastoplast.com.au/products/muscle-joint-and-back-pain/conforming-bandages" TargetMode="External"/><Relationship Id="rId68" Type="http://schemas.openxmlformats.org/officeDocument/2006/relationships/hyperlink" Target="https://www.elastoplast.com.au/products/foot-care/plasters-pads/blister-plaster-large" TargetMode="External"/><Relationship Id="rId84" Type="http://schemas.openxmlformats.org/officeDocument/2006/relationships/hyperlink" Target="https://www.elastoplast.com.au/products/wound-care/finger-strips" TargetMode="External"/><Relationship Id="rId89" Type="http://schemas.openxmlformats.org/officeDocument/2006/relationships/hyperlink" Target="https://www.nexcare.ca/3M/en_CA/nexcare-ca/products/~/Nexcare-All-in-One-Adhesive-Pad-H3564-CA-2-3-8-in-x-4-in-6-cm-x-10-cm-5-Pack/?N=4326+8707798+8709316+8710669+8710944+8711017+8711752+3293504359&amp;preselect=3293786499+3294529206&amp;rt=rud" TargetMode="External"/><Relationship Id="rId16" Type="http://schemas.openxmlformats.org/officeDocument/2006/relationships/hyperlink" Target="https://www.bandaid.ca/products/wet-flex-bandages/assorted-value-pack-60-bandages" TargetMode="External"/><Relationship Id="rId11" Type="http://schemas.openxmlformats.org/officeDocument/2006/relationships/hyperlink" Target="https://www.bandaid.ca/products/tough-strips-bandages/all-one-size-20-bandages" TargetMode="External"/><Relationship Id="rId32" Type="http://schemas.openxmlformats.org/officeDocument/2006/relationships/hyperlink" Target="https://www.bandaid.ca/products/decorated-bandages/paw-patrol" TargetMode="External"/><Relationship Id="rId37" Type="http://schemas.openxmlformats.org/officeDocument/2006/relationships/hyperlink" Target="https://www.bandaid.ca/products/decorated-bandages/star-wars" TargetMode="External"/><Relationship Id="rId53" Type="http://schemas.openxmlformats.org/officeDocument/2006/relationships/hyperlink" Target="https://www.bandaid.ca/products/gauze-pads/gauze-pads-76-cm-76-cm-10-pads" TargetMode="External"/><Relationship Id="rId58" Type="http://schemas.openxmlformats.org/officeDocument/2006/relationships/hyperlink" Target="https://newskinproducts.com/products/new-skin-liquid-bandage/" TargetMode="External"/><Relationship Id="rId74" Type="http://schemas.openxmlformats.org/officeDocument/2006/relationships/hyperlink" Target="https://www.elastoplast.com.au/products/wound-care/hypoallergenic-spots" TargetMode="External"/><Relationship Id="rId79" Type="http://schemas.openxmlformats.org/officeDocument/2006/relationships/hyperlink" Target="https://www.elastoplast.com.au/products/wound-care/antibacterial-waterproof-plaster" TargetMode="External"/><Relationship Id="rId102" Type="http://schemas.openxmlformats.org/officeDocument/2006/relationships/hyperlink" Target="https://www.nexcare.com/3M/en_US/nexcare/products/catalog/~/Nexcare-Tattoo-Waterproof-Bandages-Cool-Collection/?N=4326+3294529207+3294631536&amp;preselect=3293786499&amp;rt=rud" TargetMode="External"/><Relationship Id="rId5" Type="http://schemas.openxmlformats.org/officeDocument/2006/relationships/hyperlink" Target="https://www.bandaid.ca/products/hydro-seal/finger-bandages-10ct" TargetMode="External"/><Relationship Id="rId90" Type="http://schemas.openxmlformats.org/officeDocument/2006/relationships/hyperlink" Target="https://www.nexcare.ca/3M/en_CA/nexcare-ca/products/~/Nexcare-Tegaderm-Pad-Waterproof-Transparent-Dressing-H3584/?N=4326+8707798+8709316+8710669+8710944+8711017+3293553646&amp;preselect=3293786499+3294529206&amp;rt=rud" TargetMode="External"/><Relationship Id="rId95" Type="http://schemas.openxmlformats.org/officeDocument/2006/relationships/hyperlink" Target="https://www.nexcare.ca/3M/en_CA/nexcare-ca/products/~/Nexcare-Strong-Hold-Pain-Free-Removal-Adhesive-Pad-SSD34-CA-3-in-x-4-in-7-6-cm-x-10-2-cm-4-Pack/?N=4326+8707798+8709316+8710669+8710944+8711017+8711752+3288816129&amp;preselect=3293786499+3294529206&amp;rt=rud" TargetMode="External"/><Relationship Id="rId22" Type="http://schemas.openxmlformats.org/officeDocument/2006/relationships/hyperlink" Target="https://www.bandaid.ca/products/fabric-bandages/assorted-family-pack-50-bandages" TargetMode="External"/><Relationship Id="rId27" Type="http://schemas.openxmlformats.org/officeDocument/2006/relationships/hyperlink" Target="https://www.bandaid.ca/products/plastic-bandages/assorted-strips-family-pack-60-bandages" TargetMode="External"/><Relationship Id="rId43" Type="http://schemas.openxmlformats.org/officeDocument/2006/relationships/hyperlink" Target="https://www.bandaid.ca/products/hurt-free-tape/hurt-free-tape-5-cm-45-m" TargetMode="External"/><Relationship Id="rId48" Type="http://schemas.openxmlformats.org/officeDocument/2006/relationships/hyperlink" Target="https://www.bandaid.ca/products/rolled-gauze/rolled-gauze-76-cm-45-m" TargetMode="External"/><Relationship Id="rId64" Type="http://schemas.openxmlformats.org/officeDocument/2006/relationships/hyperlink" Target="https://www.elastoplast.com.au/products/muscle-joint-and-back-pain/crepe-bandage" TargetMode="External"/><Relationship Id="rId69" Type="http://schemas.openxmlformats.org/officeDocument/2006/relationships/hyperlink" Target="https://www.elastoplast.com.au/products/foot-care/plasters-pads/blister-plaster-xl" TargetMode="External"/><Relationship Id="rId80" Type="http://schemas.openxmlformats.org/officeDocument/2006/relationships/hyperlink" Target="https://www.elastoplast.com.au/products/wound-care/aqua-protect-waterproof-plaster" TargetMode="External"/><Relationship Id="rId85" Type="http://schemas.openxmlformats.org/officeDocument/2006/relationships/hyperlink" Target="https://www.elastoplast.com.au/products/ext/elastic-fabric-roll-plaster" TargetMode="External"/><Relationship Id="rId12" Type="http://schemas.openxmlformats.org/officeDocument/2006/relationships/hyperlink" Target="https://www.bandaid.ca/products/tough-strips-bandages/finger-care-15-bandages" TargetMode="External"/><Relationship Id="rId17" Type="http://schemas.openxmlformats.org/officeDocument/2006/relationships/hyperlink" Target="https://www.bandaid.ca/products/waterproof-bandages/clear-assorted-30-bandages" TargetMode="External"/><Relationship Id="rId25" Type="http://schemas.openxmlformats.org/officeDocument/2006/relationships/hyperlink" Target="https://www.bandaid.ca/products/fabric-bandages/travel-pack-8-bandages" TargetMode="External"/><Relationship Id="rId33" Type="http://schemas.openxmlformats.org/officeDocument/2006/relationships/hyperlink" Target="https://www.bandaid.ca/products/decorated-bandages/disney-frozen" TargetMode="External"/><Relationship Id="rId38" Type="http://schemas.openxmlformats.org/officeDocument/2006/relationships/hyperlink" Target="https://www.bandaid.ca/products/decorated-bandages/shimmer-and-shine" TargetMode="External"/><Relationship Id="rId46" Type="http://schemas.openxmlformats.org/officeDocument/2006/relationships/hyperlink" Target="https://www.bandaid.ca/products/rolled-gauze/rolled-gauze-76-cm-19-m" TargetMode="External"/><Relationship Id="rId59" Type="http://schemas.openxmlformats.org/officeDocument/2006/relationships/hyperlink" Target="https://newskinproducts.com/products/new-skin-liquid-spray-bandage/" TargetMode="External"/><Relationship Id="rId67" Type="http://schemas.openxmlformats.org/officeDocument/2006/relationships/hyperlink" Target="https://www.elastoplast.com.au/products/foot-care/plasters-pads/sos-mix-pack" TargetMode="External"/><Relationship Id="rId103" Type="http://schemas.openxmlformats.org/officeDocument/2006/relationships/printerSettings" Target="../printerSettings/printerSettings45.bin"/><Relationship Id="rId20" Type="http://schemas.openxmlformats.org/officeDocument/2006/relationships/hyperlink" Target="https://www.bandaid.ca/products/plusantibiotic/assorted-20-bandages" TargetMode="External"/><Relationship Id="rId41" Type="http://schemas.openxmlformats.org/officeDocument/2006/relationships/hyperlink" Target="https://www.bandaid.ca/products/waterproof-tape/waterproof-tape-12-cm-91-m" TargetMode="External"/><Relationship Id="rId54" Type="http://schemas.openxmlformats.org/officeDocument/2006/relationships/hyperlink" Target="https://www.bandaid.ca/products/gauze-pads/gauze-pads-101-cm-101-cm-10-pads" TargetMode="External"/><Relationship Id="rId62" Type="http://schemas.openxmlformats.org/officeDocument/2006/relationships/hyperlink" Target="https://www.elastoplast.com.au/products/ext/cohesive-bandages" TargetMode="External"/><Relationship Id="rId70" Type="http://schemas.openxmlformats.org/officeDocument/2006/relationships/hyperlink" Target="https://www.elastoplast.com.au/products/wound-care/sensitive-plasters" TargetMode="External"/><Relationship Id="rId75" Type="http://schemas.openxmlformats.org/officeDocument/2006/relationships/hyperlink" Target="https://www.elastoplast.com.au/products/wound-care/kitchen-kit" TargetMode="External"/><Relationship Id="rId83" Type="http://schemas.openxmlformats.org/officeDocument/2006/relationships/hyperlink" Target="https://www.elastoplast.com.au/products/wound-care/fabric-extra-flexible-plaster" TargetMode="External"/><Relationship Id="rId88" Type="http://schemas.openxmlformats.org/officeDocument/2006/relationships/hyperlink" Target="https://www.nexcare.ca/3M/en_CA/nexcare-ca/products/~/Nexcare-Heel-Blister-Comfort-Cushions-CCH-04/?N=4326+8707798+8709316+8710669+8711017+8711752+8746530+3291702858&amp;preselect=3293786499+3294529206&amp;rt=rud" TargetMode="External"/><Relationship Id="rId91" Type="http://schemas.openxmlformats.org/officeDocument/2006/relationships/hyperlink" Target="https://www.nexcare.ca/3M/en_CA/nexcare-ca/products/~/Nexcare-Cushioned-Adhesive-Pad-AWP-34-CA-Waterproof-3-in-x-4-in-76-2-mm-x-101-mm-4-Pack/?N=4326+8707798+8709316+8710669+8710944+8711017+8711752+3293620454&amp;preselect=3293786499+3294529206&amp;rt=rud" TargetMode="External"/><Relationship Id="rId96" Type="http://schemas.openxmlformats.org/officeDocument/2006/relationships/hyperlink" Target="https://www.nexcare.ca/3M/en_CA/nexcare-ca/products/~/Nexcare-Heavy-Duty-Fabric-Bandages-tan-assorted-sizes-40-bandages-per-box/?N=4326+8707798+8709316+8710669+8710694+8711017+8711752+3290878058&amp;preselect=3293786499+3294529206&amp;rt=rud" TargetMode="External"/><Relationship Id="rId1" Type="http://schemas.openxmlformats.org/officeDocument/2006/relationships/hyperlink" Target="https://www.bandaid.ca/products/hydro-seal/blister-cushions-6-bandages" TargetMode="External"/><Relationship Id="rId6" Type="http://schemas.openxmlformats.org/officeDocument/2006/relationships/hyperlink" Target="https://www.bandaid.ca/products/skin-flex/skin-flex-extra-large-7ct" TargetMode="External"/><Relationship Id="rId15" Type="http://schemas.openxmlformats.org/officeDocument/2006/relationships/hyperlink" Target="https://www.bandaid.ca/products/tough-strips-waterproof-bandages/extra-large-10-bandages" TargetMode="External"/><Relationship Id="rId23" Type="http://schemas.openxmlformats.org/officeDocument/2006/relationships/hyperlink" Target="https://www.bandaid.ca/products/fabric-bandages/knuckle-and-fingertip-20-bandages" TargetMode="External"/><Relationship Id="rId28" Type="http://schemas.openxmlformats.org/officeDocument/2006/relationships/hyperlink" Target="https://www.bandaid.ca/products/plastic-bandages/clear-all-one-size-bandages" TargetMode="External"/><Relationship Id="rId36" Type="http://schemas.openxmlformats.org/officeDocument/2006/relationships/hyperlink" Target="https://www.bandaid.ca/products/decorated-bandages/avengers" TargetMode="External"/><Relationship Id="rId49" Type="http://schemas.openxmlformats.org/officeDocument/2006/relationships/hyperlink" Target="https://www.bandaid.ca/products/rolled-gauze/rolled-gauze-10-cm-45-m" TargetMode="External"/><Relationship Id="rId57" Type="http://schemas.openxmlformats.org/officeDocument/2006/relationships/hyperlink" Target="https://www.bandaid.ca/products/non-stick-pads/non-stick-pads-76-cm-101-cm-10-pads" TargetMode="External"/><Relationship Id="rId10" Type="http://schemas.openxmlformats.org/officeDocument/2006/relationships/hyperlink" Target="https://www.bandaid.ca/products/tough-strips-all-one-size-60-count" TargetMode="External"/><Relationship Id="rId31" Type="http://schemas.openxmlformats.org/officeDocument/2006/relationships/hyperlink" Target="https://www.bandaid.ca/products/decorated-bandages/disney-princess" TargetMode="External"/><Relationship Id="rId44" Type="http://schemas.openxmlformats.org/officeDocument/2006/relationships/hyperlink" Target="https://www.bandaid.ca/products/cloth-tape/cloth-tape-25-cm-91-m" TargetMode="External"/><Relationship Id="rId52" Type="http://schemas.openxmlformats.org/officeDocument/2006/relationships/hyperlink" Target="https://www.bandaid.ca/products/gauze-pads/gauze-pads-5-cm-5-cm-10-pads" TargetMode="External"/><Relationship Id="rId60" Type="http://schemas.openxmlformats.org/officeDocument/2006/relationships/hyperlink" Target="https://www.elastoplast.com.au/products/muscle-joint-and-back-pain/elastic-tubular-bandage" TargetMode="External"/><Relationship Id="rId65" Type="http://schemas.openxmlformats.org/officeDocument/2006/relationships/hyperlink" Target="https://www.elastoplast.com.au/products/ext/non-stick-dressing" TargetMode="External"/><Relationship Id="rId73" Type="http://schemas.openxmlformats.org/officeDocument/2006/relationships/hyperlink" Target="https://www.elastoplast.com.au/products/ext/peppa-pig-kids-plaster" TargetMode="External"/><Relationship Id="rId78" Type="http://schemas.openxmlformats.org/officeDocument/2006/relationships/hyperlink" Target="https://www.elastoplast.com.au/products/wound-care/antibacterial-sensitive-plaster" TargetMode="External"/><Relationship Id="rId81" Type="http://schemas.openxmlformats.org/officeDocument/2006/relationships/hyperlink" Target="https://www.elastoplast.com.au/products/wound-care/aqua-protect-xxl" TargetMode="External"/><Relationship Id="rId86" Type="http://schemas.openxmlformats.org/officeDocument/2006/relationships/hyperlink" Target="https://www.nexcare.ca/3M/en_CA/nexcare-ca/products/~/Nexcare-Foot-Protection-Tape/?N=4326+8707798+8709316+8710669+8711017+8711752+8746530+3291702146&amp;preselect=3293786499+3294529206&amp;rt=rud" TargetMode="External"/><Relationship Id="rId94" Type="http://schemas.openxmlformats.org/officeDocument/2006/relationships/hyperlink" Target="https://www.nexcare.ca/3M/en_CA/nexcare-ca/products/~/Nexcare-Tegaderm-Waterproof-Transparent-Dressing-401/?N=4326+8707798+8709316+8710669+8710944+8711017+3293554110&amp;preselect=3293786499+3294529206&amp;rt=rud" TargetMode="External"/><Relationship Id="rId99" Type="http://schemas.openxmlformats.org/officeDocument/2006/relationships/hyperlink" Target="https://www.nexcare.ca/3M/en_CA/nexcare-ca/products/~/Nexcare-Liquid-Bandage-Spray-118-03-CA/?N=4326+8707798+8709316+8710669+8710694+8711017+8711752+3291780518&amp;preselect=3293786499+3294529206&amp;rt=rud" TargetMode="External"/><Relationship Id="rId101" Type="http://schemas.openxmlformats.org/officeDocument/2006/relationships/hyperlink" Target="https://www.nexcare.ca/3M/en_CA/nexcare-ca/products/~/Nexcare-Max-Hold-Waterproof-Bandages/?N=4326+8709316+8709329+8710669+8710694+8711017+8711752+3289974752&amp;preselect=3293786499+3294529206&amp;rt=rud" TargetMode="External"/><Relationship Id="rId4" Type="http://schemas.openxmlformats.org/officeDocument/2006/relationships/hyperlink" Target="https://www.bandaid.ca/products/hydro-seal/blister-cushions-fingers-and-toes-8-bandages" TargetMode="External"/><Relationship Id="rId9" Type="http://schemas.openxmlformats.org/officeDocument/2006/relationships/hyperlink" Target="https://www.bandaid.ca/products/skin-flex/skin-flex-assorted-20ct" TargetMode="External"/><Relationship Id="rId13" Type="http://schemas.openxmlformats.org/officeDocument/2006/relationships/hyperlink" Target="https://www.bandaid.ca/products/tough-strips-bandages/extra-large-10-bandages" TargetMode="External"/><Relationship Id="rId18" Type="http://schemas.openxmlformats.org/officeDocument/2006/relationships/hyperlink" Target="https://www.bandaid.ca/products/waterproof-bandages/water-block-plus-finger-care-20-bandages" TargetMode="External"/><Relationship Id="rId39" Type="http://schemas.openxmlformats.org/officeDocument/2006/relationships/hyperlink" Target="https://www.bandaid.ca/products/decorated-bandages/hello-kitty-bandages" TargetMode="External"/><Relationship Id="rId34" Type="http://schemas.openxmlformats.org/officeDocument/2006/relationships/hyperlink" Target="https://www.bandaid.ca/products/decorated-bandages/incredibles" TargetMode="External"/><Relationship Id="rId50" Type="http://schemas.openxmlformats.org/officeDocument/2006/relationships/hyperlink" Target="https://www.bandaid.ca/products/gauze-pads/gauze-pads-5-cm-5-cm-25-pads" TargetMode="External"/><Relationship Id="rId55" Type="http://schemas.openxmlformats.org/officeDocument/2006/relationships/hyperlink" Target="https://www.bandaid.ca/products/non-stick-pads/non-stick-pads-38-cm-5-cm-10-pad" TargetMode="External"/><Relationship Id="rId76" Type="http://schemas.openxmlformats.org/officeDocument/2006/relationships/hyperlink" Target="https://www.elastoplast.com.au/products/wound-care/plastic-plasters" TargetMode="External"/><Relationship Id="rId97" Type="http://schemas.openxmlformats.org/officeDocument/2006/relationships/hyperlink" Target="https://www.nexcare.ca/3M/en_CA/nexcare-ca/products/~/Nexcare-Comfort-Bandages-CS102/?N=4326+8707798+8709314+8710669+8710694+8711017+8711752+3293775505&amp;preselect=3293786499+3294529206&amp;rt=rud" TargetMode="External"/><Relationship Id="rId104" Type="http://schemas.openxmlformats.org/officeDocument/2006/relationships/table" Target="../tables/table20.xml"/><Relationship Id="rId7" Type="http://schemas.openxmlformats.org/officeDocument/2006/relationships/hyperlink" Target="https://www.bandaid.ca/products/skin-flex/skin-flex-assorted-60ct" TargetMode="External"/><Relationship Id="rId71" Type="http://schemas.openxmlformats.org/officeDocument/2006/relationships/hyperlink" Target="https://www.elastoplast.com.au/products/wound-care/spray-plaster" TargetMode="External"/><Relationship Id="rId92" Type="http://schemas.openxmlformats.org/officeDocument/2006/relationships/hyperlink" Target="https://www.nexcare.ca/3M/en_CA/nexcare-ca/products/~/Nexcare-Advanced-Healing-Hydrocolloid-Pad-AHD-06-CA-Waterproof-3-in-x-4-in-76-mm-x-101-mm-6-Pack/?N=4326+8707798+8709316+8710669+8710944+8711017+8711752+3288815763&amp;preselect=3293786499+3294529206&amp;rt=ru" TargetMode="External"/><Relationship Id="rId2" Type="http://schemas.openxmlformats.org/officeDocument/2006/relationships/hyperlink" Target="https://www.bandaid.ca/products/hydro-seal/cuts-scrapes-large-6-bandages" TargetMode="External"/><Relationship Id="rId29" Type="http://schemas.openxmlformats.org/officeDocument/2006/relationships/hyperlink" Target="https://www.bandaid.ca/products/variety-pack-bandages/variety-pack-assorted-30-bandages" TargetMode="External"/><Relationship Id="rId24" Type="http://schemas.openxmlformats.org/officeDocument/2006/relationships/hyperlink" Target="https://www.bandaid.ca/products/fabric-bandages/extra-large-10-bandages" TargetMode="External"/><Relationship Id="rId40" Type="http://schemas.openxmlformats.org/officeDocument/2006/relationships/hyperlink" Target="https://www.bandaid.ca/products/decorated-bandages/disney-pixar-cars" TargetMode="External"/><Relationship Id="rId45" Type="http://schemas.openxmlformats.org/officeDocument/2006/relationships/hyperlink" Target="https://www.bandaid.ca/products/paper-tape/paper-tape-25-cm-91-m" TargetMode="External"/><Relationship Id="rId66" Type="http://schemas.openxmlformats.org/officeDocument/2006/relationships/hyperlink" Target="https://www.elastoplast.com.au/products/foot-care/plasters-pads/sos-blisterplaster-small" TargetMode="External"/><Relationship Id="rId87" Type="http://schemas.openxmlformats.org/officeDocument/2006/relationships/hyperlink" Target="https://www.nexcare.ca/3M/en_CA/nexcare-ca/products/~/Nexcare-Toe-Blister-Comfort-Cushions-CCT-05/?N=4326+8707798+8709316+8710669+8711017+8711752+8746530+3291703190&amp;preselect=3293786499+3294529206&amp;rt=rud" TargetMode="External"/><Relationship Id="rId61" Type="http://schemas.openxmlformats.org/officeDocument/2006/relationships/hyperlink" Target="https://www.elastoplast.com.au/products/ext/hi-stretch-support-and-compression-bandages" TargetMode="External"/><Relationship Id="rId82" Type="http://schemas.openxmlformats.org/officeDocument/2006/relationships/hyperlink" Target="https://www.elastoplast.com.au/products/wound-care/heavy-fabric-waterproof-plaster" TargetMode="External"/><Relationship Id="rId19" Type="http://schemas.openxmlformats.org/officeDocument/2006/relationships/hyperlink" Target="https://www.bandaid.ca/products/waterproof-bandages/10-bandages" TargetMode="External"/><Relationship Id="rId14" Type="http://schemas.openxmlformats.org/officeDocument/2006/relationships/hyperlink" Target="https://www.bandaid.ca/products/tough-strips-waterproof-bandages/all-one-size-20-bandages" TargetMode="External"/><Relationship Id="rId30" Type="http://schemas.openxmlformats.org/officeDocument/2006/relationships/hyperlink" Target="https://www.bandaid.ca/products/decorated-bandages/disney-mickey-mouse" TargetMode="External"/><Relationship Id="rId35" Type="http://schemas.openxmlformats.org/officeDocument/2006/relationships/hyperlink" Target="https://www.bandaid.ca/products/decorated-bandages/spiderman" TargetMode="External"/><Relationship Id="rId56" Type="http://schemas.openxmlformats.org/officeDocument/2006/relationships/hyperlink" Target="https://www.bandaid.ca/products/non-stick-pads/non-stick-pads-5-cm-76-cm-10-pads" TargetMode="External"/><Relationship Id="rId77" Type="http://schemas.openxmlformats.org/officeDocument/2006/relationships/hyperlink" Target="https://www.elastoplast.com.au/products/wound-care/antibacterial-fabric-plaster" TargetMode="External"/><Relationship Id="rId100" Type="http://schemas.openxmlformats.org/officeDocument/2006/relationships/hyperlink" Target="https://www.nexcare.ca/3M/en_CA/nexcare-ca/products/~/Nexcare-Blister-Waterproof-Bandages-BWB-06-CA/?N=4326+8707798+8709316+8710669+8710694+8711017+8711752+3293620460&amp;preselect=3293786499+3294529206&amp;rt=rud" TargetMode="External"/><Relationship Id="rId8" Type="http://schemas.openxmlformats.org/officeDocument/2006/relationships/hyperlink" Target="https://www.bandaid.ca/products/skin-flex/skin-flex-all-one-size-25ct" TargetMode="External"/><Relationship Id="rId51" Type="http://schemas.openxmlformats.org/officeDocument/2006/relationships/hyperlink" Target="https://www.bandaid.ca/products/gauze-pads/gauze-pads-76-cm-76-cm-25-pads" TargetMode="External"/><Relationship Id="rId72" Type="http://schemas.openxmlformats.org/officeDocument/2006/relationships/hyperlink" Target="https://www.elastoplast.com.au/products/wound-care/coloured-plaster" TargetMode="External"/><Relationship Id="rId93" Type="http://schemas.openxmlformats.org/officeDocument/2006/relationships/hyperlink" Target="https://www.nexcare.ca/3M/en_CA/nexcare-ca/products/~/Nexcare-Ultra-Stretch-Adhesive-Pad-SFP34-CA-3-in-x-4-in-76-2-mm-x-101-mm-4-Pack/?N=4326+8707798+8709316+8710669+8710944+8711017+8711752+3288815887&amp;preselect=3293786499+3294529206&amp;rt=rud" TargetMode="External"/><Relationship Id="rId98" Type="http://schemas.openxmlformats.org/officeDocument/2006/relationships/hyperlink" Target="https://www.nexcare.ca/3M/en_CA/nexcare-ca/products/~/Nexcare-Waterproof-Bandages-CL50/?N=4326+8707798+8709316+8710669+8710694+8711017+3290346206&amp;preselect=3293786499+3294529206&amp;rt=rud" TargetMode="External"/><Relationship Id="rId3" Type="http://schemas.openxmlformats.org/officeDocument/2006/relationships/hyperlink" Target="https://www.bandaid.ca/products/hydro-seal/extra-large-bandages-3ct" TargetMode="External"/></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3" Type="http://schemas.openxmlformats.org/officeDocument/2006/relationships/hyperlink" Target="https://similac.ca/en/products/similac-step-2" TargetMode="External"/><Relationship Id="rId18" Type="http://schemas.openxmlformats.org/officeDocument/2006/relationships/hyperlink" Target="https://www.enfamil.ca/products/enfagrow-a" TargetMode="External"/><Relationship Id="rId26" Type="http://schemas.openxmlformats.org/officeDocument/2006/relationships/hyperlink" Target="https://www.enfamil.ca/products/enfamil" TargetMode="External"/><Relationship Id="rId3" Type="http://schemas.openxmlformats.org/officeDocument/2006/relationships/hyperlink" Target="https://similac.ca/en/products/similac-advance-step-1" TargetMode="External"/><Relationship Id="rId21" Type="http://schemas.openxmlformats.org/officeDocument/2006/relationships/hyperlink" Target="https://www.enfamil.ca/products/nutramigen-a-with-lgg" TargetMode="External"/><Relationship Id="rId34" Type="http://schemas.openxmlformats.org/officeDocument/2006/relationships/hyperlink" Target="https://www.nestlebaby.ca/en/good-start-alsoy" TargetMode="External"/><Relationship Id="rId7" Type="http://schemas.openxmlformats.org/officeDocument/2006/relationships/hyperlink" Target="https://similac.ca/en/products/similac-sensitive" TargetMode="External"/><Relationship Id="rId12" Type="http://schemas.openxmlformats.org/officeDocument/2006/relationships/hyperlink" Target="https://similac.ca/en/products/similac-advance-step-2" TargetMode="External"/><Relationship Id="rId17" Type="http://schemas.openxmlformats.org/officeDocument/2006/relationships/hyperlink" Target="https://www.enfamil.ca/products/enfamil-a-2" TargetMode="External"/><Relationship Id="rId25" Type="http://schemas.openxmlformats.org/officeDocument/2006/relationships/hyperlink" Target="https://www.enfamil.ca/products/enfamil-a-enfacare" TargetMode="External"/><Relationship Id="rId33" Type="http://schemas.openxmlformats.org/officeDocument/2006/relationships/hyperlink" Target="https://www.nestlebaby.ca/en/nestle-good-start-organic-baby-formula" TargetMode="External"/><Relationship Id="rId2" Type="http://schemas.openxmlformats.org/officeDocument/2006/relationships/hyperlink" Target="https://similac.ca/en/products/similac-simply-nurture" TargetMode="External"/><Relationship Id="rId16" Type="http://schemas.openxmlformats.org/officeDocument/2006/relationships/hyperlink" Target="https://www.enfamil.ca/products/enfamil-gentlease" TargetMode="External"/><Relationship Id="rId20" Type="http://schemas.openxmlformats.org/officeDocument/2006/relationships/hyperlink" Target="https://www.enfamil.ca/products/enfamil-a-soy" TargetMode="External"/><Relationship Id="rId29" Type="http://schemas.openxmlformats.org/officeDocument/2006/relationships/hyperlink" Target="https://www.nestlebaby.ca/en/good-start-soothe" TargetMode="External"/><Relationship Id="rId1" Type="http://schemas.openxmlformats.org/officeDocument/2006/relationships/hyperlink" Target="https://similac.ca/en/baby-formula/pro-advance-step-1" TargetMode="External"/><Relationship Id="rId6" Type="http://schemas.openxmlformats.org/officeDocument/2006/relationships/hyperlink" Target="https://similac.ca/en/products/similac-total-comfort" TargetMode="External"/><Relationship Id="rId11" Type="http://schemas.openxmlformats.org/officeDocument/2006/relationships/hyperlink" Target="https://similac.ca/en/baby-formula/pro-advance-step-2" TargetMode="External"/><Relationship Id="rId24" Type="http://schemas.openxmlformats.org/officeDocument/2006/relationships/hyperlink" Target="https://www.enfamil.ca/products/pregestimil-a" TargetMode="External"/><Relationship Id="rId32" Type="http://schemas.openxmlformats.org/officeDocument/2006/relationships/hyperlink" Target="https://www.nestlebaby.ca/en/good-grow-toddler-powder-milk-flavour" TargetMode="External"/><Relationship Id="rId5" Type="http://schemas.openxmlformats.org/officeDocument/2006/relationships/hyperlink" Target="https://similac.ca/en/products/similac-lower-iron" TargetMode="External"/><Relationship Id="rId15" Type="http://schemas.openxmlformats.org/officeDocument/2006/relationships/hyperlink" Target="https://www.enfamil.ca/products/enfamil-a" TargetMode="External"/><Relationship Id="rId23" Type="http://schemas.openxmlformats.org/officeDocument/2006/relationships/hyperlink" Target="https://www.enfamil.ca/products/puramino-a-junior" TargetMode="External"/><Relationship Id="rId28" Type="http://schemas.openxmlformats.org/officeDocument/2006/relationships/hyperlink" Target="https://www.enfamil.ca/products/enfamil-2" TargetMode="External"/><Relationship Id="rId36" Type="http://schemas.openxmlformats.org/officeDocument/2006/relationships/table" Target="../tables/table21.xml"/><Relationship Id="rId10" Type="http://schemas.openxmlformats.org/officeDocument/2006/relationships/hyperlink" Target="https://similac.ca/en/products/similac-neosure" TargetMode="External"/><Relationship Id="rId19" Type="http://schemas.openxmlformats.org/officeDocument/2006/relationships/hyperlink" Target="https://www.enfamil.ca/products/enfamil-a-for-feeding-babies-who-frequently-spit-up" TargetMode="External"/><Relationship Id="rId31" Type="http://schemas.openxmlformats.org/officeDocument/2006/relationships/hyperlink" Target="https://www.nestlebaby.ca/en/good-start-stage-2-baby-formula" TargetMode="External"/><Relationship Id="rId4" Type="http://schemas.openxmlformats.org/officeDocument/2006/relationships/hyperlink" Target="https://similac.ca/en/products/similac-iron-fortified" TargetMode="External"/><Relationship Id="rId9" Type="http://schemas.openxmlformats.org/officeDocument/2006/relationships/hyperlink" Target="https://similac.ca/en/products/similac-isomil-with-dha" TargetMode="External"/><Relationship Id="rId14" Type="http://schemas.openxmlformats.org/officeDocument/2006/relationships/hyperlink" Target="https://similac.ca/en/products/similac-go-grow" TargetMode="External"/><Relationship Id="rId22" Type="http://schemas.openxmlformats.org/officeDocument/2006/relationships/hyperlink" Target="https://www.enfamil.ca/products/puramino-a" TargetMode="External"/><Relationship Id="rId27" Type="http://schemas.openxmlformats.org/officeDocument/2006/relationships/hyperlink" Target="https://www.enfamil.ca/products/enfamil-lower-iron" TargetMode="External"/><Relationship Id="rId30" Type="http://schemas.openxmlformats.org/officeDocument/2006/relationships/hyperlink" Target="https://www.nestlebaby.ca/en/nestle-good-start-stage-1-baby-formula" TargetMode="External"/><Relationship Id="rId35" Type="http://schemas.openxmlformats.org/officeDocument/2006/relationships/printerSettings" Target="../printerSettings/printerSettings47.bin"/><Relationship Id="rId8" Type="http://schemas.openxmlformats.org/officeDocument/2006/relationships/hyperlink" Target="https://similac.ca/en/products/similac-alimentum" TargetMode="Externa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49.xml.rels><?xml version="1.0" encoding="UTF-8" standalone="yes"?>
<Relationships xmlns="http://schemas.openxmlformats.org/package/2006/relationships"><Relationship Id="rId8" Type="http://schemas.openxmlformats.org/officeDocument/2006/relationships/hyperlink" Target="https://www.boost.com/products/women" TargetMode="External"/><Relationship Id="rId13" Type="http://schemas.openxmlformats.org/officeDocument/2006/relationships/hyperlink" Target="https://www.boost.com/products/boost-pudding" TargetMode="External"/><Relationship Id="rId18" Type="http://schemas.openxmlformats.org/officeDocument/2006/relationships/hyperlink" Target="https://ensure.ca/en/ensure-protein-max" TargetMode="External"/><Relationship Id="rId26" Type="http://schemas.openxmlformats.org/officeDocument/2006/relationships/hyperlink" Target="https://slimfast.ca/products/original/" TargetMode="External"/><Relationship Id="rId3" Type="http://schemas.openxmlformats.org/officeDocument/2006/relationships/hyperlink" Target="https://www.boost.com/products/plus" TargetMode="External"/><Relationship Id="rId21" Type="http://schemas.openxmlformats.org/officeDocument/2006/relationships/hyperlink" Target="https://glucerna.ca/en/products" TargetMode="External"/><Relationship Id="rId7" Type="http://schemas.openxmlformats.org/officeDocument/2006/relationships/hyperlink" Target="https://www.boost.com/products/mobility" TargetMode="External"/><Relationship Id="rId12" Type="http://schemas.openxmlformats.org/officeDocument/2006/relationships/hyperlink" Target="https://www.boost.com/products/high-protein-powder" TargetMode="External"/><Relationship Id="rId17" Type="http://schemas.openxmlformats.org/officeDocument/2006/relationships/hyperlink" Target="https://ensure.ca/en/ensure-high-protein-16g" TargetMode="External"/><Relationship Id="rId25" Type="http://schemas.openxmlformats.org/officeDocument/2006/relationships/hyperlink" Target="https://slimfast.ca/products/original/" TargetMode="External"/><Relationship Id="rId2" Type="http://schemas.openxmlformats.org/officeDocument/2006/relationships/hyperlink" Target="https://www.boost.com/products/high-protein" TargetMode="External"/><Relationship Id="rId16" Type="http://schemas.openxmlformats.org/officeDocument/2006/relationships/hyperlink" Target="https://ensure.ca/en/ensure-regular" TargetMode="External"/><Relationship Id="rId20" Type="http://schemas.openxmlformats.org/officeDocument/2006/relationships/hyperlink" Target="https://ensure.ca/en/ensure-scfos-fibre" TargetMode="External"/><Relationship Id="rId29" Type="http://schemas.openxmlformats.org/officeDocument/2006/relationships/hyperlink" Target="https://slimfast.ca/products/bake-shop/" TargetMode="External"/><Relationship Id="rId1" Type="http://schemas.openxmlformats.org/officeDocument/2006/relationships/hyperlink" Target="https://www.boost.com/products/original" TargetMode="External"/><Relationship Id="rId6" Type="http://schemas.openxmlformats.org/officeDocument/2006/relationships/hyperlink" Target="https://www.boost.com/products/max-protein-drink" TargetMode="External"/><Relationship Id="rId11" Type="http://schemas.openxmlformats.org/officeDocument/2006/relationships/hyperlink" Target="https://www.boost.com/products/glucose-control-high-protein" TargetMode="External"/><Relationship Id="rId24" Type="http://schemas.openxmlformats.org/officeDocument/2006/relationships/hyperlink" Target="https://slimfast.ca/products/original/" TargetMode="External"/><Relationship Id="rId32" Type="http://schemas.openxmlformats.org/officeDocument/2006/relationships/table" Target="../tables/table22.xml"/><Relationship Id="rId5" Type="http://schemas.openxmlformats.org/officeDocument/2006/relationships/hyperlink" Target="https://www.boost.com/products/glucose-control" TargetMode="External"/><Relationship Id="rId15" Type="http://schemas.openxmlformats.org/officeDocument/2006/relationships/hyperlink" Target="https://ensure.ca/en/ensure-high-protein" TargetMode="External"/><Relationship Id="rId23" Type="http://schemas.openxmlformats.org/officeDocument/2006/relationships/hyperlink" Target="https://slimfast.ca/products/original/" TargetMode="External"/><Relationship Id="rId28" Type="http://schemas.openxmlformats.org/officeDocument/2006/relationships/hyperlink" Target="https://slimfast.ca/products/keto/" TargetMode="External"/><Relationship Id="rId10" Type="http://schemas.openxmlformats.org/officeDocument/2006/relationships/hyperlink" Target="https://www.boost.com/products/breeze" TargetMode="External"/><Relationship Id="rId19" Type="http://schemas.openxmlformats.org/officeDocument/2006/relationships/hyperlink" Target="https://ensure.ca/en/ensure-plus-calories" TargetMode="External"/><Relationship Id="rId31" Type="http://schemas.openxmlformats.org/officeDocument/2006/relationships/printerSettings" Target="../printerSettings/printerSettings48.bin"/><Relationship Id="rId4" Type="http://schemas.openxmlformats.org/officeDocument/2006/relationships/hyperlink" Target="https://www.boost.com/products/very-high-calorie" TargetMode="External"/><Relationship Id="rId9" Type="http://schemas.openxmlformats.org/officeDocument/2006/relationships/hyperlink" Target="https://www.boost.com/products/men" TargetMode="External"/><Relationship Id="rId14" Type="http://schemas.openxmlformats.org/officeDocument/2006/relationships/hyperlink" Target="https://www.boost.com/products/boost-soothe" TargetMode="External"/><Relationship Id="rId22" Type="http://schemas.openxmlformats.org/officeDocument/2006/relationships/hyperlink" Target="https://glucerna.ca/en/products" TargetMode="External"/><Relationship Id="rId27" Type="http://schemas.openxmlformats.org/officeDocument/2006/relationships/hyperlink" Target="https://slimfast.ca/products/keto/" TargetMode="External"/><Relationship Id="rId30" Type="http://schemas.openxmlformats.org/officeDocument/2006/relationships/hyperlink" Target="https://pediasure.ca/en/products"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preparationh.com/products/rapid-relief-with-lidocaine-cream/" TargetMode="External"/><Relationship Id="rId13" Type="http://schemas.openxmlformats.org/officeDocument/2006/relationships/hyperlink" Target="https://www.preparationh.com/products/anti-itch-hydrocortisone/" TargetMode="External"/><Relationship Id="rId18" Type="http://schemas.openxmlformats.org/officeDocument/2006/relationships/hyperlink" Target="https://hemovel.com/" TargetMode="External"/><Relationship Id="rId3" Type="http://schemas.openxmlformats.org/officeDocument/2006/relationships/hyperlink" Target="https://anusol.ca/en/product/anusol-cleansing-wipes" TargetMode="External"/><Relationship Id="rId21" Type="http://schemas.openxmlformats.org/officeDocument/2006/relationships/printerSettings" Target="../printerSettings/printerSettings5.bin"/><Relationship Id="rId7" Type="http://schemas.openxmlformats.org/officeDocument/2006/relationships/hyperlink" Target="https://www.preparationh.com/products/soothing-relief-anti-itch-cream/" TargetMode="External"/><Relationship Id="rId12" Type="http://schemas.openxmlformats.org/officeDocument/2006/relationships/hyperlink" Target="https://www.preparationh.com/products/cooling-gel/" TargetMode="External"/><Relationship Id="rId17" Type="http://schemas.openxmlformats.org/officeDocument/2006/relationships/hyperlink" Target="https://www.preparationh.com/products/preparation-h-medicated-wipes-women/" TargetMode="External"/><Relationship Id="rId2" Type="http://schemas.openxmlformats.org/officeDocument/2006/relationships/hyperlink" Target="https://anusol.ca/en/product/anusol-ointment" TargetMode="External"/><Relationship Id="rId16" Type="http://schemas.openxmlformats.org/officeDocument/2006/relationships/hyperlink" Target="https://www.preparationh.com/products/medicated-portable-wipes/" TargetMode="External"/><Relationship Id="rId20" Type="http://schemas.openxmlformats.org/officeDocument/2006/relationships/hyperlink" Target="https://www.tucksbrand.com/products/medicated-cooling-pads/" TargetMode="External"/><Relationship Id="rId1" Type="http://schemas.openxmlformats.org/officeDocument/2006/relationships/hyperlink" Target="https://anusol.ca/en/product/anusol-plus-ointment" TargetMode="External"/><Relationship Id="rId6" Type="http://schemas.openxmlformats.org/officeDocument/2006/relationships/hyperlink" Target="https://www.preparationh.com/products/soothing-relief-cleansing-cooling-wipes/" TargetMode="External"/><Relationship Id="rId11" Type="http://schemas.openxmlformats.org/officeDocument/2006/relationships/hyperlink" Target="https://www.preparationh.com/products/cream-with-maximum-strength-pain-relief/" TargetMode="External"/><Relationship Id="rId5" Type="http://schemas.openxmlformats.org/officeDocument/2006/relationships/hyperlink" Target="https://anusol.ca/en/product/anusol-suppository" TargetMode="External"/><Relationship Id="rId15" Type="http://schemas.openxmlformats.org/officeDocument/2006/relationships/hyperlink" Target="https://www.preparationh.com/products/totables/" TargetMode="External"/><Relationship Id="rId10" Type="http://schemas.openxmlformats.org/officeDocument/2006/relationships/hyperlink" Target="https://www.preparationh.com/products/ointment/" TargetMode="External"/><Relationship Id="rId19" Type="http://schemas.openxmlformats.org/officeDocument/2006/relationships/hyperlink" Target="https://venixxa.ca/hemorrhoids/" TargetMode="External"/><Relationship Id="rId4" Type="http://schemas.openxmlformats.org/officeDocument/2006/relationships/hyperlink" Target="https://anusol.ca/en/product/anusol-plus-suppository" TargetMode="External"/><Relationship Id="rId9" Type="http://schemas.openxmlformats.org/officeDocument/2006/relationships/hyperlink" Target="https://www.preparationh.com/products/rapid-relief-wipes/" TargetMode="External"/><Relationship Id="rId14" Type="http://schemas.openxmlformats.org/officeDocument/2006/relationships/hyperlink" Target="https://www.preparationh.com/products/suppositories/" TargetMode="External"/></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6" Type="http://schemas.openxmlformats.org/officeDocument/2006/relationships/hyperlink" Target="https://www.tena.ca/small-briefs/6610066100,en_CA,pd.html" TargetMode="External"/><Relationship Id="rId117" Type="http://schemas.openxmlformats.org/officeDocument/2006/relationships/hyperlink" Target="https://www.prevail.com/products/unisex/per-fit360" TargetMode="External"/><Relationship Id="rId21" Type="http://schemas.openxmlformats.org/officeDocument/2006/relationships/hyperlink" Target="https://www.tena.ca/ultimate-underwear/7213172231,en_CA,pd.html" TargetMode="External"/><Relationship Id="rId42" Type="http://schemas.openxmlformats.org/officeDocument/2006/relationships/hyperlink" Target="https://www.poise.com/en-ca/products/pads-liners/active/light" TargetMode="External"/><Relationship Id="rId47" Type="http://schemas.openxmlformats.org/officeDocument/2006/relationships/hyperlink" Target="https://www.poise.com/en-ca/products/pads-liners/active/moderate" TargetMode="External"/><Relationship Id="rId63" Type="http://schemas.openxmlformats.org/officeDocument/2006/relationships/hyperlink" Target="https://alwaysdiscreet.com/en-us/incontinence-products/incontinence-pads/ultimate-pads-long" TargetMode="External"/><Relationship Id="rId68" Type="http://schemas.openxmlformats.org/officeDocument/2006/relationships/hyperlink" Target="https://alwaysdiscreet.com/en-us/incontinence-products/incontinence-underwear/overnight-maximum-underwear-small-medium" TargetMode="External"/><Relationship Id="rId84" Type="http://schemas.openxmlformats.org/officeDocument/2006/relationships/hyperlink" Target="https://attends.com/br-attends-care-poly-briefs" TargetMode="External"/><Relationship Id="rId89" Type="http://schemas.openxmlformats.org/officeDocument/2006/relationships/hyperlink" Target="https://attends.com/au-attends-bariatric-underwear" TargetMode="External"/><Relationship Id="rId112" Type="http://schemas.openxmlformats.org/officeDocument/2006/relationships/hyperlink" Target="https://www.prevail.com/products/female/for-women-overnight-underwear" TargetMode="External"/><Relationship Id="rId16" Type="http://schemas.openxmlformats.org/officeDocument/2006/relationships/hyperlink" Target="https://www.tena.ca/overnight-underwear/7221272311,en_CA,pd.html" TargetMode="External"/><Relationship Id="rId107" Type="http://schemas.openxmlformats.org/officeDocument/2006/relationships/hyperlink" Target="https://www.prevail.com/products/female/bladder-control-pad-maximum" TargetMode="External"/><Relationship Id="rId11" Type="http://schemas.openxmlformats.org/officeDocument/2006/relationships/hyperlink" Target="https://www.tena.ca/pads-moderate-aloe-vera-long/4160080600,en_CA,pd.html" TargetMode="External"/><Relationship Id="rId32" Type="http://schemas.openxmlformats.org/officeDocument/2006/relationships/hyperlink" Target="https://www.depend.com/en-ca/incontinence-products/women/silhouette-classic-underwear" TargetMode="External"/><Relationship Id="rId37" Type="http://schemas.openxmlformats.org/officeDocument/2006/relationships/hyperlink" Target="https://www.depend.com/en-ca/incontinence-products/men/real-fit-briefs" TargetMode="External"/><Relationship Id="rId53" Type="http://schemas.openxmlformats.org/officeDocument/2006/relationships/hyperlink" Target="https://www.poise.com/en-ca/products/pads-liners/overnight-pads/ultimate" TargetMode="External"/><Relationship Id="rId58" Type="http://schemas.openxmlformats.org/officeDocument/2006/relationships/hyperlink" Target="https://alwaysdiscreet.com/en-us/incontinence-products/incontinence-pads/moderate-pads-regular" TargetMode="External"/><Relationship Id="rId74" Type="http://schemas.openxmlformats.org/officeDocument/2006/relationships/hyperlink" Target="https://alwaysdiscreet.com/en-us/incontinence-products/boutique-maximum-protective-incontinence-underwear/maximum-protective-underwear-small-medium" TargetMode="External"/><Relationship Id="rId79" Type="http://schemas.openxmlformats.org/officeDocument/2006/relationships/hyperlink" Target="https://attends.com/ddc-attends-advanced-briefs" TargetMode="External"/><Relationship Id="rId102" Type="http://schemas.openxmlformats.org/officeDocument/2006/relationships/hyperlink" Target="https://attends.com/adpult-attends-discreet-women's-ultimate-pads" TargetMode="External"/><Relationship Id="rId123" Type="http://schemas.openxmlformats.org/officeDocument/2006/relationships/table" Target="../tables/table23.xml"/><Relationship Id="rId5" Type="http://schemas.openxmlformats.org/officeDocument/2006/relationships/hyperlink" Target="https://www.tena.ca/Moderate-Thin-pads-long/5207052070,en_CA,pd.html" TargetMode="External"/><Relationship Id="rId90" Type="http://schemas.openxmlformats.org/officeDocument/2006/relationships/hyperlink" Target="https://attends.com/bu-" TargetMode="External"/><Relationship Id="rId95" Type="http://schemas.openxmlformats.org/officeDocument/2006/relationships/hyperlink" Target="https://attends.com/ap0-attends-underwear" TargetMode="External"/><Relationship Id="rId22" Type="http://schemas.openxmlformats.org/officeDocument/2006/relationships/hyperlink" Target="https://www.tena.ca/men-comfort-fit-underwear/8178081920,en_CA,pd.html" TargetMode="External"/><Relationship Id="rId27" Type="http://schemas.openxmlformats.org/officeDocument/2006/relationships/hyperlink" Target="https://www.tena.ca/ultra-briefs/6720067300,en_CA,pd.html" TargetMode="External"/><Relationship Id="rId43" Type="http://schemas.openxmlformats.org/officeDocument/2006/relationships/hyperlink" Target="https://www.poise.com/en-ca/products/pads-liners/thin-shape-pads/light" TargetMode="External"/><Relationship Id="rId48" Type="http://schemas.openxmlformats.org/officeDocument/2006/relationships/hyperlink" Target="https://www.poise.com/en-ca/products/pads-liners/thin-shape-pads/maximum" TargetMode="External"/><Relationship Id="rId64" Type="http://schemas.openxmlformats.org/officeDocument/2006/relationships/hyperlink" Target="https://alwaysdiscreet.com/en-us/incontinence-products/incontinence-underwear/maximum-protection-underwear-small-medium" TargetMode="External"/><Relationship Id="rId69" Type="http://schemas.openxmlformats.org/officeDocument/2006/relationships/hyperlink" Target="https://alwaysdiscreet.com/en-us/incontinence-products/incontinence-underwear/overnight-maximum-underwear-large" TargetMode="External"/><Relationship Id="rId113" Type="http://schemas.openxmlformats.org/officeDocument/2006/relationships/hyperlink" Target="https://www.prevail.com/products/male/male-guards" TargetMode="External"/><Relationship Id="rId118" Type="http://schemas.openxmlformats.org/officeDocument/2006/relationships/hyperlink" Target="https://www.prevail.com/products/unisex/air-stretchable-brief" TargetMode="External"/><Relationship Id="rId80" Type="http://schemas.openxmlformats.org/officeDocument/2006/relationships/hyperlink" Target="https://attends.com/app-attends-underwear" TargetMode="External"/><Relationship Id="rId85" Type="http://schemas.openxmlformats.org/officeDocument/2006/relationships/hyperlink" Target="https://attends.com/brb-attends-classic-briefs" TargetMode="External"/><Relationship Id="rId12" Type="http://schemas.openxmlformats.org/officeDocument/2006/relationships/hyperlink" Target="https://www.tena.ca/tena-men-protective-shield/5073050730,en_CA,pd.html" TargetMode="External"/><Relationship Id="rId17" Type="http://schemas.openxmlformats.org/officeDocument/2006/relationships/hyperlink" Target="https://www.tena.ca/ultimate-underwear/7213172231,en_CA,pd.html" TargetMode="External"/><Relationship Id="rId33" Type="http://schemas.openxmlformats.org/officeDocument/2006/relationships/hyperlink" Target="https://www.depend.com/en-ca/incontinence-products/women/silhouette-expression-underwear" TargetMode="External"/><Relationship Id="rId38" Type="http://schemas.openxmlformats.org/officeDocument/2006/relationships/hyperlink" Target="https://www.depend.com/en-ca/incontinence-products/men/fit-flex-underwear" TargetMode="External"/><Relationship Id="rId59" Type="http://schemas.openxmlformats.org/officeDocument/2006/relationships/hyperlink" Target="https://alwaysdiscreet.com/en-us/incontinence-products/incontinence-pads/moderate-pads-long" TargetMode="External"/><Relationship Id="rId103" Type="http://schemas.openxmlformats.org/officeDocument/2006/relationships/hyperlink" Target="https://attends.com/adpthin-attends-discreet-women's-ultra-thin-pads" TargetMode="External"/><Relationship Id="rId108" Type="http://schemas.openxmlformats.org/officeDocument/2006/relationships/hyperlink" Target="https://www.prevail.com/products/female/bladder-control-pad-ultimate" TargetMode="External"/><Relationship Id="rId54" Type="http://schemas.openxmlformats.org/officeDocument/2006/relationships/hyperlink" Target="https://alwaysdiscreet.com/en-us/incontinence-products/incontinence-liners/lightest-short-liners" TargetMode="External"/><Relationship Id="rId70" Type="http://schemas.openxmlformats.org/officeDocument/2006/relationships/hyperlink" Target="https://alwaysdiscreet.com/en-us/incontinence-products/boutique-maximum-protective-incontinence-underwear/always-discreet-boutique-incontinence-liners-very-light" TargetMode="External"/><Relationship Id="rId75" Type="http://schemas.openxmlformats.org/officeDocument/2006/relationships/hyperlink" Target="https://alwaysdiscreet.com/en-us/incontinence-products/boutique-maximum-protective-incontinence-underwear/maximum-protective-underwear-large" TargetMode="External"/><Relationship Id="rId91" Type="http://schemas.openxmlformats.org/officeDocument/2006/relationships/hyperlink" Target="https://attends.com/adum-attends-discreet-men's-underwear" TargetMode="External"/><Relationship Id="rId96" Type="http://schemas.openxmlformats.org/officeDocument/2006/relationships/hyperlink" Target="https://attends.com/mg-attends-guards-for-men" TargetMode="External"/><Relationship Id="rId1" Type="http://schemas.openxmlformats.org/officeDocument/2006/relationships/hyperlink" Target="https://www.tena.ca/very-light-liners-long/5640064900,en_CA,pd.html" TargetMode="External"/><Relationship Id="rId6" Type="http://schemas.openxmlformats.org/officeDocument/2006/relationships/hyperlink" Target="https://www.tena.ca/intimates-overnight-pads/5740057400,en_CA,pd.html" TargetMode="External"/><Relationship Id="rId23" Type="http://schemas.openxmlformats.org/officeDocument/2006/relationships/hyperlink" Target="https://www.tena.ca/TENA-Proskin-Maximum-Absorbency-Underwear-for-Men/7352073530,en_CA,pd.html" TargetMode="External"/><Relationship Id="rId28" Type="http://schemas.openxmlformats.org/officeDocument/2006/relationships/hyperlink" Target="https://www.tena.ca/super-briefs/5660056800,en_CA,pd.html" TargetMode="External"/><Relationship Id="rId49" Type="http://schemas.openxmlformats.org/officeDocument/2006/relationships/hyperlink" Target="https://www.poise.com/en-ca/products/pads-liners/pads/maximum" TargetMode="External"/><Relationship Id="rId114" Type="http://schemas.openxmlformats.org/officeDocument/2006/relationships/hyperlink" Target="https://www.prevail.com/products/male/per-fit-men" TargetMode="External"/><Relationship Id="rId119" Type="http://schemas.openxmlformats.org/officeDocument/2006/relationships/hyperlink" Target="https://www.prevail.com/products/unisex/breezers360" TargetMode="External"/><Relationship Id="rId44" Type="http://schemas.openxmlformats.org/officeDocument/2006/relationships/hyperlink" Target="https://www.poise.com/en-ca/products/pads-liners/pads/light" TargetMode="External"/><Relationship Id="rId60" Type="http://schemas.openxmlformats.org/officeDocument/2006/relationships/hyperlink" Target="https://alwaysdiscreet.com/en-us/incontinence-products/incontinence-pads/maximum-pads-regular" TargetMode="External"/><Relationship Id="rId65" Type="http://schemas.openxmlformats.org/officeDocument/2006/relationships/hyperlink" Target="https://alwaysdiscreet.com/en-us/incontinence-products/incontinence-underwear/maximum-protection-underwear-large" TargetMode="External"/><Relationship Id="rId81" Type="http://schemas.openxmlformats.org/officeDocument/2006/relationships/hyperlink" Target="https://attends.com/dd-attends-bariatric-briefs" TargetMode="External"/><Relationship Id="rId86" Type="http://schemas.openxmlformats.org/officeDocument/2006/relationships/hyperlink" Target="https://attends.com/ali-br-attends-premier-briefs" TargetMode="External"/><Relationship Id="rId4" Type="http://schemas.openxmlformats.org/officeDocument/2006/relationships/hyperlink" Target="https://www.tena.ca/active-ultra-thin-pads-long/5434454344,en_CA,pd.html" TargetMode="External"/><Relationship Id="rId9" Type="http://schemas.openxmlformats.org/officeDocument/2006/relationships/hyperlink" Target="https://www.tena.ca/intimates-ultimate-pads/5000049700,en_CA,pd.html" TargetMode="External"/><Relationship Id="rId13" Type="http://schemas.openxmlformats.org/officeDocument/2006/relationships/hyperlink" Target="https://www.tena.ca/men-protective-guards-lvl-1/750651750651,en_CA,pd.html" TargetMode="External"/><Relationship Id="rId18" Type="http://schemas.openxmlformats.org/officeDocument/2006/relationships/hyperlink" Target="https://www.tena.ca/stylish-underwear/5414254143,en_CA,pd.html" TargetMode="External"/><Relationship Id="rId39" Type="http://schemas.openxmlformats.org/officeDocument/2006/relationships/hyperlink" Target="https://www.depend.com/en-ca/incontinence-products/unisex-and-bed-protectors/protection-with-tabs" TargetMode="External"/><Relationship Id="rId109" Type="http://schemas.openxmlformats.org/officeDocument/2006/relationships/hyperlink" Target="https://www.prevail.com/products/female/bladder-control-pad-overnight" TargetMode="External"/><Relationship Id="rId34" Type="http://schemas.openxmlformats.org/officeDocument/2006/relationships/hyperlink" Target="https://www.depend.com/en-ca/incontinence-products/women/night-defense-underwear" TargetMode="External"/><Relationship Id="rId50" Type="http://schemas.openxmlformats.org/officeDocument/2006/relationships/hyperlink" Target="https://www.poise.com/en-ca/products/pads-liners/active/maximum" TargetMode="External"/><Relationship Id="rId55" Type="http://schemas.openxmlformats.org/officeDocument/2006/relationships/hyperlink" Target="https://alwaysdiscreet.com/en-us/incontinence-products/incontinence-liners/regular-very-light-incontinence-panty-liners" TargetMode="External"/><Relationship Id="rId76" Type="http://schemas.openxmlformats.org/officeDocument/2006/relationships/hyperlink" Target="https://alwaysdiscreet.com/en-us/incontinence-products/boutique-maximum-protective-incontinence-underwear/incontinence-underwear-maximum-protection-peach-xl" TargetMode="External"/><Relationship Id="rId97" Type="http://schemas.openxmlformats.org/officeDocument/2006/relationships/hyperlink" Target="https://attends.com/admg-attends-discreet-men's-male-guards" TargetMode="External"/><Relationship Id="rId104" Type="http://schemas.openxmlformats.org/officeDocument/2006/relationships/hyperlink" Target="https://www.prevail.com/products/female/pantiliner" TargetMode="External"/><Relationship Id="rId120" Type="http://schemas.openxmlformats.org/officeDocument/2006/relationships/hyperlink" Target="https://www.prevail.com/products/unisex/specialty-sizes" TargetMode="External"/><Relationship Id="rId7" Type="http://schemas.openxmlformats.org/officeDocument/2006/relationships/hyperlink" Target="https://www.tena.ca/pads-moderate-reg/4130039748,en_CA,pd.html" TargetMode="External"/><Relationship Id="rId71" Type="http://schemas.openxmlformats.org/officeDocument/2006/relationships/hyperlink" Target="https://alwaysdiscreet.com/en-us/incontinence-products/shop-all-categories/always-discreet-boutique-incontinence-pads-moderate-absorbency-regular-length" TargetMode="External"/><Relationship Id="rId92" Type="http://schemas.openxmlformats.org/officeDocument/2006/relationships/hyperlink" Target="https://attends.com/aduf-attends-discreet-women's-underwear" TargetMode="External"/><Relationship Id="rId2" Type="http://schemas.openxmlformats.org/officeDocument/2006/relationships/hyperlink" Target="https://www.tena.ca/very-light-liners-regular/5630064800,en_CA,pd.html" TargetMode="External"/><Relationship Id="rId29" Type="http://schemas.openxmlformats.org/officeDocument/2006/relationships/hyperlink" Target="https://www.tena.ca/bariatric-briefs/6138561385,en_CA,pd.html" TargetMode="External"/><Relationship Id="rId24" Type="http://schemas.openxmlformats.org/officeDocument/2006/relationships/hyperlink" Target="https://www.tena.ca/stretch-ultra-briefs/6780267803,en_CA,pd.html" TargetMode="External"/><Relationship Id="rId40" Type="http://schemas.openxmlformats.org/officeDocument/2006/relationships/hyperlink" Target="https://www.poise.com/en-ca/products/pads-liners/microliners" TargetMode="External"/><Relationship Id="rId45" Type="http://schemas.openxmlformats.org/officeDocument/2006/relationships/hyperlink" Target="https://www.poise.com/en-ca/products/pads-liners/thin-shape-pads/moderate" TargetMode="External"/><Relationship Id="rId66" Type="http://schemas.openxmlformats.org/officeDocument/2006/relationships/hyperlink" Target="https://alwaysdiscreet.com/en-us/incontinence-products/incontinence-underwear/maximum-protection-underwear-extra-large" TargetMode="External"/><Relationship Id="rId87" Type="http://schemas.openxmlformats.org/officeDocument/2006/relationships/hyperlink" Target="https://attends.com/dds-attends-stretch-briefs" TargetMode="External"/><Relationship Id="rId110" Type="http://schemas.openxmlformats.org/officeDocument/2006/relationships/hyperlink" Target="https://www.prevail.com/products/female/per-fit-women" TargetMode="External"/><Relationship Id="rId115" Type="http://schemas.openxmlformats.org/officeDocument/2006/relationships/hyperlink" Target="https://www.prevail.com/products/male/underwear-for-men" TargetMode="External"/><Relationship Id="rId61" Type="http://schemas.openxmlformats.org/officeDocument/2006/relationships/hyperlink" Target="https://alwaysdiscreet.com/en-us/incontinence-products/incontinence-pads/maximum-pads-long" TargetMode="External"/><Relationship Id="rId82" Type="http://schemas.openxmlformats.org/officeDocument/2006/relationships/hyperlink" Target="https://attends.com/dda-attends-briefs" TargetMode="External"/><Relationship Id="rId19" Type="http://schemas.openxmlformats.org/officeDocument/2006/relationships/hyperlink" Target="https://www.tena.ca/TENA-Proskin-Maximum-Absorbency-Underwear-for-Women/7302073030,en_CA,pd.html" TargetMode="External"/><Relationship Id="rId14" Type="http://schemas.openxmlformats.org/officeDocument/2006/relationships/hyperlink" Target="https://www.tena.ca/men-protective-guards/5070052700,en_CA,pd.html" TargetMode="External"/><Relationship Id="rId30" Type="http://schemas.openxmlformats.org/officeDocument/2006/relationships/hyperlink" Target="https://www.tena.ca/stretch-super-briefs/6790267903,en_CA,pd.html" TargetMode="External"/><Relationship Id="rId35" Type="http://schemas.openxmlformats.org/officeDocument/2006/relationships/hyperlink" Target="https://www.depend.com/en-ca/incontinence-products/men/shields-for-men" TargetMode="External"/><Relationship Id="rId56" Type="http://schemas.openxmlformats.org/officeDocument/2006/relationships/hyperlink" Target="https://alwaysdiscreet.com/en-us/incontinence-products/incontinence-liners/long-very-light-incontinence-panty-liners" TargetMode="External"/><Relationship Id="rId77" Type="http://schemas.openxmlformats.org/officeDocument/2006/relationships/hyperlink" Target="https://alwaysdiscreet.com/en-us/incontinence-products/boutique-maximum-protective-incontinence-underwear/boutique-incontinence-and-postpartum-underwear-maximum-protection-small-medium" TargetMode="External"/><Relationship Id="rId100" Type="http://schemas.openxmlformats.org/officeDocument/2006/relationships/hyperlink" Target="https://attends.com/adpmax-attends-discreet-women's-maximum-pads" TargetMode="External"/><Relationship Id="rId105" Type="http://schemas.openxmlformats.org/officeDocument/2006/relationships/hyperlink" Target="https://www.prevail.com/products/female/bladder-control-pad-light" TargetMode="External"/><Relationship Id="rId8" Type="http://schemas.openxmlformats.org/officeDocument/2006/relationships/hyperlink" Target="https://www.tena.ca/pads-moderate-long/3975946900,en_CA,pd.html" TargetMode="External"/><Relationship Id="rId51" Type="http://schemas.openxmlformats.org/officeDocument/2006/relationships/hyperlink" Target="https://www.poise.com/en-ca/products/pads-liners/thin-shape-pads/ultimate" TargetMode="External"/><Relationship Id="rId72" Type="http://schemas.openxmlformats.org/officeDocument/2006/relationships/hyperlink" Target="https://alwaysdiscreet.com/en-us/incontinence-products/shop-all-categories/always-discreet-boutique-incontinence-pads-heavy-long-length" TargetMode="External"/><Relationship Id="rId93" Type="http://schemas.openxmlformats.org/officeDocument/2006/relationships/hyperlink" Target="https://attends.com/appnt-attends-overnight-underwear" TargetMode="External"/><Relationship Id="rId98" Type="http://schemas.openxmlformats.org/officeDocument/2006/relationships/hyperlink" Target="https://attends.com/adms-attends-discreet-men's-male-shields" TargetMode="External"/><Relationship Id="rId121" Type="http://schemas.openxmlformats.org/officeDocument/2006/relationships/hyperlink" Target="https://www.prevail.com/products/unisex/air-overnight-brief" TargetMode="External"/><Relationship Id="rId3" Type="http://schemas.openxmlformats.org/officeDocument/2006/relationships/hyperlink" Target="https://www.tena.ca/intimates-ultra-thin-pads-reg/4650045100,en_CA,pd.html" TargetMode="External"/><Relationship Id="rId25" Type="http://schemas.openxmlformats.org/officeDocument/2006/relationships/hyperlink" Target="https://www.tena.ca/super-briefs/6740167501,en_CA,pd.html" TargetMode="External"/><Relationship Id="rId46" Type="http://schemas.openxmlformats.org/officeDocument/2006/relationships/hyperlink" Target="https://www.poise.com/en-ca/products/pads-liners/pads/moderate" TargetMode="External"/><Relationship Id="rId67" Type="http://schemas.openxmlformats.org/officeDocument/2006/relationships/hyperlink" Target="https://alwaysdiscreet.com/en-us/incontinence-products/incontinence-underwear/maximum-protection-underwear-xxl" TargetMode="External"/><Relationship Id="rId116" Type="http://schemas.openxmlformats.org/officeDocument/2006/relationships/hyperlink" Target="https://www.prevail.com/products/male/for-men-overnight-underwear" TargetMode="External"/><Relationship Id="rId20" Type="http://schemas.openxmlformats.org/officeDocument/2006/relationships/hyperlink" Target="https://www.tena.ca/women-super-plus-underwear-heavy-absorbency/5428554286,en_CA,pd.html" TargetMode="External"/><Relationship Id="rId41" Type="http://schemas.openxmlformats.org/officeDocument/2006/relationships/hyperlink" Target="https://www.poise.com/en-ca/products/pads-liners/liners" TargetMode="External"/><Relationship Id="rId62" Type="http://schemas.openxmlformats.org/officeDocument/2006/relationships/hyperlink" Target="https://alwaysdiscreet.com/en-us/incontinence-products/incontinence-pads/extra-heavy-pads" TargetMode="External"/><Relationship Id="rId83" Type="http://schemas.openxmlformats.org/officeDocument/2006/relationships/hyperlink" Target="https://attends.com/ddew-attends-extended-wear-briefs" TargetMode="External"/><Relationship Id="rId88" Type="http://schemas.openxmlformats.org/officeDocument/2006/relationships/hyperlink" Target="https://attends.com/brbx-attends-briefs" TargetMode="External"/><Relationship Id="rId111" Type="http://schemas.openxmlformats.org/officeDocument/2006/relationships/hyperlink" Target="https://www.prevail.com/products/female/underwear-for-women" TargetMode="External"/><Relationship Id="rId15" Type="http://schemas.openxmlformats.org/officeDocument/2006/relationships/hyperlink" Target="https://www.tena.ca/men-protective-guards-lvl-1/750830750830,en_CA,pd.html" TargetMode="External"/><Relationship Id="rId36" Type="http://schemas.openxmlformats.org/officeDocument/2006/relationships/hyperlink" Target="https://www.depend.com/en-ca/incontinence-products/men/guards-for-men" TargetMode="External"/><Relationship Id="rId57" Type="http://schemas.openxmlformats.org/officeDocument/2006/relationships/hyperlink" Target="https://alwaysdiscreet.com/en-us/incontinence-products/incontinence-pads/light-pads-regular" TargetMode="External"/><Relationship Id="rId106" Type="http://schemas.openxmlformats.org/officeDocument/2006/relationships/hyperlink" Target="https://www.prevail.com/products/female/bladder-control-pad-moderate" TargetMode="External"/><Relationship Id="rId10" Type="http://schemas.openxmlformats.org/officeDocument/2006/relationships/hyperlink" Target="https://www.tena.ca/intimates-pads-maximum-long/5429547300,en_CA,pd.html" TargetMode="External"/><Relationship Id="rId31" Type="http://schemas.openxmlformats.org/officeDocument/2006/relationships/hyperlink" Target="https://www.depend.com/en-ca/incontinence-products/women/maximum-fit-flex-underwear" TargetMode="External"/><Relationship Id="rId52" Type="http://schemas.openxmlformats.org/officeDocument/2006/relationships/hyperlink" Target="https://www.poise.com/en-ca/products/pads-liners/pads/ultimate" TargetMode="External"/><Relationship Id="rId73" Type="http://schemas.openxmlformats.org/officeDocument/2006/relationships/hyperlink" Target="https://alwaysdiscreet.com/en-us/incontinence-products/shop-all-categories/always-discreet-boutique-incontinence-pads-extra-heavy-long-length" TargetMode="External"/><Relationship Id="rId78" Type="http://schemas.openxmlformats.org/officeDocument/2006/relationships/hyperlink" Target="https://alwaysdiscreet.com/en-us/incontinence-products/boutique-maximum-protective-incontinence-underwear/boutique-incontinence-and-postpartum-underwear-maximum-protection-black-large" TargetMode="External"/><Relationship Id="rId94" Type="http://schemas.openxmlformats.org/officeDocument/2006/relationships/hyperlink" Target="https://attends.com/ali-uw-attends-premier-underwear" TargetMode="External"/><Relationship Id="rId99" Type="http://schemas.openxmlformats.org/officeDocument/2006/relationships/hyperlink" Target="https://attends.com/adpmal-attends-discreet-women's-maximum-long-pads" TargetMode="External"/><Relationship Id="rId101" Type="http://schemas.openxmlformats.org/officeDocument/2006/relationships/hyperlink" Target="https://attends.com/adpmod-attends-discreet-women's-moderate-pads" TargetMode="External"/><Relationship Id="rId122"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8" Type="http://schemas.openxmlformats.org/officeDocument/2006/relationships/hyperlink" Target="https://www.orajel.com/en-ca/products/adult-oral-care/orajel-maximum-strength-pm-toothache-and-gum-relief-paste" TargetMode="External"/><Relationship Id="rId13" Type="http://schemas.openxmlformats.org/officeDocument/2006/relationships/hyperlink" Target="https://www.anbesol.com/products/" TargetMode="External"/><Relationship Id="rId18" Type="http://schemas.openxmlformats.org/officeDocument/2006/relationships/hyperlink" Target="https://www.abreva.ca/" TargetMode="External"/><Relationship Id="rId26" Type="http://schemas.openxmlformats.org/officeDocument/2006/relationships/table" Target="../tables/table24.xml"/><Relationship Id="rId3" Type="http://schemas.openxmlformats.org/officeDocument/2006/relationships/hyperlink" Target="https://www.orajel.com/en-ca/products/adult-oral-care/orajel-touch-free-cold-sore-treatment" TargetMode="External"/><Relationship Id="rId21" Type="http://schemas.openxmlformats.org/officeDocument/2006/relationships/hyperlink" Target="https://www.gumbrand.com/gum-canker-x-gel.html" TargetMode="External"/><Relationship Id="rId7" Type="http://schemas.openxmlformats.org/officeDocument/2006/relationships/hyperlink" Target="https://www.orajel.com/en-ca/products/adult-oral-care/orajel-maximum-toothache-relief-liquid" TargetMode="External"/><Relationship Id="rId12" Type="http://schemas.openxmlformats.org/officeDocument/2006/relationships/hyperlink" Target="https://www.anbesol.com/products/" TargetMode="External"/><Relationship Id="rId17" Type="http://schemas.openxmlformats.org/officeDocument/2006/relationships/hyperlink" Target="https://www.kank-a.com/products/kank-a-softbrush/" TargetMode="External"/><Relationship Id="rId25" Type="http://schemas.openxmlformats.org/officeDocument/2006/relationships/printerSettings" Target="../printerSettings/printerSettings52.bin"/><Relationship Id="rId2" Type="http://schemas.openxmlformats.org/officeDocument/2006/relationships/hyperlink" Target="https://www.orajel.com/en-ca/products/child-oral-care/orajel-natural-source-homeopathic-teething-gel" TargetMode="External"/><Relationship Id="rId16" Type="http://schemas.openxmlformats.org/officeDocument/2006/relationships/hyperlink" Target="https://www.kank-a.com/products/kank-a-mouth-pain-liquid/" TargetMode="External"/><Relationship Id="rId20" Type="http://schemas.openxmlformats.org/officeDocument/2006/relationships/hyperlink" Target="https://quantumhealth.com/shop/product/super-lysine-ointment-7g-cold-sore-treatment" TargetMode="External"/><Relationship Id="rId1" Type="http://schemas.openxmlformats.org/officeDocument/2006/relationships/hyperlink" Target="https://www.orajel.com/en-ca/products/child-oral-care/orajel-natural-source-homeopathic-nighttime-teething-gel" TargetMode="External"/><Relationship Id="rId6" Type="http://schemas.openxmlformats.org/officeDocument/2006/relationships/hyperlink" Target="https://www.orajel.com/en-ca/products/adult-oral-care/orajel-maximum-strength-toothache-pain-relief-double-medicated-gel" TargetMode="External"/><Relationship Id="rId11" Type="http://schemas.openxmlformats.org/officeDocument/2006/relationships/hyperlink" Target="https://www.anbesol.com/products/" TargetMode="External"/><Relationship Id="rId24" Type="http://schemas.openxmlformats.org/officeDocument/2006/relationships/hyperlink" Target="https://www.blistex.com/products/medicated-lip-ointment/" TargetMode="External"/><Relationship Id="rId5" Type="http://schemas.openxmlformats.org/officeDocument/2006/relationships/hyperlink" Target="https://www.orajel.com/en-ca/products/adult-oral-care/orajel-double-action-toothache-and-gum-relief" TargetMode="External"/><Relationship Id="rId15" Type="http://schemas.openxmlformats.org/officeDocument/2006/relationships/hyperlink" Target="https://www.anbesol.com/products/" TargetMode="External"/><Relationship Id="rId23" Type="http://schemas.openxmlformats.org/officeDocument/2006/relationships/hyperlink" Target="https://www.soresbegone.com/products/cold-sores-begone-stick" TargetMode="External"/><Relationship Id="rId10" Type="http://schemas.openxmlformats.org/officeDocument/2006/relationships/hyperlink" Target="https://www.orajel.com/en-ca/products/adult-oral-care/orajel-film-forming-canker-sore-gel" TargetMode="External"/><Relationship Id="rId19" Type="http://schemas.openxmlformats.org/officeDocument/2006/relationships/hyperlink" Target="https://quantumhealth.com/shop/product/lipclear-lysine-ointment-7g" TargetMode="External"/><Relationship Id="rId4" Type="http://schemas.openxmlformats.org/officeDocument/2006/relationships/hyperlink" Target="https://www.orajel.com/en-ca/products/adult-oral-care/orajel-severe-toothache-and-gum-relief-plus-triple-medicated-cream" TargetMode="External"/><Relationship Id="rId9" Type="http://schemas.openxmlformats.org/officeDocument/2006/relationships/hyperlink" Target="https://www.orajel.com/en-ca/products/adult-oral-care/orajel-regular-strength-toothache-pain-relief-gel" TargetMode="External"/><Relationship Id="rId14" Type="http://schemas.openxmlformats.org/officeDocument/2006/relationships/hyperlink" Target="https://www.anbesol.com/products/" TargetMode="External"/><Relationship Id="rId22" Type="http://schemas.openxmlformats.org/officeDocument/2006/relationships/hyperlink" Target="https://www.soresbegone.com/products/canker-sores-begone-stick%E2%84%A2" TargetMode="External"/></Relationships>
</file>

<file path=xl/worksheets/_rels/sheet54.xml.rels><?xml version="1.0" encoding="UTF-8" standalone="yes"?>
<Relationships xmlns="http://schemas.openxmlformats.org/package/2006/relationships"><Relationship Id="rId8" Type="http://schemas.openxmlformats.org/officeDocument/2006/relationships/table" Target="../tables/table31.xml"/><Relationship Id="rId3" Type="http://schemas.openxmlformats.org/officeDocument/2006/relationships/table" Target="../tables/table26.xml"/><Relationship Id="rId7" Type="http://schemas.openxmlformats.org/officeDocument/2006/relationships/table" Target="../tables/table30.xml"/><Relationship Id="rId2" Type="http://schemas.openxmlformats.org/officeDocument/2006/relationships/table" Target="../tables/table25.xml"/><Relationship Id="rId1" Type="http://schemas.openxmlformats.org/officeDocument/2006/relationships/printerSettings" Target="../printerSettings/printerSettings53.bin"/><Relationship Id="rId6" Type="http://schemas.openxmlformats.org/officeDocument/2006/relationships/table" Target="../tables/table29.xml"/><Relationship Id="rId5" Type="http://schemas.openxmlformats.org/officeDocument/2006/relationships/table" Target="../tables/table28.xml"/><Relationship Id="rId10" Type="http://schemas.openxmlformats.org/officeDocument/2006/relationships/table" Target="../tables/table33.xml"/><Relationship Id="rId4" Type="http://schemas.openxmlformats.org/officeDocument/2006/relationships/table" Target="../tables/table27.xml"/><Relationship Id="rId9" Type="http://schemas.openxmlformats.org/officeDocument/2006/relationships/table" Target="../tables/table3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hyperlink" Target="https://www.onetouch.ca/products/glucose-meters/onetouch-verio" TargetMode="External"/><Relationship Id="rId13" Type="http://schemas.openxmlformats.org/officeDocument/2006/relationships/hyperlink" Target="https://www.freestyle.abbott/ca/en/products/precision_neo.html" TargetMode="External"/><Relationship Id="rId18" Type="http://schemas.openxmlformats.org/officeDocument/2006/relationships/hyperlink" Target="https://www.accu-chek.ca/en/meter-systems/aviva" TargetMode="External"/><Relationship Id="rId3" Type="http://schemas.openxmlformats.org/officeDocument/2006/relationships/hyperlink" Target="https://www.ascensiadiabetes.ca/products/contour-next-link/" TargetMode="External"/><Relationship Id="rId21" Type="http://schemas.openxmlformats.org/officeDocument/2006/relationships/hyperlink" Target="https://www.freestyle.abbott/ca/en/products/insulinx.html" TargetMode="External"/><Relationship Id="rId7" Type="http://schemas.openxmlformats.org/officeDocument/2006/relationships/hyperlink" Target="https://www.onetouch.ca/products/glucose-meters/onetouch-verio-flex" TargetMode="External"/><Relationship Id="rId12" Type="http://schemas.openxmlformats.org/officeDocument/2006/relationships/hyperlink" Target="https://www.freestyle.abbott/ca/en/products/libre.html" TargetMode="External"/><Relationship Id="rId17" Type="http://schemas.openxmlformats.org/officeDocument/2006/relationships/hyperlink" Target="https://www.accu-chek.ca/en/meter-systems/guide" TargetMode="External"/><Relationship Id="rId2" Type="http://schemas.openxmlformats.org/officeDocument/2006/relationships/hyperlink" Target="https://www.contournextone.ca/" TargetMode="External"/><Relationship Id="rId16" Type="http://schemas.openxmlformats.org/officeDocument/2006/relationships/hyperlink" Target="https://www.diabetes.co.uk/blood-glucose-meters/sanofi-aventis-bgstar.html" TargetMode="External"/><Relationship Id="rId20" Type="http://schemas.openxmlformats.org/officeDocument/2006/relationships/hyperlink" Target="https://www.accu-chek.ca/en/meter-systems/aviva-nano" TargetMode="External"/><Relationship Id="rId1" Type="http://schemas.openxmlformats.org/officeDocument/2006/relationships/hyperlink" Target="https://www.ascensiadiabetes.ca/products/contour-next/" TargetMode="External"/><Relationship Id="rId6" Type="http://schemas.openxmlformats.org/officeDocument/2006/relationships/hyperlink" Target="https://www.onetouch.ca/products/glucose-meters/onetouch-verio-reflect" TargetMode="External"/><Relationship Id="rId11" Type="http://schemas.openxmlformats.org/officeDocument/2006/relationships/hyperlink" Target="https://www.onetouch.ca/products/glucose-meters/onetouch-ultra2" TargetMode="External"/><Relationship Id="rId5" Type="http://schemas.openxmlformats.org/officeDocument/2006/relationships/hyperlink" Target="https://www.oraclediabetes.com/products.html" TargetMode="External"/><Relationship Id="rId15" Type="http://schemas.openxmlformats.org/officeDocument/2006/relationships/hyperlink" Target="https://www.dexcom.com/en-CA" TargetMode="External"/><Relationship Id="rId10" Type="http://schemas.openxmlformats.org/officeDocument/2006/relationships/hyperlink" Target="https://www.onetouch.ca/products/glucose-meters/onetouch-ultramini" TargetMode="External"/><Relationship Id="rId19" Type="http://schemas.openxmlformats.org/officeDocument/2006/relationships/hyperlink" Target="https://www.accu-chek.ca/en/meter-systems/aviva-connect" TargetMode="External"/><Relationship Id="rId4" Type="http://schemas.openxmlformats.org/officeDocument/2006/relationships/hyperlink" Target="https://www.ascensiadiabetes.ca/products/contour-next-ez/" TargetMode="External"/><Relationship Id="rId9" Type="http://schemas.openxmlformats.org/officeDocument/2006/relationships/hyperlink" Target="https://www.onetouch.ca/products/glucose-meters/onetouch-verio-iq" TargetMode="External"/><Relationship Id="rId14" Type="http://schemas.openxmlformats.org/officeDocument/2006/relationships/hyperlink" Target="https://www.freestyle.abbott/ca/en/products/lite.html" TargetMode="External"/><Relationship Id="rId22"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17" Type="http://schemas.openxmlformats.org/officeDocument/2006/relationships/hyperlink" Target="https://www.strepsils.co.uk/pages/dry-scratchy-throat" TargetMode="External"/><Relationship Id="rId21" Type="http://schemas.openxmlformats.org/officeDocument/2006/relationships/hyperlink" Target="https://www.advil.ca/product/advil-cold-sinus-caplets" TargetMode="External"/><Relationship Id="rId42" Type="http://schemas.openxmlformats.org/officeDocument/2006/relationships/hyperlink" Target="https://vicks.ca/en-ca/shop-products/dayquil/dayquil-cold-and-flu-multi-symptom-relief-liquicaps" TargetMode="External"/><Relationship Id="rId47" Type="http://schemas.openxmlformats.org/officeDocument/2006/relationships/hyperlink" Target="https://vicks.ca/en-ca/shop-products/dayquil/dayquil-cough-congestion" TargetMode="External"/><Relationship Id="rId63" Type="http://schemas.openxmlformats.org/officeDocument/2006/relationships/hyperlink" Target="https://www.robitussin.ca/products/robitussin-honey-cough-and-cold-nighttime" TargetMode="External"/><Relationship Id="rId68" Type="http://schemas.openxmlformats.org/officeDocument/2006/relationships/hyperlink" Target="https://www.robitussin.ca/products/robitussin-complete-daytime" TargetMode="External"/><Relationship Id="rId84" Type="http://schemas.openxmlformats.org/officeDocument/2006/relationships/hyperlink" Target="https://www.neocitran.ca/products/cold-sore-throat-night/" TargetMode="External"/><Relationship Id="rId89" Type="http://schemas.openxmlformats.org/officeDocument/2006/relationships/hyperlink" Target="https://www.benylin.ca/extra-strength/all-in-one-cold-and-flu-day-night-caplets" TargetMode="External"/><Relationship Id="rId112" Type="http://schemas.openxmlformats.org/officeDocument/2006/relationships/hyperlink" Target="https://www.benylin.ca/regular-strength/tickly-throat-cough-syrup" TargetMode="External"/><Relationship Id="rId16" Type="http://schemas.openxmlformats.org/officeDocument/2006/relationships/hyperlink" Target="https://www.tylenol.ca/products/infants-children/children-s-tylenol-complete-cold-cough-fever" TargetMode="External"/><Relationship Id="rId107" Type="http://schemas.openxmlformats.org/officeDocument/2006/relationships/hyperlink" Target="https://www.benylin.ca/regular-strength/dry-cough-night-syrup" TargetMode="External"/><Relationship Id="rId11" Type="http://schemas.openxmlformats.org/officeDocument/2006/relationships/hyperlink" Target="https://www.tylenol.ca/products/infants-children/childrens-tylenol-fever-sore-throat-pain" TargetMode="External"/><Relationship Id="rId32" Type="http://schemas.openxmlformats.org/officeDocument/2006/relationships/hyperlink" Target="https://www.mucinex.ca/en/mucinex-products/" TargetMode="External"/><Relationship Id="rId37" Type="http://schemas.openxmlformats.org/officeDocument/2006/relationships/hyperlink" Target="https://vicks.ca/en-ca/shop-products/vaporub/vicks-vaporub-nasal-decongestant-cough-suppressant-ointment-lavender-scent" TargetMode="External"/><Relationship Id="rId53" Type="http://schemas.openxmlformats.org/officeDocument/2006/relationships/hyperlink" Target="https://vicks.ca/en-ca/shop-products/nyquil/nyquil-cold-flu-nighttime-relief-liquid" TargetMode="External"/><Relationship Id="rId58" Type="http://schemas.openxmlformats.org/officeDocument/2006/relationships/hyperlink" Target="https://www.robitussin.ca/products/robitussin-cough-control-extra-strength" TargetMode="External"/><Relationship Id="rId74" Type="http://schemas.openxmlformats.org/officeDocument/2006/relationships/hyperlink" Target="https://www.dimetapp.com/dimetapp-cold-cough" TargetMode="External"/><Relationship Id="rId79" Type="http://schemas.openxmlformats.org/officeDocument/2006/relationships/hyperlink" Target="https://www.neocitran.ca/products/total-cold-night/" TargetMode="External"/><Relationship Id="rId102" Type="http://schemas.openxmlformats.org/officeDocument/2006/relationships/hyperlink" Target="https://www.benylin.ca/products/cough/benylin-cough-chest-congestion-people-diabetes" TargetMode="External"/><Relationship Id="rId123" Type="http://schemas.openxmlformats.org/officeDocument/2006/relationships/hyperlink" Target="https://www.cepacol.ca/en/products/cepacol-sensations-sore-throat-lozenges/cepacol-sensations-sore-throat-blocked-nose/" TargetMode="External"/><Relationship Id="rId128" Type="http://schemas.openxmlformats.org/officeDocument/2006/relationships/hyperlink" Target="https://www.cepacol.ca/en/products/new-cepacol-instamax-lozenges/cepacol-instamax-cherry-12ct/" TargetMode="External"/><Relationship Id="rId5" Type="http://schemas.openxmlformats.org/officeDocument/2006/relationships/hyperlink" Target="https://www.tylenol.ca/products/cough-cold-flu/tylenol-complete-cold-cough-flu-plus-mucus-relief-syrup" TargetMode="External"/><Relationship Id="rId90" Type="http://schemas.openxmlformats.org/officeDocument/2006/relationships/hyperlink" Target="https://www.benylin.ca/regular-strength/all-in-one-cold-and-flu-liquid-gels" TargetMode="External"/><Relationship Id="rId95" Type="http://schemas.openxmlformats.org/officeDocument/2006/relationships/hyperlink" Target="https://www.benylin.ca/children/all-in-one-cold-and-fever-nighttime-syrup" TargetMode="External"/><Relationship Id="rId22" Type="http://schemas.openxmlformats.org/officeDocument/2006/relationships/hyperlink" Target="https://www.advil.ca/product/advil-cold-sinus-daytime-nighttime" TargetMode="External"/><Relationship Id="rId27" Type="http://schemas.openxmlformats.org/officeDocument/2006/relationships/hyperlink" Target="https://www.advil.ca/product/advil-pediatric-drops-fever-colds-or-flu" TargetMode="External"/><Relationship Id="rId43" Type="http://schemas.openxmlformats.org/officeDocument/2006/relationships/hyperlink" Target="https://vicks.ca/en-ca/shop-products/dayquil/dayquil-nyquil-cold-flu-multi-symptom-liquicaps" TargetMode="External"/><Relationship Id="rId48" Type="http://schemas.openxmlformats.org/officeDocument/2006/relationships/hyperlink" Target="https://vicks.ca/en-ca/shop-products/dayquil/dayquil-sinus-liquicaps" TargetMode="External"/><Relationship Id="rId64" Type="http://schemas.openxmlformats.org/officeDocument/2006/relationships/hyperlink" Target="https://www.robitussin.ca/products/robitussin-cough-cold" TargetMode="External"/><Relationship Id="rId69" Type="http://schemas.openxmlformats.org/officeDocument/2006/relationships/hyperlink" Target="https://www.robitussin.ca/products/robitussin-complete-daytime-nighttime" TargetMode="External"/><Relationship Id="rId113" Type="http://schemas.openxmlformats.org/officeDocument/2006/relationships/hyperlink" Target="https://www.benylin.ca/extra-strength/cold-and-sinus-day-night-tablets" TargetMode="External"/><Relationship Id="rId118" Type="http://schemas.openxmlformats.org/officeDocument/2006/relationships/hyperlink" Target="https://www.strepsils.co.uk/pages/painful-irritated-sore-throat" TargetMode="External"/><Relationship Id="rId80" Type="http://schemas.openxmlformats.org/officeDocument/2006/relationships/hyperlink" Target="https://www.neocitran.ca/products/extra-strength-total-cold-non-drowsy/" TargetMode="External"/><Relationship Id="rId85" Type="http://schemas.openxmlformats.org/officeDocument/2006/relationships/hyperlink" Target="https://www.neocitran.ca/products/ultra-strength-total-flu-night/" TargetMode="External"/><Relationship Id="rId12" Type="http://schemas.openxmlformats.org/officeDocument/2006/relationships/hyperlink" Target="https://www.tylenol.ca/products/infants-children/children-s-tylenol-cold-stuffy-nose" TargetMode="External"/><Relationship Id="rId17" Type="http://schemas.openxmlformats.org/officeDocument/2006/relationships/hyperlink" Target="https://www.tylenol.ca/products/infants-children/children-s-tylenol-complete-cold-cough-fever-nighttime" TargetMode="External"/><Relationship Id="rId33" Type="http://schemas.openxmlformats.org/officeDocument/2006/relationships/hyperlink" Target="https://vicks.ca/en-ca/shop-products/childrens-products/childrens-nyquil-tm-cold-and-cough-medicine" TargetMode="External"/><Relationship Id="rId38" Type="http://schemas.openxmlformats.org/officeDocument/2006/relationships/hyperlink" Target="https://vicks.ca/en-ca/shop-products/vaporub/vicks-vaporub-ointment" TargetMode="External"/><Relationship Id="rId59" Type="http://schemas.openxmlformats.org/officeDocument/2006/relationships/hyperlink" Target="https://www.robitussin.ca/products/robitussin-cough-control-people-diabetes" TargetMode="External"/><Relationship Id="rId103" Type="http://schemas.openxmlformats.org/officeDocument/2006/relationships/hyperlink" Target="https://www.benylin.ca/extra-strength/chest-congestion-and-cold-syrup" TargetMode="External"/><Relationship Id="rId108" Type="http://schemas.openxmlformats.org/officeDocument/2006/relationships/hyperlink" Target="https://www.benylin.ca/regular-strength/dry-cough-syrup" TargetMode="External"/><Relationship Id="rId124" Type="http://schemas.openxmlformats.org/officeDocument/2006/relationships/hyperlink" Target="https://www.cepacol.ca/en/products/cepacol-extra-strength-sore-throat-lozenges/cepacol-extra-strength-sucrose-freey-cherry/" TargetMode="External"/><Relationship Id="rId129" Type="http://schemas.openxmlformats.org/officeDocument/2006/relationships/hyperlink" Target="https://www.cepacol.ca/en/products/new-cepacol-instamax-lozenges/cepacol-instamax-berry-24ct/" TargetMode="External"/><Relationship Id="rId54" Type="http://schemas.openxmlformats.org/officeDocument/2006/relationships/hyperlink" Target="https://vicks.ca/en-ca/shop-products/nyquil/nyquil-cough" TargetMode="External"/><Relationship Id="rId70" Type="http://schemas.openxmlformats.org/officeDocument/2006/relationships/hyperlink" Target="https://www.robitussin.ca/products/robitussin-childrens-cold" TargetMode="External"/><Relationship Id="rId75" Type="http://schemas.openxmlformats.org/officeDocument/2006/relationships/hyperlink" Target="https://www.dimetapp.com/day-night-value-pack" TargetMode="External"/><Relationship Id="rId91" Type="http://schemas.openxmlformats.org/officeDocument/2006/relationships/hyperlink" Target="https://www.benylin.ca/extra-strength/all-in-one-cold-and-flu-night-caplets" TargetMode="External"/><Relationship Id="rId96" Type="http://schemas.openxmlformats.org/officeDocument/2006/relationships/hyperlink" Target="https://www.benylin.ca/children/all-in-one-cold-and-fever-syrup" TargetMode="External"/><Relationship Id="rId1" Type="http://schemas.openxmlformats.org/officeDocument/2006/relationships/hyperlink" Target="https://www.tylenol.ca/products/tylenol-sinus-pressure-and-pain" TargetMode="External"/><Relationship Id="rId6" Type="http://schemas.openxmlformats.org/officeDocument/2006/relationships/hyperlink" Target="https://www.tylenol.ca/products/cough-cold-flu/tylenol-cold" TargetMode="External"/><Relationship Id="rId23" Type="http://schemas.openxmlformats.org/officeDocument/2006/relationships/hyperlink" Target="https://www.advil.ca/product/advil-cold-sinus-liqui-gels" TargetMode="External"/><Relationship Id="rId28" Type="http://schemas.openxmlformats.org/officeDocument/2006/relationships/hyperlink" Target="https://www.advil.ca/product/children-s-advil-cold" TargetMode="External"/><Relationship Id="rId49" Type="http://schemas.openxmlformats.org/officeDocument/2006/relationships/hyperlink" Target="https://vicks.ca/en-ca/shop-products/nyquil/nyquil-cold-flu-nighttime-relief-dayquil-multi-symptom-relief" TargetMode="External"/><Relationship Id="rId114" Type="http://schemas.openxmlformats.org/officeDocument/2006/relationships/hyperlink" Target="https://www.benylin.ca/extra-strength/cold-and-sinus-plus-tablets" TargetMode="External"/><Relationship Id="rId119" Type="http://schemas.openxmlformats.org/officeDocument/2006/relationships/hyperlink" Target="https://www.strepsils.co.uk/pages/sore-throat-cough-or-blocked-nose" TargetMode="External"/><Relationship Id="rId44" Type="http://schemas.openxmlformats.org/officeDocument/2006/relationships/hyperlink" Target="https://vicks.ca/en-ca/shop-products/dayquil/dayquil-and-nyquil-sinus-convenience-pack" TargetMode="External"/><Relationship Id="rId60" Type="http://schemas.openxmlformats.org/officeDocument/2006/relationships/hyperlink" Target="https://www.robitussin.ca/products/robitussin-mucus-phlegm" TargetMode="External"/><Relationship Id="rId65" Type="http://schemas.openxmlformats.org/officeDocument/2006/relationships/hyperlink" Target="https://www.robitussin.ca/products/robitussin-cough-cold-extra-strength" TargetMode="External"/><Relationship Id="rId81" Type="http://schemas.openxmlformats.org/officeDocument/2006/relationships/hyperlink" Target="https://www.neocitran.ca/products/extra-strength-total-cold-night/" TargetMode="External"/><Relationship Id="rId86" Type="http://schemas.openxmlformats.org/officeDocument/2006/relationships/hyperlink" Target="https://www.neocitran.ca/products/ultra-strength-total-flu-non-drowsy/" TargetMode="External"/><Relationship Id="rId130" Type="http://schemas.openxmlformats.org/officeDocument/2006/relationships/printerSettings" Target="../printerSettings/printerSettings9.bin"/><Relationship Id="rId13" Type="http://schemas.openxmlformats.org/officeDocument/2006/relationships/hyperlink" Target="https://www.tylenol.ca/products/infants-children/childrens-tylenol-cold" TargetMode="External"/><Relationship Id="rId18" Type="http://schemas.openxmlformats.org/officeDocument/2006/relationships/hyperlink" Target="https://www.tylenol.ca/products/cough-cold-flu/tylenol-complete-cold-cough-flu-plus-mucus-relief-nighttime-syrup" TargetMode="External"/><Relationship Id="rId39" Type="http://schemas.openxmlformats.org/officeDocument/2006/relationships/hyperlink" Target="https://vicks.ca/en-ca/shop-products/dayquil/vicks-dayquil-complete-cold-and-flu-relief-24-liquicaps" TargetMode="External"/><Relationship Id="rId109" Type="http://schemas.openxmlformats.org/officeDocument/2006/relationships/hyperlink" Target="https://www.benylin.ca/children/cough-and-cold-syrup" TargetMode="External"/><Relationship Id="rId34" Type="http://schemas.openxmlformats.org/officeDocument/2006/relationships/hyperlink" Target="https://vicks.ca/en-ca/shop-products/vaporub/vicks-vapopatch-with-long-lasting-vicks-scented-vapours-for-adults-and" TargetMode="External"/><Relationship Id="rId50" Type="http://schemas.openxmlformats.org/officeDocument/2006/relationships/hyperlink" Target="https://vicks.ca/en-ca/shop-products/nyquil/vicks-nyquil-complete-cough-cold-and-flu-relief-24-liquicaps" TargetMode="External"/><Relationship Id="rId55" Type="http://schemas.openxmlformats.org/officeDocument/2006/relationships/hyperlink" Target="https://vicks.ca/en-ca/shop-products/nyquil/nyquil-sinus-liquicaps" TargetMode="External"/><Relationship Id="rId76" Type="http://schemas.openxmlformats.org/officeDocument/2006/relationships/hyperlink" Target="https://www.dimetapp.com/dimetapp-multi-symptom-cold-flu" TargetMode="External"/><Relationship Id="rId97" Type="http://schemas.openxmlformats.org/officeDocument/2006/relationships/hyperlink" Target="https://www.benylin.ca/extra-strength/mucus-and-phlegm-plus-cold-relief-caplets" TargetMode="External"/><Relationship Id="rId104" Type="http://schemas.openxmlformats.org/officeDocument/2006/relationships/hyperlink" Target="https://www.benylin.ca/extra-strength/cough-and-chest-congestion-syrup" TargetMode="External"/><Relationship Id="rId120" Type="http://schemas.openxmlformats.org/officeDocument/2006/relationships/hyperlink" Target="https://www.cepacol.ca/en/products/cepacol-sensations-sore-throat-lozenges/cepacol-sensations-honey-lemon/" TargetMode="External"/><Relationship Id="rId125" Type="http://schemas.openxmlformats.org/officeDocument/2006/relationships/hyperlink" Target="https://www.cepacol.ca/en/products/cepacol-extra-strength-sore-throat-lozenges/cepacol-extra-strength-sucrose-freey-honey-lemon/" TargetMode="External"/><Relationship Id="rId7" Type="http://schemas.openxmlformats.org/officeDocument/2006/relationships/hyperlink" Target="https://www.tylenol.ca/products/cough-cold-flu/tylenol-flu" TargetMode="External"/><Relationship Id="rId71" Type="http://schemas.openxmlformats.org/officeDocument/2006/relationships/hyperlink" Target="https://www.robitussin.ca/products/robitussin-childrens-cough-and-cold" TargetMode="External"/><Relationship Id="rId92" Type="http://schemas.openxmlformats.org/officeDocument/2006/relationships/hyperlink" Target="https://www.benylin.ca/extra-strength/all-in-one-cold-and-flu-night-syrup" TargetMode="External"/><Relationship Id="rId2" Type="http://schemas.openxmlformats.org/officeDocument/2006/relationships/hyperlink" Target="https://www.tylenol.ca/products/infants-children/childrens-tylenol-fever-sore-throat-pain-chewables" TargetMode="External"/><Relationship Id="rId29" Type="http://schemas.openxmlformats.org/officeDocument/2006/relationships/hyperlink" Target="https://www.advil.ca/product/children-s-advil-cold-and-flu-multi-symptom" TargetMode="External"/><Relationship Id="rId24" Type="http://schemas.openxmlformats.org/officeDocument/2006/relationships/hyperlink" Target="https://www.advil.ca/product/advil-cold-sinus-nighttime" TargetMode="External"/><Relationship Id="rId40" Type="http://schemas.openxmlformats.org/officeDocument/2006/relationships/hyperlink" Target="https://vicks.ca/en-ca/shop-products/dayquil/dayquil-complete-cold-and-flu-liquid" TargetMode="External"/><Relationship Id="rId45" Type="http://schemas.openxmlformats.org/officeDocument/2006/relationships/hyperlink" Target="https://vicks.ca/en-ca/shop-products/dayquil/dayquil-cold-and-flu-multi-symptom-relief-liquid" TargetMode="External"/><Relationship Id="rId66" Type="http://schemas.openxmlformats.org/officeDocument/2006/relationships/hyperlink" Target="https://www.robitussin.ca/products/robitussin-total-cough-cold-flu" TargetMode="External"/><Relationship Id="rId87" Type="http://schemas.openxmlformats.org/officeDocument/2006/relationships/hyperlink" Target="https://www.neocitran.ca/products/extra-strength-cold-congestion-non-drowsy/" TargetMode="External"/><Relationship Id="rId110" Type="http://schemas.openxmlformats.org/officeDocument/2006/relationships/hyperlink" Target="https://www.benylin.ca/children/cough-night" TargetMode="External"/><Relationship Id="rId115" Type="http://schemas.openxmlformats.org/officeDocument/2006/relationships/hyperlink" Target="https://www.benylin.ca/products/sore-throat/benylin-sore-throat-cough-syrup" TargetMode="External"/><Relationship Id="rId131" Type="http://schemas.openxmlformats.org/officeDocument/2006/relationships/table" Target="../tables/table2.xml"/><Relationship Id="rId61" Type="http://schemas.openxmlformats.org/officeDocument/2006/relationships/hyperlink" Target="https://www.robitussin.ca/products/robitussin-mucus-phlegm-extra-strength" TargetMode="External"/><Relationship Id="rId82" Type="http://schemas.openxmlformats.org/officeDocument/2006/relationships/hyperlink" Target="https://www.neocitran.ca/products/extra-strength-cold-sinus-night-apple-cinnamon/" TargetMode="External"/><Relationship Id="rId19" Type="http://schemas.openxmlformats.org/officeDocument/2006/relationships/hyperlink" Target="https://www.advil.ca/product/advil-cold-flu" TargetMode="External"/><Relationship Id="rId14" Type="http://schemas.openxmlformats.org/officeDocument/2006/relationships/hyperlink" Target="https://www.tylenol.ca/products/infants-children/childrens-tylenol-cold-cough-nighttime" TargetMode="External"/><Relationship Id="rId30" Type="http://schemas.openxmlformats.org/officeDocument/2006/relationships/hyperlink" Target="https://www.advil.ca/product/children-s-advil-fever-colds-or-flu" TargetMode="External"/><Relationship Id="rId35" Type="http://schemas.openxmlformats.org/officeDocument/2006/relationships/hyperlink" Target="https://vicks.ca/en-ca/shop-products/childrens-products/vicks-vaporub-childrens-nasal-decongestant-cough-suppressant-ointment-50-g" TargetMode="External"/><Relationship Id="rId56" Type="http://schemas.openxmlformats.org/officeDocument/2006/relationships/hyperlink" Target="https://www.robitussin.ca/products/robitussin-extra-strength-honey-cough-and-congestion" TargetMode="External"/><Relationship Id="rId77" Type="http://schemas.openxmlformats.org/officeDocument/2006/relationships/hyperlink" Target="https://www.dimetapp.com/dimetapp-multi-symptom-cold-relief-dye-free" TargetMode="External"/><Relationship Id="rId100" Type="http://schemas.openxmlformats.org/officeDocument/2006/relationships/hyperlink" Target="https://www.benylin.ca/extra-strength/mucus-and-phlegm-plus-cough-control-syrup" TargetMode="External"/><Relationship Id="rId105" Type="http://schemas.openxmlformats.org/officeDocument/2006/relationships/hyperlink" Target="https://www.benylin.ca/extra-strength/cough-and-chest-congestion-warming-syrup" TargetMode="External"/><Relationship Id="rId126" Type="http://schemas.openxmlformats.org/officeDocument/2006/relationships/hyperlink" Target="https://www.cepacol.ca/en/products/cepacol-extra-strength-sore-throat-lozenges/cepacol-extra-strength-sucrose-free-orange/" TargetMode="External"/><Relationship Id="rId8" Type="http://schemas.openxmlformats.org/officeDocument/2006/relationships/hyperlink" Target="https://www.tylenol.ca/products/sinus/tylenol-cold-sinus" TargetMode="External"/><Relationship Id="rId51" Type="http://schemas.openxmlformats.org/officeDocument/2006/relationships/hyperlink" Target="https://vicks.ca/en-ca/shop-products/nyquil/nyquil-complete-cold-flu-liquid" TargetMode="External"/><Relationship Id="rId72" Type="http://schemas.openxmlformats.org/officeDocument/2006/relationships/hyperlink" Target="https://www.robitussin.ca/products/robitussin-childrens-cough-cold-bedtime" TargetMode="External"/><Relationship Id="rId93" Type="http://schemas.openxmlformats.org/officeDocument/2006/relationships/hyperlink" Target="https://www.benylin.ca/extra-strength/all-in-one-cold-and-flu-syrup" TargetMode="External"/><Relationship Id="rId98" Type="http://schemas.openxmlformats.org/officeDocument/2006/relationships/hyperlink" Target="https://www.benylin.ca/extra-strength/mucus-and-phlegm-plus-cold-relief-night-syrup" TargetMode="External"/><Relationship Id="rId121" Type="http://schemas.openxmlformats.org/officeDocument/2006/relationships/hyperlink" Target="https://www.cepacol.ca/en/products/cepacol-sensations-sore-throat-lozenges/cepacol-sensations-sucrose-free-lemon/" TargetMode="External"/><Relationship Id="rId3" Type="http://schemas.openxmlformats.org/officeDocument/2006/relationships/hyperlink" Target="https://www.tylenol.ca/products/cough-cold-flu/tylenol-complete-cold-cough-flu" TargetMode="External"/><Relationship Id="rId25" Type="http://schemas.openxmlformats.org/officeDocument/2006/relationships/hyperlink" Target="https://www.advil.ca/product/advil-cold-sinus-plus" TargetMode="External"/><Relationship Id="rId46" Type="http://schemas.openxmlformats.org/officeDocument/2006/relationships/hyperlink" Target="https://vicks.ca/en-ca/shop-products/dayquil/dayquil-cough" TargetMode="External"/><Relationship Id="rId67" Type="http://schemas.openxmlformats.org/officeDocument/2006/relationships/hyperlink" Target="https://www.robitussin.ca/products/robitussin-total-cough-cold-flu-extra-strength" TargetMode="External"/><Relationship Id="rId116" Type="http://schemas.openxmlformats.org/officeDocument/2006/relationships/hyperlink" Target="https://www.benylin.ca/products/sore-throat-lozenge/sore-throat-lozenge" TargetMode="External"/><Relationship Id="rId20" Type="http://schemas.openxmlformats.org/officeDocument/2006/relationships/hyperlink" Target="https://www.advil.ca/product/advil-cold-cough-flu-nighttime" TargetMode="External"/><Relationship Id="rId41" Type="http://schemas.openxmlformats.org/officeDocument/2006/relationships/hyperlink" Target="https://vicks.ca/en-ca/shop-products/nyquil/vicks-dayquil-and-nyquil-complete-cough-cold-and-flu-relief-24-liquicaps-16" TargetMode="External"/><Relationship Id="rId62" Type="http://schemas.openxmlformats.org/officeDocument/2006/relationships/hyperlink" Target="https://www.robitussin.ca/products/robitussin-dm-coughgels" TargetMode="External"/><Relationship Id="rId83" Type="http://schemas.openxmlformats.org/officeDocument/2006/relationships/hyperlink" Target="https://www.neocitran.ca/products/extra-strength-cold-sinus-night/" TargetMode="External"/><Relationship Id="rId88" Type="http://schemas.openxmlformats.org/officeDocument/2006/relationships/hyperlink" Target="https://www.benylin.ca/extra-strength/all-in-one-cold-and-flu-caplets" TargetMode="External"/><Relationship Id="rId111" Type="http://schemas.openxmlformats.org/officeDocument/2006/relationships/hyperlink" Target="https://www.benylin.ca/children/dry-cough-syrup" TargetMode="External"/><Relationship Id="rId15" Type="http://schemas.openxmlformats.org/officeDocument/2006/relationships/hyperlink" Target="https://www.tylenol.ca/products/infants-children/childrens-tylenol-cold-cough" TargetMode="External"/><Relationship Id="rId36" Type="http://schemas.openxmlformats.org/officeDocument/2006/relationships/hyperlink" Target="https://vicks.ca/en-ca/shop-products/childrens-products/vicks-babyrub" TargetMode="External"/><Relationship Id="rId57" Type="http://schemas.openxmlformats.org/officeDocument/2006/relationships/hyperlink" Target="https://www.robitussin.ca/products/robitussin-cough-control" TargetMode="External"/><Relationship Id="rId106" Type="http://schemas.openxmlformats.org/officeDocument/2006/relationships/hyperlink" Target="https://www.benylin.ca/extra-strength/cough-plus-cold-relief-syrup" TargetMode="External"/><Relationship Id="rId127" Type="http://schemas.openxmlformats.org/officeDocument/2006/relationships/hyperlink" Target="https://www.cepacol.ca/en/products/cepacol-children-s-sore-throat-lozenges/cepacol-children-s/" TargetMode="External"/><Relationship Id="rId10" Type="http://schemas.openxmlformats.org/officeDocument/2006/relationships/hyperlink" Target="https://www.tylenol.ca/products/infants-children/infants-tylenol-fever-sore-throat-pain" TargetMode="External"/><Relationship Id="rId31" Type="http://schemas.openxmlformats.org/officeDocument/2006/relationships/hyperlink" Target="https://www.advil.ca/product/junior-strength-advil-fever-cold-or-flu" TargetMode="External"/><Relationship Id="rId52" Type="http://schemas.openxmlformats.org/officeDocument/2006/relationships/hyperlink" Target="https://vicks.ca/en-ca/shop-products/nyquil/nyquil-cold-flu-nighttime-relief-liquicaps" TargetMode="External"/><Relationship Id="rId73" Type="http://schemas.openxmlformats.org/officeDocument/2006/relationships/hyperlink" Target="https://www.dimetapp.com/dimetapp-cold-allergy" TargetMode="External"/><Relationship Id="rId78" Type="http://schemas.openxmlformats.org/officeDocument/2006/relationships/hyperlink" Target="https://www.dimetapp.com/dimetapp-nighttime-cold-congestion" TargetMode="External"/><Relationship Id="rId94" Type="http://schemas.openxmlformats.org/officeDocument/2006/relationships/hyperlink" Target="https://www.benylin.ca/extra-strength/all-in-one-cold-and-flu-warming" TargetMode="External"/><Relationship Id="rId99" Type="http://schemas.openxmlformats.org/officeDocument/2006/relationships/hyperlink" Target="https://www.benylin.ca/extra-strength/mucus-and-phlegm-plus-cold-relief-syrup" TargetMode="External"/><Relationship Id="rId101" Type="http://schemas.openxmlformats.org/officeDocument/2006/relationships/hyperlink" Target="https://www.benylin.ca/extra-strength/mucus-and-phlegm-syrup" TargetMode="External"/><Relationship Id="rId122" Type="http://schemas.openxmlformats.org/officeDocument/2006/relationships/hyperlink" Target="https://www.cepacol.ca/en/products/cepacol-sensations-sore-throat-lozenges/cepacol-sensations-sore-throat-cough/" TargetMode="External"/><Relationship Id="rId4" Type="http://schemas.openxmlformats.org/officeDocument/2006/relationships/hyperlink" Target="https://www.tylenol.ca/products/cough-cold-flu/tylenol-complete-cold-cough-flu-plus-mucus-relief-liquid-gels" TargetMode="External"/><Relationship Id="rId9" Type="http://schemas.openxmlformats.org/officeDocument/2006/relationships/hyperlink" Target="https://www.tylenol.ca/products/sinus/tylenol-sinus" TargetMode="External"/><Relationship Id="rId26" Type="http://schemas.openxmlformats.org/officeDocument/2006/relationships/hyperlink" Target="https://www.advil.ca/product/advil-cold-sinus-flu-extra-strengt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K3:K14"/>
  <sheetViews>
    <sheetView tabSelected="1" zoomScaleNormal="100" workbookViewId="0">
      <selection activeCell="K15" sqref="K15"/>
    </sheetView>
  </sheetViews>
  <sheetFormatPr defaultRowHeight="15"/>
  <sheetData>
    <row r="3" spans="11:11">
      <c r="K3" t="s">
        <v>1881</v>
      </c>
    </row>
    <row r="4" spans="11:11">
      <c r="K4" t="s">
        <v>1882</v>
      </c>
    </row>
    <row r="5" spans="11:11">
      <c r="K5" t="s">
        <v>1883</v>
      </c>
    </row>
    <row r="6" spans="11:11">
      <c r="K6" t="s">
        <v>1884</v>
      </c>
    </row>
    <row r="7" spans="11:11">
      <c r="K7" t="s">
        <v>1885</v>
      </c>
    </row>
    <row r="8" spans="11:11">
      <c r="K8" t="s">
        <v>1886</v>
      </c>
    </row>
    <row r="9" spans="11:11">
      <c r="K9" t="s">
        <v>1993</v>
      </c>
    </row>
    <row r="10" spans="11:11">
      <c r="K10" t="s">
        <v>1887</v>
      </c>
    </row>
    <row r="11" spans="11:11">
      <c r="K11" t="s">
        <v>1994</v>
      </c>
    </row>
    <row r="14" spans="11:11">
      <c r="K14" t="s">
        <v>2040</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32"/>
  <sheetViews>
    <sheetView workbookViewId="0">
      <selection activeCell="A32" sqref="A32"/>
    </sheetView>
  </sheetViews>
  <sheetFormatPr defaultRowHeight="15"/>
  <cols>
    <col min="1" max="1" width="80.5703125" customWidth="1"/>
    <col min="3" max="4" width="9.140625" style="23"/>
    <col min="6" max="6" width="18.42578125" customWidth="1"/>
  </cols>
  <sheetData>
    <row r="1" spans="1:6" ht="15.75" thickTop="1">
      <c r="A1" s="3" t="s">
        <v>15</v>
      </c>
      <c r="B1" s="38" t="s">
        <v>18</v>
      </c>
      <c r="C1" s="43"/>
      <c r="D1" s="43"/>
      <c r="E1" s="43"/>
      <c r="F1" s="8" t="s">
        <v>19</v>
      </c>
    </row>
    <row r="2" spans="1:6" ht="15.75" thickBot="1">
      <c r="B2" s="4"/>
      <c r="C2" s="43"/>
      <c r="D2" s="43"/>
      <c r="E2" s="43"/>
      <c r="F2" s="4"/>
    </row>
    <row r="3" spans="1:6" ht="15.75" thickBot="1">
      <c r="A3" s="169" t="s">
        <v>3</v>
      </c>
      <c r="B3" s="5" t="b">
        <v>0</v>
      </c>
      <c r="C3" s="43" t="b">
        <f t="shared" ref="C3:C11" si="0">NOT(B3)</f>
        <v>1</v>
      </c>
      <c r="D3" s="43" t="s">
        <v>141</v>
      </c>
      <c r="E3" s="43" t="b">
        <f>AND(C8,C11,OR(B15,B17:B21))</f>
        <v>0</v>
      </c>
      <c r="F3" s="4" t="b">
        <f>IF(E3,random!C7)</f>
        <v>0</v>
      </c>
    </row>
    <row r="4" spans="1:6" ht="15.75" thickBot="1">
      <c r="A4" s="169" t="s">
        <v>24</v>
      </c>
      <c r="B4" s="5" t="b">
        <v>0</v>
      </c>
      <c r="C4" s="43" t="b">
        <f t="shared" si="0"/>
        <v>1</v>
      </c>
      <c r="D4" s="43" t="s">
        <v>141</v>
      </c>
      <c r="E4" s="43" t="b">
        <f>AND(C3:C5,C7,OR(B16,B21))</f>
        <v>0</v>
      </c>
      <c r="F4" s="4" t="b">
        <f>IF(E4,random!C8)</f>
        <v>0</v>
      </c>
    </row>
    <row r="5" spans="1:6" ht="15.75" thickBot="1">
      <c r="A5" s="169" t="s">
        <v>12</v>
      </c>
      <c r="B5" s="5" t="b">
        <v>0</v>
      </c>
      <c r="C5" s="43" t="b">
        <f t="shared" si="0"/>
        <v>1</v>
      </c>
      <c r="D5" s="43" t="s">
        <v>141</v>
      </c>
      <c r="E5" s="43" t="b">
        <f>AND(OR(B23,B25),OR(B15:B20))</f>
        <v>0</v>
      </c>
      <c r="F5" s="4" t="b">
        <f>IF(E5,random!C9)</f>
        <v>0</v>
      </c>
    </row>
    <row r="6" spans="1:6" ht="15.75" thickBot="1">
      <c r="A6" s="169" t="s">
        <v>13</v>
      </c>
      <c r="B6" s="5" t="b">
        <v>0</v>
      </c>
      <c r="C6" s="43" t="b">
        <f t="shared" si="0"/>
        <v>1</v>
      </c>
      <c r="D6" s="43"/>
      <c r="E6" s="43" t="b">
        <f>AND(B6,B24,OR(B19,B21))</f>
        <v>0</v>
      </c>
      <c r="F6" s="4" t="b">
        <f>IF(E6,random!C10)</f>
        <v>0</v>
      </c>
    </row>
    <row r="7" spans="1:6" ht="15.75" thickBot="1">
      <c r="A7" s="194" t="s">
        <v>17</v>
      </c>
      <c r="B7" s="5" t="b">
        <v>0</v>
      </c>
      <c r="C7" s="43" t="b">
        <f t="shared" si="0"/>
        <v>1</v>
      </c>
      <c r="D7" s="43" t="s">
        <v>141</v>
      </c>
      <c r="E7" s="43" t="b">
        <f>AND(B27,C4,C5,C9,C10)</f>
        <v>0</v>
      </c>
      <c r="F7" s="4" t="b">
        <f>IF(E7,random!C11)</f>
        <v>0</v>
      </c>
    </row>
    <row r="8" spans="1:6" ht="15.75" thickBot="1">
      <c r="A8" s="194" t="s">
        <v>23</v>
      </c>
      <c r="B8" s="5" t="b">
        <v>0</v>
      </c>
      <c r="C8" s="43" t="b">
        <f t="shared" si="0"/>
        <v>1</v>
      </c>
      <c r="D8" s="43" t="s">
        <v>140</v>
      </c>
      <c r="E8" s="43" t="b">
        <f>AND(B27,C11)</f>
        <v>0</v>
      </c>
      <c r="F8" s="4" t="b">
        <f>IF(E8,random!C12)</f>
        <v>0</v>
      </c>
    </row>
    <row r="9" spans="1:6" ht="15.75" thickBot="1">
      <c r="A9" s="194" t="s">
        <v>142</v>
      </c>
      <c r="B9" s="5" t="b">
        <v>0</v>
      </c>
      <c r="C9" s="43" t="b">
        <f t="shared" si="0"/>
        <v>1</v>
      </c>
      <c r="D9" s="43" t="s">
        <v>146</v>
      </c>
      <c r="E9" s="43" t="b">
        <f>AND(B25,B20)</f>
        <v>0</v>
      </c>
      <c r="F9" s="4" t="b">
        <f>IF(E9,random!C13)</f>
        <v>0</v>
      </c>
    </row>
    <row r="10" spans="1:6" ht="16.5" thickTop="1" thickBot="1">
      <c r="A10" s="169" t="s">
        <v>143</v>
      </c>
      <c r="B10" s="5" t="b">
        <v>0</v>
      </c>
      <c r="C10" s="43" t="b">
        <f t="shared" si="0"/>
        <v>1</v>
      </c>
      <c r="D10" s="43" t="s">
        <v>146</v>
      </c>
      <c r="F10" s="51"/>
    </row>
    <row r="11" spans="1:6" ht="15.75" thickBot="1">
      <c r="A11" s="197" t="s">
        <v>457</v>
      </c>
      <c r="B11" s="6" t="b">
        <v>0</v>
      </c>
      <c r="C11" s="43" t="b">
        <f t="shared" si="0"/>
        <v>1</v>
      </c>
      <c r="D11" s="43"/>
    </row>
    <row r="12" spans="1:6" ht="15.75" thickBot="1">
      <c r="C12" s="43"/>
      <c r="D12" s="43"/>
    </row>
    <row r="13" spans="1:6" ht="15.75" thickTop="1">
      <c r="A13" s="3" t="s">
        <v>14</v>
      </c>
      <c r="B13" s="38" t="s">
        <v>18</v>
      </c>
      <c r="C13" s="43" t="s">
        <v>147</v>
      </c>
      <c r="D13" s="43" t="b">
        <f>OR(B15,B16,B17,B18,B19)</f>
        <v>0</v>
      </c>
    </row>
    <row r="14" spans="1:6" ht="15.75" thickBot="1">
      <c r="B14" s="4"/>
      <c r="C14" s="43" t="s">
        <v>148</v>
      </c>
      <c r="D14" s="43" t="b">
        <f>OR(B3:B5,B7)</f>
        <v>0</v>
      </c>
      <c r="F14" s="32"/>
    </row>
    <row r="15" spans="1:6" ht="15.75" thickBot="1">
      <c r="A15" s="196" t="s">
        <v>66</v>
      </c>
      <c r="B15" s="64" t="b">
        <v>0</v>
      </c>
      <c r="C15" s="43" t="s">
        <v>150</v>
      </c>
      <c r="D15" s="43" t="b">
        <f>OR(B19,B21)</f>
        <v>0</v>
      </c>
      <c r="F15" s="32"/>
    </row>
    <row r="16" spans="1:6" ht="15.75" thickBot="1">
      <c r="A16" s="196" t="s">
        <v>69</v>
      </c>
      <c r="B16" s="64" t="b">
        <v>0</v>
      </c>
      <c r="C16" s="43" t="s">
        <v>151</v>
      </c>
      <c r="D16" s="43" t="b">
        <f>OR(B15,B17,B18,B19,B21,B20)</f>
        <v>0</v>
      </c>
      <c r="F16" s="32"/>
    </row>
    <row r="17" spans="1:8" ht="15.75" thickBot="1">
      <c r="A17" s="196" t="s">
        <v>67</v>
      </c>
      <c r="B17" s="64" t="b">
        <v>0</v>
      </c>
      <c r="C17" s="43" t="s">
        <v>152</v>
      </c>
      <c r="D17" s="43" t="b">
        <f>OR(B15,B17,B18,B19,B20,B21)</f>
        <v>0</v>
      </c>
      <c r="F17" s="32"/>
    </row>
    <row r="18" spans="1:8" ht="15.75" thickBot="1">
      <c r="A18" s="196" t="s">
        <v>68</v>
      </c>
      <c r="B18" s="64" t="b">
        <v>0</v>
      </c>
      <c r="C18" s="43"/>
      <c r="D18" s="43"/>
      <c r="F18" s="32"/>
    </row>
    <row r="19" spans="1:8" ht="15.75" thickBot="1">
      <c r="A19" s="196" t="s">
        <v>106</v>
      </c>
      <c r="B19" s="64" t="b">
        <v>0</v>
      </c>
      <c r="C19" s="43"/>
      <c r="D19" s="43"/>
    </row>
    <row r="20" spans="1:8" ht="15.75" thickBot="1">
      <c r="A20" s="196" t="s">
        <v>105</v>
      </c>
      <c r="B20" s="64" t="b">
        <v>0</v>
      </c>
      <c r="C20" s="43"/>
      <c r="D20" s="43"/>
      <c r="H20" s="10"/>
    </row>
    <row r="21" spans="1:8" ht="15.75" thickBot="1">
      <c r="A21" s="196" t="s">
        <v>107</v>
      </c>
      <c r="B21" s="5" t="b">
        <v>0</v>
      </c>
      <c r="C21" s="43"/>
      <c r="D21" s="43"/>
    </row>
    <row r="22" spans="1:8" ht="15.75" thickBot="1">
      <c r="A22" s="161" t="s">
        <v>124</v>
      </c>
      <c r="B22" s="5" t="b">
        <v>0</v>
      </c>
      <c r="C22" s="43" t="b">
        <f>NOT(B22)</f>
        <v>1</v>
      </c>
      <c r="D22" s="43"/>
    </row>
    <row r="23" spans="1:8" ht="15.75" thickBot="1">
      <c r="A23" s="161" t="s">
        <v>125</v>
      </c>
      <c r="B23" s="5" t="b">
        <v>0</v>
      </c>
      <c r="C23" s="43" t="b">
        <f t="shared" ref="C23:C25" si="1">NOT(B23)</f>
        <v>1</v>
      </c>
      <c r="D23" s="43"/>
    </row>
    <row r="24" spans="1:8" ht="15.75" thickBot="1">
      <c r="A24" s="161" t="s">
        <v>126</v>
      </c>
      <c r="B24" s="5" t="b">
        <v>0</v>
      </c>
      <c r="C24" s="43" t="b">
        <f t="shared" si="1"/>
        <v>1</v>
      </c>
      <c r="D24" s="43"/>
    </row>
    <row r="25" spans="1:8" ht="15.75" thickBot="1">
      <c r="A25" s="161" t="s">
        <v>127</v>
      </c>
      <c r="B25" s="5" t="b">
        <v>0</v>
      </c>
      <c r="C25" s="43" t="b">
        <f t="shared" si="1"/>
        <v>1</v>
      </c>
      <c r="D25" s="43"/>
    </row>
    <row r="26" spans="1:8" ht="15.75" thickBot="1">
      <c r="A26" s="184" t="s">
        <v>153</v>
      </c>
      <c r="B26" s="5" t="b">
        <v>0</v>
      </c>
      <c r="C26" s="43" t="b">
        <f>NOT(B26)</f>
        <v>1</v>
      </c>
      <c r="D26" s="43"/>
    </row>
    <row r="27" spans="1:8" ht="15.75" thickBot="1">
      <c r="A27" s="196" t="s">
        <v>1151</v>
      </c>
      <c r="B27" s="5" t="b">
        <v>0</v>
      </c>
      <c r="C27" s="43"/>
      <c r="D27" s="43"/>
    </row>
    <row r="28" spans="1:8" ht="15.75" thickBot="1">
      <c r="A28" s="171" t="s">
        <v>386</v>
      </c>
      <c r="B28" s="5" t="b">
        <v>0</v>
      </c>
      <c r="C28" s="43" t="b">
        <f>NOT(B28)</f>
        <v>1</v>
      </c>
      <c r="D28" s="43"/>
    </row>
    <row r="29" spans="1:8" ht="15.75" thickBot="1">
      <c r="A29" s="171" t="s">
        <v>532</v>
      </c>
      <c r="B29" s="6" t="b">
        <v>0</v>
      </c>
      <c r="C29" s="43" t="b">
        <f>NOT(B29)</f>
        <v>1</v>
      </c>
      <c r="D29" s="43"/>
    </row>
    <row r="32" spans="1:8">
      <c r="A32" s="32"/>
    </row>
  </sheetData>
  <dataValidations xWindow="659" yWindow="600" count="3">
    <dataValidation allowBlank="1" showInputMessage="1" showErrorMessage="1" prompt="Consult your physician if unsure" sqref="A3:A5 A15:A21" xr:uid="{00000000-0002-0000-0900-000000000000}"/>
    <dataValidation allowBlank="1" showInputMessage="1" showErrorMessage="1" prompt="Consult your pharmacist if unsure" sqref="A22:A29 A6:A10" xr:uid="{00000000-0002-0000-0900-000001000000}"/>
    <dataValidation allowBlank="1" showInputMessage="1" showErrorMessage="1" prompt="Consult your pharmacist if unsure." sqref="A11" xr:uid="{00000000-0002-0000-0900-000002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659" yWindow="600" count="23">
        <x14:dataValidation type="list" showInputMessage="1" showErrorMessage="1" error="Please answer as Yes or No" prompt="Consult your physician if severe symptom, resulting from an unknown cause or unresponsive to a 2-3 day non-prescription therapy trial." xr:uid="{00000000-0002-0000-0900-000003000000}">
          <x14:formula1>
            <xm:f>random!$A$2:$A$3</xm:f>
          </x14:formula1>
          <xm:sqref>B18:B19</xm:sqref>
        </x14:dataValidation>
        <x14:dataValidation type="list" showInputMessage="1" showErrorMessage="1" error="Please answer as Yes or No" prompt="Anticholinergic and CNS depressants are medications that cause or enhance drowsiness. Consult your pharmacist if unsure." xr:uid="{00000000-0002-0000-0900-000004000000}">
          <x14:formula1>
            <xm:f>random!$A$2:$A$3</xm:f>
          </x14:formula1>
          <xm:sqref>B8</xm:sqref>
        </x14:dataValidation>
        <x14:dataValidation type="list" showInputMessage="1" showErrorMessage="1" error="Please answer as Yes or No" prompt="MAOIs include safinamide, linezolid, procarbazine, amphetamines (ADHD meds), methylene blue, rasagiline, moclobemide, selegiline, phenelzine and tranylcypromine. Consult your pharmacist if unsure " xr:uid="{00000000-0002-0000-0900-000005000000}">
          <x14:formula1>
            <xm:f>random!$A$2:$A$3</xm:f>
          </x14:formula1>
          <xm:sqref>B7</xm:sqref>
        </x14:dataValidation>
        <x14:dataValidation type="list" showInputMessage="1" error="Please answer as Yes or No" prompt="Alcohol may increase the risk of liver injury. Avoid use with acetaminophen. Alcohol may increase the risk of drowsiness. Avoid use with antihistamines." xr:uid="{00000000-0002-0000-0900-000006000000}">
          <x14:formula1>
            <xm:f>random!$A$2:$A$3</xm:f>
          </x14:formula1>
          <xm:sqref>B11</xm:sqref>
        </x14:dataValidation>
        <x14:dataValidation type="list" showInputMessage="1" showErrorMessage="1" error="Please answer as Yes or No" prompt="Blood thinners include warfarin, aspirin, clopidogrel, dipyridamole, ticlopidine, ticagrelor, dabigatran, apixaban, rivaroxaban, dalteparin, etc. Ibuprofen may increase risk of bleeding. Counsult your pharmacist for further information." xr:uid="{00000000-0002-0000-0900-000007000000}">
          <x14:formula1>
            <xm:f>random!$A$2:$A$3</xm:f>
          </x14:formula1>
          <xm:sqref>B9</xm:sqref>
        </x14:dataValidation>
        <x14:dataValidation type="list" showInputMessage="1" showErrorMessage="1" error="Please answer as Yes or No" prompt="Ibuprofen may worsen upset stomach and peptic ulcers. Avoid use if you have these medical conditions." xr:uid="{00000000-0002-0000-0900-000008000000}">
          <x14:formula1>
            <xm:f>random!$A$2:$A$3</xm:f>
          </x14:formula1>
          <xm:sqref>B10</xm:sqref>
        </x14:dataValidation>
        <x14:dataValidation type="list" showInputMessage="1" showErrorMessage="1" error="Please answer as Yes or No" prompt="Preparations with decongestants and/or sugar may worsen blood glucose. Avoid use if you are diabetic. " xr:uid="{00000000-0002-0000-0900-000009000000}">
          <x14:formula1>
            <xm:f>random!$A$2:$A$3</xm:f>
          </x14:formula1>
          <xm:sqref>B3</xm:sqref>
        </x14:dataValidation>
        <x14:dataValidation type="list" showInputMessage="1" showErrorMessage="1" error="Please answer as Yes or No" prompt="Decongestants (pseudoephedrine) may worsen hypertension, glaucoma, hyperthyroidism and seizures. Avoid use if you have these conditions." xr:uid="{00000000-0002-0000-0900-00000A000000}">
          <x14:formula1>
            <xm:f>random!$A$2:$A$3</xm:f>
          </x14:formula1>
          <xm:sqref>B4</xm:sqref>
        </x14:dataValidation>
        <x14:dataValidation type="list" showInputMessage="1" showErrorMessage="1" error="Please answer as Yes or No" prompt="Decongestants (pseudoephedrine) and alcohol containing products should be avoided in pregnant and/or breast feeding women." xr:uid="{00000000-0002-0000-0900-00000B000000}">
          <x14:formula1>
            <xm:f>random!$A$2:$A$3</xm:f>
          </x14:formula1>
          <xm:sqref>B5</xm:sqref>
        </x14:dataValidation>
        <x14:dataValidation type="list" showInputMessage="1" showErrorMessage="1" error="Please answer as Yes or No" prompt="Health Canada does not recommend many ingredients in children younger than 6 yrs old." xr:uid="{00000000-0002-0000-0900-00000C000000}">
          <x14:formula1>
            <xm:f>random!$A$2:$A$3</xm:f>
          </x14:formula1>
          <xm:sqref>B6</xm:sqref>
        </x14:dataValidation>
        <x14:dataValidation type="list" showInputMessage="1" showErrorMessage="1" error="Please answer as Yes or No" prompt="Consult your physician in presence of prolonged congestion with purulent discharge. Consult your pharmacist for blocked ears or for access to single ingredient decongestant. Prolonged use of nasal decongestants (≥3-5 days) may lead to rebound congestion." xr:uid="{00000000-0002-0000-0900-00000D000000}">
          <x14:formula1>
            <xm:f>random!$A$2:$A$3</xm:f>
          </x14:formula1>
          <xm:sqref>B16</xm:sqref>
        </x14:dataValidation>
        <x14:dataValidation type="list" showInputMessage="1" showErrorMessage="1" error="Please answer as Yes or No" prompt="Consult your physician if you have a respiratory disease, breathing difficulties, wheezing, stridor or chest pain while breathing." xr:uid="{00000000-0002-0000-0900-00000E000000}">
          <x14:formula1>
            <xm:f>random!$A$2:$A$3</xm:f>
          </x14:formula1>
          <xm:sqref>B15</xm:sqref>
        </x14:dataValidation>
        <x14:dataValidation type="list" showInputMessage="1" showErrorMessage="1" error="Please answer as Yes or No" prompt="Oral products may help with rhinorrhea, congestion, sneezing, nasal itch, eye symptoms and/or cutaneous symptoms. Oral products may act quickly/diffusely but more likely to cause side effects." xr:uid="{00000000-0002-0000-0900-00000F000000}">
          <x14:formula1>
            <xm:f>random!$A$2:$A$3</xm:f>
          </x14:formula1>
          <xm:sqref>B22</xm:sqref>
        </x14:dataValidation>
        <x14:dataValidation type="list" showInputMessage="1" showErrorMessage="1" error="Please answer as Yes or No" prompt="Consult your physician for severe symptoms or extensive skin reactions." xr:uid="{00000000-0002-0000-0900-000010000000}">
          <x14:formula1>
            <xm:f>random!$A$2:$A$3</xm:f>
          </x14:formula1>
          <xm:sqref>B20</xm:sqref>
        </x14:dataValidation>
        <x14:dataValidation type="list" showInputMessage="1" showErrorMessage="1" error="Please answer as Yes or No" prompt="Nasal steroids may help with rhinorrhea, congestion, sneezing, nasal itch and eye symptoms but may be slower acting. " xr:uid="{00000000-0002-0000-0900-000011000000}">
          <x14:formula1>
            <xm:f>random!$A$2:$A$3</xm:f>
          </x14:formula1>
          <xm:sqref>B23</xm:sqref>
        </x14:dataValidation>
        <x14:dataValidation type="list" showInputMessage="1" showErrorMessage="1" error="Please answer as Yes or No" prompt="First generation antihistamines including diphenhydramine may cause significant drowsiness and negatively impact ability to focus, drive or operate machinery. Avoid use with alcohol or CNS depressants." xr:uid="{00000000-0002-0000-0900-000012000000}">
          <x14:formula1>
            <xm:f>random!$A$2:$A$3</xm:f>
          </x14:formula1>
          <xm:sqref>B26</xm:sqref>
        </x14:dataValidation>
        <x14:dataValidation type="list" showInputMessage="1" showErrorMessage="1" error="Please answer as Yes or No" prompt="First generation antihistamines such as diphenhydramine may act more quickly." xr:uid="{00000000-0002-0000-0900-000013000000}">
          <x14:formula1>
            <xm:f>random!$A$2:$A$3</xm:f>
          </x14:formula1>
          <xm:sqref>B28</xm:sqref>
        </x14:dataValidation>
        <x14:dataValidation type="list" showInputMessage="1" error="Please answer as Yes or No" prompt="Second generation antihistamines are available in 12 or 24 hour formulations." xr:uid="{00000000-0002-0000-0900-000014000000}">
          <x14:formula1>
            <xm:f>random!$A$2:$A$3</xm:f>
          </x14:formula1>
          <xm:sqref>B29</xm:sqref>
        </x14:dataValidation>
        <x14:dataValidation type="list" showInputMessage="1" showErrorMessage="1" error="Please answer as Yes or No" prompt="Consult your physician if vision affected, eye injury, presence of foreign body in eye or presence of blood in eye." xr:uid="{00000000-0002-0000-0900-000015000000}">
          <x14:formula1>
            <xm:f>random!$A$2:$A$3</xm:f>
          </x14:formula1>
          <xm:sqref>B21</xm:sqref>
        </x14:dataValidation>
        <x14:dataValidation type="list" showInputMessage="1" showErrorMessage="1" error="Please answer as Yes or No" prompt="Avoid use of acetaminophen products with frequent alcohol use. Avoid use of ibuprofen with blood thinners or GI issues. Consult your pharmacist for further information." xr:uid="{00000000-0002-0000-0900-000016000000}">
          <x14:formula1>
            <xm:f>random!$A$2:$A$3</xm:f>
          </x14:formula1>
          <xm:sqref>B27</xm:sqref>
        </x14:dataValidation>
        <x14:dataValidation type="list" showInputMessage="1" showErrorMessage="1" error="Please answer as Yes or No" prompt="Topical medications may be best for localized reactions (i.e. skin)." xr:uid="{00000000-0002-0000-0900-000017000000}">
          <x14:formula1>
            <xm:f>random!$A$2:$A$3</xm:f>
          </x14:formula1>
          <xm:sqref>B25</xm:sqref>
        </x14:dataValidation>
        <x14:dataValidation type="list" showInputMessage="1" showErrorMessage="1" error="Please answer as Yes or No" prompt="Eye drops may be most effective for localized eye symptoms. Mast cell stabilizers are most effective at preventing eye symptoms if started before allergy season or may take up to 10 days for maximal effect." xr:uid="{00000000-0002-0000-0900-000018000000}">
          <x14:formula1>
            <xm:f>random!$A$2:$A$3</xm:f>
          </x14:formula1>
          <xm:sqref>B24</xm:sqref>
        </x14:dataValidation>
        <x14:dataValidation type="list" showInputMessage="1" showErrorMessage="1" error="Please answer as Yes or No" prompt="Consult your physician for severe sneezing, resulting from an unknown cause or unresponsive to a 2-3 day non-prescription therapy trial." xr:uid="{00000000-0002-0000-0900-00001A000000}">
          <x14:formula1>
            <xm:f>random!$A$2:$A$3</xm:f>
          </x14:formula1>
          <xm:sqref>B17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72"/>
  <sheetViews>
    <sheetView workbookViewId="0">
      <selection activeCell="F7" sqref="F7"/>
    </sheetView>
  </sheetViews>
  <sheetFormatPr defaultRowHeight="15"/>
  <cols>
    <col min="1" max="1" width="51.140625" customWidth="1"/>
    <col min="2" max="7" width="10.28515625" customWidth="1"/>
    <col min="8" max="8" width="9" customWidth="1"/>
    <col min="9" max="10" width="10.28515625" customWidth="1"/>
    <col min="11" max="11" width="13.7109375" customWidth="1"/>
    <col min="12" max="12" width="13.140625" customWidth="1"/>
    <col min="13" max="14" width="13" customWidth="1"/>
    <col min="15" max="18" width="18.42578125" customWidth="1"/>
    <col min="19" max="19" width="9.140625" style="122"/>
    <col min="20" max="20" width="43.85546875" style="122" customWidth="1"/>
  </cols>
  <sheetData>
    <row r="1" spans="1:20">
      <c r="A1" s="65" t="s">
        <v>1248</v>
      </c>
      <c r="B1" s="201" t="s">
        <v>1716</v>
      </c>
      <c r="C1" s="201" t="s">
        <v>915</v>
      </c>
      <c r="D1" s="201" t="s">
        <v>1897</v>
      </c>
      <c r="E1" s="201" t="s">
        <v>1898</v>
      </c>
      <c r="F1" s="201" t="s">
        <v>1899</v>
      </c>
      <c r="G1" s="201" t="s">
        <v>1900</v>
      </c>
      <c r="H1" s="201" t="s">
        <v>1901</v>
      </c>
      <c r="I1" s="201" t="s">
        <v>1723</v>
      </c>
      <c r="J1" s="201" t="s">
        <v>1929</v>
      </c>
      <c r="K1" t="s">
        <v>1928</v>
      </c>
      <c r="L1" t="s">
        <v>5</v>
      </c>
      <c r="M1" t="s">
        <v>81</v>
      </c>
      <c r="N1" t="s">
        <v>90</v>
      </c>
      <c r="O1" t="s">
        <v>71</v>
      </c>
      <c r="P1" t="s">
        <v>11</v>
      </c>
      <c r="Q1" t="s">
        <v>112</v>
      </c>
      <c r="R1" t="s">
        <v>134</v>
      </c>
      <c r="S1" s="130" t="s">
        <v>4</v>
      </c>
      <c r="T1" s="130"/>
    </row>
    <row r="2" spans="1:20">
      <c r="A2" s="24" t="b">
        <f>IF(Table4[[#This Row],[Column1]],T2)</f>
        <v>0</v>
      </c>
      <c r="B2" s="20" t="b">
        <f>AND('Allergy Criteria'!B6)</f>
        <v>0</v>
      </c>
      <c r="C2" s="17"/>
      <c r="D2" s="20" t="b">
        <f>AND('Allergy Criteria'!B22,'Allergy Criteria'!C23:C25)</f>
        <v>0</v>
      </c>
      <c r="E2" s="17"/>
      <c r="F2" s="17"/>
      <c r="G2" s="17"/>
      <c r="H2" s="17"/>
      <c r="I2" s="20" t="b">
        <f>AND('Allergy Criteria'!B29,'Allergy Criteria'!C28)</f>
        <v>0</v>
      </c>
      <c r="J2" s="17"/>
      <c r="K2" s="20" t="b">
        <f>AND('Allergy Criteria'!C11,'Allergy Criteria'!B26,OR('Allergy Criteria'!B15,'Allergy Criteria'!B17:B21))</f>
        <v>0</v>
      </c>
      <c r="L2" s="106" t="b">
        <f>AND('Allergy Criteria'!C3:C5,'Allergy Criteria'!C7,'Allergy Criteria'!B16)</f>
        <v>0</v>
      </c>
      <c r="M2" s="17"/>
      <c r="N2" s="17"/>
      <c r="O2" s="17"/>
      <c r="P2" s="17"/>
      <c r="Q2" s="17"/>
      <c r="R2" s="17"/>
      <c r="S2" s="122" t="b">
        <f>AND(Table4[[#This Row],[Adult]:[Pramoxine/Zinc]])</f>
        <v>0</v>
      </c>
      <c r="T2" s="139" t="s">
        <v>78</v>
      </c>
    </row>
    <row r="3" spans="1:20">
      <c r="A3" s="24" t="b">
        <f>IF(Table4[[#This Row],[Column1]],T3)</f>
        <v>0</v>
      </c>
      <c r="B3" s="20" t="b">
        <f>B2</f>
        <v>0</v>
      </c>
      <c r="C3" s="17"/>
      <c r="D3" s="20" t="b">
        <f>D2</f>
        <v>0</v>
      </c>
      <c r="E3" s="17"/>
      <c r="F3" s="17"/>
      <c r="G3" s="17"/>
      <c r="H3" s="17"/>
      <c r="I3" s="20" t="b">
        <f>I2</f>
        <v>0</v>
      </c>
      <c r="J3" s="17"/>
      <c r="K3" s="20" t="b">
        <f>K2</f>
        <v>0</v>
      </c>
      <c r="L3" s="20" t="b">
        <f>L2</f>
        <v>0</v>
      </c>
      <c r="M3" s="17"/>
      <c r="N3" s="17"/>
      <c r="O3" s="17"/>
      <c r="P3" s="17"/>
      <c r="Q3" s="17"/>
      <c r="R3" s="17"/>
      <c r="S3" s="122" t="b">
        <f>AND(Table4[[#This Row],[Adult]:[Pramoxine/Zinc]])</f>
        <v>0</v>
      </c>
      <c r="T3" s="139" t="s">
        <v>73</v>
      </c>
    </row>
    <row r="4" spans="1:20">
      <c r="A4" s="24" t="b">
        <f>IF(Table4[[#This Row],[Column1]],T4)</f>
        <v>0</v>
      </c>
      <c r="B4" s="17"/>
      <c r="C4" s="20" t="b">
        <f>AND('Allergy Criteria'!C6)</f>
        <v>1</v>
      </c>
      <c r="D4" s="20" t="b">
        <f>D2</f>
        <v>0</v>
      </c>
      <c r="E4" s="17"/>
      <c r="F4" s="17"/>
      <c r="G4" s="17"/>
      <c r="H4" s="17"/>
      <c r="I4" s="20" t="b">
        <f>I2</f>
        <v>0</v>
      </c>
      <c r="J4" s="17"/>
      <c r="K4" s="20" t="b">
        <f>K2</f>
        <v>0</v>
      </c>
      <c r="L4" s="17"/>
      <c r="M4" s="17"/>
      <c r="N4" s="17"/>
      <c r="O4" s="17"/>
      <c r="P4" s="17"/>
      <c r="Q4" s="17"/>
      <c r="R4" s="17"/>
      <c r="S4" s="122" t="b">
        <f>AND(Table4[[#This Row],[Adult]:[Pramoxine/Zinc]])</f>
        <v>0</v>
      </c>
      <c r="T4" s="126" t="s">
        <v>74</v>
      </c>
    </row>
    <row r="5" spans="1:20">
      <c r="A5" s="24" t="b">
        <f>IF(Table4[[#This Row],[Column1]],T5)</f>
        <v>0</v>
      </c>
      <c r="B5" s="17"/>
      <c r="C5" s="20" t="b">
        <f>C4</f>
        <v>1</v>
      </c>
      <c r="D5" s="20" t="b">
        <f>D2</f>
        <v>0</v>
      </c>
      <c r="E5" s="17"/>
      <c r="F5" s="17"/>
      <c r="G5" s="17"/>
      <c r="H5" s="17"/>
      <c r="I5" s="20" t="b">
        <f>I2</f>
        <v>0</v>
      </c>
      <c r="J5" s="17"/>
      <c r="K5" s="20" t="b">
        <f>K2</f>
        <v>0</v>
      </c>
      <c r="L5" s="17"/>
      <c r="M5" s="17"/>
      <c r="N5" s="17"/>
      <c r="O5" s="17"/>
      <c r="P5" s="17"/>
      <c r="Q5" s="17"/>
      <c r="R5" s="17"/>
      <c r="S5" s="122" t="b">
        <f>AND(Table4[[#This Row],[Adult]:[Pramoxine/Zinc]])</f>
        <v>0</v>
      </c>
      <c r="T5" s="139" t="s">
        <v>79</v>
      </c>
    </row>
    <row r="6" spans="1:20">
      <c r="A6" s="24" t="b">
        <f>IF(Table4[[#This Row],[Column1]],T6)</f>
        <v>0</v>
      </c>
      <c r="B6" s="20" t="b">
        <f>B2</f>
        <v>0</v>
      </c>
      <c r="C6" s="17"/>
      <c r="D6" s="20" t="b">
        <f>D2</f>
        <v>0</v>
      </c>
      <c r="E6" s="17"/>
      <c r="F6" s="17"/>
      <c r="G6" s="17"/>
      <c r="H6" s="17"/>
      <c r="I6" s="20" t="b">
        <f>I2</f>
        <v>0</v>
      </c>
      <c r="J6" s="17"/>
      <c r="K6" s="20" t="b">
        <f>K2</f>
        <v>0</v>
      </c>
      <c r="L6" s="17"/>
      <c r="M6" s="17"/>
      <c r="N6" s="17"/>
      <c r="O6" s="17"/>
      <c r="P6" s="17"/>
      <c r="Q6" s="17"/>
      <c r="R6" s="17"/>
      <c r="S6" s="122" t="b">
        <f>AND(Table4[[#This Row],[Adult]:[Pramoxine/Zinc]])</f>
        <v>0</v>
      </c>
      <c r="T6" s="139" t="s">
        <v>75</v>
      </c>
    </row>
    <row r="7" spans="1:20">
      <c r="A7" s="24" t="b">
        <f>IF(Table4[[#This Row],[Column1]],T7)</f>
        <v>0</v>
      </c>
      <c r="B7" s="20" t="b">
        <f>B2</f>
        <v>0</v>
      </c>
      <c r="C7" s="17"/>
      <c r="D7" s="20" t="b">
        <f>D2</f>
        <v>0</v>
      </c>
      <c r="E7" s="17"/>
      <c r="F7" s="17"/>
      <c r="G7" s="17"/>
      <c r="H7" s="17"/>
      <c r="I7" s="20" t="b">
        <f>I2</f>
        <v>0</v>
      </c>
      <c r="J7" s="17"/>
      <c r="K7" s="20" t="b">
        <f>K2</f>
        <v>0</v>
      </c>
      <c r="L7" s="17"/>
      <c r="M7" s="17"/>
      <c r="N7" s="17"/>
      <c r="O7" s="17"/>
      <c r="P7" s="17"/>
      <c r="Q7" s="17"/>
      <c r="R7" s="17"/>
      <c r="S7" s="122" t="b">
        <f>AND(Table4[[#This Row],[Adult]:[Pramoxine/Zinc]])</f>
        <v>0</v>
      </c>
      <c r="T7" s="139" t="s">
        <v>76</v>
      </c>
    </row>
    <row r="8" spans="1:20">
      <c r="A8" s="24" t="b">
        <f>IF(Table4[[#This Row],[Column1]],T8)</f>
        <v>0</v>
      </c>
      <c r="B8" s="20" t="b">
        <f>B2</f>
        <v>0</v>
      </c>
      <c r="C8" s="17"/>
      <c r="D8" s="20" t="b">
        <f>D2</f>
        <v>0</v>
      </c>
      <c r="E8" s="17"/>
      <c r="F8" s="17"/>
      <c r="G8" s="17"/>
      <c r="H8" s="17"/>
      <c r="I8" s="20" t="b">
        <f>I2</f>
        <v>0</v>
      </c>
      <c r="J8" s="17"/>
      <c r="K8" s="20" t="b">
        <f>K2</f>
        <v>0</v>
      </c>
      <c r="L8" s="17"/>
      <c r="M8" s="17"/>
      <c r="N8" s="17"/>
      <c r="O8" s="17"/>
      <c r="P8" s="17"/>
      <c r="Q8" s="17"/>
      <c r="R8" s="17"/>
      <c r="S8" s="122" t="b">
        <f>AND(Table4[[#This Row],[Adult]:[Pramoxine/Zinc]])</f>
        <v>0</v>
      </c>
      <c r="T8" s="139" t="s">
        <v>77</v>
      </c>
    </row>
    <row r="9" spans="1:20">
      <c r="A9" s="24" t="b">
        <f>IF(Table4[[#This Row],[Column1]],T9)</f>
        <v>0</v>
      </c>
      <c r="B9" s="20" t="b">
        <f>B2</f>
        <v>0</v>
      </c>
      <c r="C9" s="17"/>
      <c r="D9" s="17"/>
      <c r="E9" s="20" t="b">
        <f>AND('Allergy Criteria'!B23,'Allergy Criteria'!C22,'Allergy Criteria'!C24:C25)</f>
        <v>0</v>
      </c>
      <c r="F9" s="17"/>
      <c r="G9" s="17"/>
      <c r="H9" s="17"/>
      <c r="I9" s="20" t="b">
        <f>I2</f>
        <v>0</v>
      </c>
      <c r="J9" s="17"/>
      <c r="K9" s="17"/>
      <c r="L9" s="20" t="b">
        <f>L2</f>
        <v>0</v>
      </c>
      <c r="M9" s="17"/>
      <c r="N9" s="17"/>
      <c r="O9" s="17"/>
      <c r="P9" s="17"/>
      <c r="Q9" s="17"/>
      <c r="R9" s="17"/>
      <c r="S9" s="122" t="b">
        <f>AND(Table4[[#This Row],[Adult]:[Pramoxine/Zinc]])</f>
        <v>0</v>
      </c>
      <c r="T9" s="139" t="s">
        <v>80</v>
      </c>
    </row>
    <row r="10" spans="1:20">
      <c r="A10" s="26" t="e">
        <f>IF(Table4[[#This Row],[Column1]],T10)</f>
        <v>#VALUE!</v>
      </c>
      <c r="B10" s="16"/>
      <c r="C10" s="16"/>
      <c r="D10" s="16"/>
      <c r="E10" s="16"/>
      <c r="F10" s="16"/>
      <c r="G10" s="16"/>
      <c r="H10" s="16"/>
      <c r="I10" s="16"/>
      <c r="J10" s="16"/>
      <c r="K10" s="16"/>
      <c r="L10" s="16"/>
      <c r="M10" s="16"/>
      <c r="N10" s="16"/>
      <c r="O10" s="16"/>
      <c r="P10" s="16"/>
      <c r="Q10" s="16"/>
      <c r="R10" s="16"/>
      <c r="S10" s="127" t="e">
        <f>AND(Table4[[#This Row],[Adult]:[Pramoxine/Zinc]])</f>
        <v>#VALUE!</v>
      </c>
      <c r="T10" s="129"/>
    </row>
    <row r="11" spans="1:20">
      <c r="A11" s="24" t="b">
        <f>IF(Table4[[#This Row],[Column1]],T11)</f>
        <v>0</v>
      </c>
      <c r="B11" s="20" t="b">
        <f>B2</f>
        <v>0</v>
      </c>
      <c r="C11" s="17"/>
      <c r="D11" s="20" t="b">
        <f>D2</f>
        <v>0</v>
      </c>
      <c r="E11" s="17"/>
      <c r="F11" s="17"/>
      <c r="G11" s="17"/>
      <c r="H11" s="17"/>
      <c r="I11" s="20" t="b">
        <f>I2</f>
        <v>0</v>
      </c>
      <c r="J11" s="17"/>
      <c r="K11" s="20" t="b">
        <f>K2</f>
        <v>0</v>
      </c>
      <c r="L11" s="17"/>
      <c r="M11" s="17"/>
      <c r="N11" s="17"/>
      <c r="O11" s="17"/>
      <c r="P11" s="17"/>
      <c r="Q11" s="17"/>
      <c r="R11" s="17"/>
      <c r="S11" s="122" t="b">
        <f>AND(Table4[[#This Row],[Adult]:[Pramoxine/Zinc]])</f>
        <v>0</v>
      </c>
      <c r="T11" s="139" t="s">
        <v>82</v>
      </c>
    </row>
    <row r="12" spans="1:20">
      <c r="A12" s="24" t="b">
        <f>IF(Table4[[#This Row],[Column1]],T12)</f>
        <v>0</v>
      </c>
      <c r="B12" s="20" t="b">
        <f>B2</f>
        <v>0</v>
      </c>
      <c r="C12" s="17"/>
      <c r="D12" s="20" t="b">
        <f>D2</f>
        <v>0</v>
      </c>
      <c r="E12" s="17"/>
      <c r="F12" s="17"/>
      <c r="G12" s="17"/>
      <c r="H12" s="17"/>
      <c r="I12" s="20" t="b">
        <f>I2</f>
        <v>0</v>
      </c>
      <c r="J12" s="17"/>
      <c r="K12" s="20" t="b">
        <f>K2</f>
        <v>0</v>
      </c>
      <c r="L12" s="17"/>
      <c r="M12" s="17"/>
      <c r="N12" s="17"/>
      <c r="O12" s="17"/>
      <c r="P12" s="17"/>
      <c r="Q12" s="17"/>
      <c r="R12" s="17"/>
      <c r="S12" s="122" t="b">
        <f>AND(Table4[[#This Row],[Adult]:[Pramoxine/Zinc]])</f>
        <v>0</v>
      </c>
      <c r="T12" s="141" t="s">
        <v>83</v>
      </c>
    </row>
    <row r="13" spans="1:20">
      <c r="A13" s="24" t="b">
        <f>IF(Table4[[#This Row],[Column1]],T13)</f>
        <v>0</v>
      </c>
      <c r="B13" s="20" t="b">
        <f>B2</f>
        <v>0</v>
      </c>
      <c r="C13" s="17"/>
      <c r="D13" s="20" t="b">
        <f>D2</f>
        <v>0</v>
      </c>
      <c r="E13" s="17"/>
      <c r="F13" s="17"/>
      <c r="G13" s="17"/>
      <c r="H13" s="17"/>
      <c r="I13" s="20" t="b">
        <f>I2</f>
        <v>0</v>
      </c>
      <c r="J13" s="17"/>
      <c r="K13" s="20" t="b">
        <f>K2</f>
        <v>0</v>
      </c>
      <c r="L13" s="17"/>
      <c r="M13" s="17"/>
      <c r="N13" s="17"/>
      <c r="O13" s="17"/>
      <c r="P13" s="17"/>
      <c r="Q13" s="17"/>
      <c r="R13" s="17"/>
      <c r="S13" s="122" t="b">
        <f>AND(Table4[[#This Row],[Adult]:[Pramoxine/Zinc]])</f>
        <v>0</v>
      </c>
      <c r="T13" s="141" t="s">
        <v>84</v>
      </c>
    </row>
    <row r="14" spans="1:20">
      <c r="A14" s="24" t="b">
        <f>IF(Table4[[#This Row],[Column1]],T14)</f>
        <v>0</v>
      </c>
      <c r="B14" s="20" t="b">
        <f>B2</f>
        <v>0</v>
      </c>
      <c r="C14" s="17"/>
      <c r="D14" s="20" t="b">
        <f>D2</f>
        <v>0</v>
      </c>
      <c r="E14" s="17"/>
      <c r="F14" s="17"/>
      <c r="G14" s="17"/>
      <c r="H14" s="17"/>
      <c r="I14" s="20" t="b">
        <f>I2</f>
        <v>0</v>
      </c>
      <c r="J14" s="17"/>
      <c r="K14" s="20" t="b">
        <f>K2</f>
        <v>0</v>
      </c>
      <c r="L14" s="17"/>
      <c r="M14" s="17"/>
      <c r="N14" s="17"/>
      <c r="O14" s="17"/>
      <c r="P14" s="17"/>
      <c r="Q14" s="17"/>
      <c r="R14" s="17"/>
      <c r="S14" s="122" t="b">
        <f>AND(Table4[[#This Row],[Adult]:[Pramoxine/Zinc]])</f>
        <v>0</v>
      </c>
      <c r="T14" s="141" t="s">
        <v>85</v>
      </c>
    </row>
    <row r="15" spans="1:20">
      <c r="A15" s="24" t="b">
        <f>IF(Table4[[#This Row],[Column1]],T15)</f>
        <v>0</v>
      </c>
      <c r="B15" s="20" t="b">
        <f>B2</f>
        <v>0</v>
      </c>
      <c r="C15" s="17"/>
      <c r="D15" s="20" t="b">
        <f>D2</f>
        <v>0</v>
      </c>
      <c r="E15" s="17"/>
      <c r="F15" s="17"/>
      <c r="G15" s="17"/>
      <c r="H15" s="17"/>
      <c r="I15" s="20" t="b">
        <f>I2</f>
        <v>0</v>
      </c>
      <c r="J15" s="17"/>
      <c r="K15" s="20" t="b">
        <f>K2</f>
        <v>0</v>
      </c>
      <c r="L15" s="20" t="b">
        <f>L2</f>
        <v>0</v>
      </c>
      <c r="M15" s="17"/>
      <c r="N15" s="17"/>
      <c r="O15" s="17"/>
      <c r="P15" s="17"/>
      <c r="Q15" s="17"/>
      <c r="R15" s="17"/>
      <c r="S15" s="122" t="b">
        <f>AND(Table4[[#This Row],[Adult]:[Pramoxine/Zinc]])</f>
        <v>0</v>
      </c>
      <c r="T15" s="141" t="s">
        <v>86</v>
      </c>
    </row>
    <row r="16" spans="1:20">
      <c r="A16" s="24" t="b">
        <f>IF(Table4[[#This Row],[Column1]],T16)</f>
        <v>0</v>
      </c>
      <c r="B16" s="17"/>
      <c r="C16" s="20" t="b">
        <f>C4</f>
        <v>1</v>
      </c>
      <c r="D16" s="20" t="b">
        <f>D2</f>
        <v>0</v>
      </c>
      <c r="E16" s="17"/>
      <c r="F16" s="17"/>
      <c r="G16" s="17"/>
      <c r="H16" s="17"/>
      <c r="I16" s="20" t="b">
        <f>I2</f>
        <v>0</v>
      </c>
      <c r="J16" s="17"/>
      <c r="K16" s="20" t="b">
        <f>K2</f>
        <v>0</v>
      </c>
      <c r="L16" s="17"/>
      <c r="M16" s="17"/>
      <c r="N16" s="17"/>
      <c r="O16" s="17"/>
      <c r="P16" s="17"/>
      <c r="Q16" s="17"/>
      <c r="R16" s="17"/>
      <c r="S16" s="122" t="b">
        <f>AND(Table4[[#This Row],[Adult]:[Pramoxine/Zinc]])</f>
        <v>0</v>
      </c>
      <c r="T16" s="141" t="s">
        <v>88</v>
      </c>
    </row>
    <row r="17" spans="1:20">
      <c r="A17" s="24" t="b">
        <f>IF(Table4[[#This Row],[Column1]],T17)</f>
        <v>0</v>
      </c>
      <c r="B17" s="17"/>
      <c r="C17" s="20" t="b">
        <f>C4</f>
        <v>1</v>
      </c>
      <c r="D17" s="20" t="b">
        <f>D2</f>
        <v>0</v>
      </c>
      <c r="E17" s="17"/>
      <c r="F17" s="17"/>
      <c r="G17" s="17"/>
      <c r="H17" s="17"/>
      <c r="I17" s="20" t="b">
        <f>I2</f>
        <v>0</v>
      </c>
      <c r="J17" s="17"/>
      <c r="K17" s="20" t="b">
        <f>K2</f>
        <v>0</v>
      </c>
      <c r="L17" s="17"/>
      <c r="M17" s="17"/>
      <c r="N17" s="17"/>
      <c r="O17" s="17"/>
      <c r="P17" s="17"/>
      <c r="Q17" s="17"/>
      <c r="R17" s="17"/>
      <c r="S17" s="122" t="b">
        <f>AND(Table4[[#This Row],[Adult]:[Pramoxine/Zinc]])</f>
        <v>0</v>
      </c>
      <c r="T17" s="141" t="s">
        <v>89</v>
      </c>
    </row>
    <row r="18" spans="1:20">
      <c r="A18" s="24" t="b">
        <f>IF(Table4[[#This Row],[Column1]],T18)</f>
        <v>0</v>
      </c>
      <c r="B18" s="20" t="b">
        <f>B2</f>
        <v>0</v>
      </c>
      <c r="C18" s="17"/>
      <c r="D18" s="17"/>
      <c r="E18" s="20" t="b">
        <f>E9</f>
        <v>0</v>
      </c>
      <c r="F18" s="17"/>
      <c r="G18" s="17"/>
      <c r="H18" s="20" t="b">
        <f>AND('Allergy Criteria'!B28,'Allergy Criteria'!C29)</f>
        <v>0</v>
      </c>
      <c r="I18" s="17"/>
      <c r="J18" s="17"/>
      <c r="K18" s="17"/>
      <c r="L18" s="17"/>
      <c r="M18" s="17"/>
      <c r="N18" s="20" t="b">
        <f>AND('Allergy Criteria'!B16)</f>
        <v>0</v>
      </c>
      <c r="O18" s="17"/>
      <c r="P18" s="17"/>
      <c r="Q18" s="17"/>
      <c r="R18" s="17"/>
      <c r="S18" s="122" t="b">
        <f>AND(Table4[[#This Row],[Adult]:[Pramoxine/Zinc]])</f>
        <v>0</v>
      </c>
      <c r="T18" s="141" t="s">
        <v>87</v>
      </c>
    </row>
    <row r="19" spans="1:20">
      <c r="A19" s="26" t="e">
        <f>IF(Table4[[#This Row],[Column1]],T19)</f>
        <v>#VALUE!</v>
      </c>
      <c r="B19" s="16"/>
      <c r="C19" s="16"/>
      <c r="D19" s="16"/>
      <c r="E19" s="16"/>
      <c r="F19" s="16"/>
      <c r="G19" s="16"/>
      <c r="H19" s="16"/>
      <c r="I19" s="16"/>
      <c r="J19" s="16"/>
      <c r="K19" s="16"/>
      <c r="L19" s="16"/>
      <c r="M19" s="16"/>
      <c r="N19" s="16"/>
      <c r="O19" s="16"/>
      <c r="P19" s="16"/>
      <c r="Q19" s="16"/>
      <c r="R19" s="16"/>
      <c r="S19" s="127" t="e">
        <f>AND(Table4[[#This Row],[Adult]:[Pramoxine/Zinc]])</f>
        <v>#VALUE!</v>
      </c>
      <c r="T19" s="127"/>
    </row>
    <row r="20" spans="1:20">
      <c r="A20" s="24" t="b">
        <f>IF(Table4[[#This Row],[Column1]],T20)</f>
        <v>0</v>
      </c>
      <c r="B20" s="20" t="b">
        <f>B2</f>
        <v>0</v>
      </c>
      <c r="C20" s="17"/>
      <c r="D20" s="20" t="b">
        <f>D2</f>
        <v>0</v>
      </c>
      <c r="E20" s="17"/>
      <c r="F20" s="17"/>
      <c r="G20" s="17"/>
      <c r="H20" s="17"/>
      <c r="I20" s="20" t="b">
        <f>I2</f>
        <v>0</v>
      </c>
      <c r="J20" s="17"/>
      <c r="K20" s="20" t="b">
        <f>K2</f>
        <v>0</v>
      </c>
      <c r="L20" s="17"/>
      <c r="M20" s="17"/>
      <c r="N20" s="17"/>
      <c r="O20" s="17"/>
      <c r="P20" s="17"/>
      <c r="Q20" s="17"/>
      <c r="R20" s="17"/>
      <c r="S20" s="122" t="b">
        <f>AND(Table4[[#This Row],[Adult]:[Pramoxine/Zinc]])</f>
        <v>0</v>
      </c>
      <c r="T20" s="142" t="s">
        <v>91</v>
      </c>
    </row>
    <row r="21" spans="1:20">
      <c r="A21" s="24" t="b">
        <f>IF(Table4[[#This Row],[Column1]],T21)</f>
        <v>0</v>
      </c>
      <c r="B21" s="20" t="b">
        <f>B2</f>
        <v>0</v>
      </c>
      <c r="C21" s="17"/>
      <c r="D21" s="20" t="b">
        <f>D2</f>
        <v>0</v>
      </c>
      <c r="E21" s="17"/>
      <c r="F21" s="17"/>
      <c r="G21" s="17"/>
      <c r="H21" s="17"/>
      <c r="I21" s="20" t="b">
        <f>I2</f>
        <v>0</v>
      </c>
      <c r="J21" s="17"/>
      <c r="K21" s="20" t="b">
        <f>K2</f>
        <v>0</v>
      </c>
      <c r="L21" s="17"/>
      <c r="M21" s="17"/>
      <c r="N21" s="17"/>
      <c r="O21" s="17"/>
      <c r="P21" s="17"/>
      <c r="Q21" s="17"/>
      <c r="R21" s="17"/>
      <c r="S21" s="122" t="b">
        <f>AND(Table4[[#This Row],[Adult]:[Pramoxine/Zinc]])</f>
        <v>0</v>
      </c>
      <c r="T21" s="143" t="s">
        <v>92</v>
      </c>
    </row>
    <row r="22" spans="1:20">
      <c r="A22" s="24" t="b">
        <f>IF(Table4[[#This Row],[Column1]],T22)</f>
        <v>0</v>
      </c>
      <c r="B22" s="20" t="b">
        <f>B2</f>
        <v>0</v>
      </c>
      <c r="C22" s="17"/>
      <c r="D22" s="20" t="b">
        <f>D2</f>
        <v>0</v>
      </c>
      <c r="E22" s="17"/>
      <c r="F22" s="17"/>
      <c r="G22" s="17"/>
      <c r="H22" s="17"/>
      <c r="I22" s="20" t="b">
        <f>I2</f>
        <v>0</v>
      </c>
      <c r="J22" s="17"/>
      <c r="K22" s="20" t="b">
        <f>K2</f>
        <v>0</v>
      </c>
      <c r="L22" s="20" t="b">
        <f>L2</f>
        <v>0</v>
      </c>
      <c r="M22" s="17"/>
      <c r="N22" s="17"/>
      <c r="O22" s="17"/>
      <c r="P22" s="17"/>
      <c r="Q22" s="17"/>
      <c r="R22" s="17"/>
      <c r="S22" s="122" t="b">
        <f>AND(Table4[[#This Row],[Adult]:[Pramoxine/Zinc]])</f>
        <v>0</v>
      </c>
      <c r="T22" s="143" t="s">
        <v>93</v>
      </c>
    </row>
    <row r="23" spans="1:20">
      <c r="A23" s="26" t="e">
        <f>IF(Table4[[#This Row],[Column1]],T23)</f>
        <v>#VALUE!</v>
      </c>
      <c r="B23" s="16"/>
      <c r="C23" s="16"/>
      <c r="D23" s="16"/>
      <c r="E23" s="16"/>
      <c r="F23" s="16"/>
      <c r="G23" s="16"/>
      <c r="H23" s="16"/>
      <c r="I23" s="16"/>
      <c r="J23" s="16"/>
      <c r="K23" s="16"/>
      <c r="L23" s="16"/>
      <c r="M23" s="16"/>
      <c r="N23" s="16"/>
      <c r="O23" s="16"/>
      <c r="P23" s="16"/>
      <c r="Q23" s="16"/>
      <c r="R23" s="16"/>
      <c r="S23" s="127" t="e">
        <f>AND(Table4[[#This Row],[Adult]:[Pramoxine/Zinc]])</f>
        <v>#VALUE!</v>
      </c>
      <c r="T23" s="129"/>
    </row>
    <row r="24" spans="1:20">
      <c r="A24" s="24" t="b">
        <f>IF(Table4[[#This Row],[Column1]],T24)</f>
        <v>0</v>
      </c>
      <c r="B24" s="20" t="b">
        <f>B2</f>
        <v>0</v>
      </c>
      <c r="C24" s="17"/>
      <c r="D24" s="20" t="b">
        <f>D2</f>
        <v>0</v>
      </c>
      <c r="E24" s="17"/>
      <c r="F24" s="17"/>
      <c r="G24" s="17"/>
      <c r="H24" s="20" t="b">
        <f>H18</f>
        <v>0</v>
      </c>
      <c r="I24" s="17"/>
      <c r="J24" s="106" t="b">
        <f>AND('Allergy Criteria'!C11,'Allergy Criteria'!C8,'Allergy Criteria'!C26,OR('Allergy Criteria'!B15,'Allergy Criteria'!B17:B21))</f>
        <v>0</v>
      </c>
      <c r="K24" s="17"/>
      <c r="L24" s="17"/>
      <c r="M24" s="17"/>
      <c r="N24" s="17"/>
      <c r="O24" s="17"/>
      <c r="P24" s="17"/>
      <c r="Q24" s="17"/>
      <c r="R24" s="17"/>
      <c r="S24" s="122" t="b">
        <f>AND(Table4[[#This Row],[Adult]:[Pramoxine/Zinc]])</f>
        <v>0</v>
      </c>
      <c r="T24" s="142" t="s">
        <v>94</v>
      </c>
    </row>
    <row r="25" spans="1:20">
      <c r="A25" s="24" t="b">
        <f>IF(Table4[[#This Row],[Column1]],T25)</f>
        <v>0</v>
      </c>
      <c r="B25" s="20" t="b">
        <f>B2</f>
        <v>0</v>
      </c>
      <c r="C25" s="17"/>
      <c r="D25" s="20" t="b">
        <f>D2</f>
        <v>0</v>
      </c>
      <c r="E25" s="17"/>
      <c r="F25" s="17"/>
      <c r="G25" s="17"/>
      <c r="H25" s="20" t="b">
        <f>H18</f>
        <v>0</v>
      </c>
      <c r="I25" s="17"/>
      <c r="J25" s="20" t="b">
        <f>J24</f>
        <v>0</v>
      </c>
      <c r="K25" s="17"/>
      <c r="L25" s="17"/>
      <c r="M25" s="17"/>
      <c r="N25" s="17"/>
      <c r="O25" s="17"/>
      <c r="P25" s="17"/>
      <c r="Q25" s="17"/>
      <c r="R25" s="17"/>
      <c r="S25" s="122" t="b">
        <f>AND(Table4[[#This Row],[Adult]:[Pramoxine/Zinc]])</f>
        <v>0</v>
      </c>
      <c r="T25" s="142" t="s">
        <v>97</v>
      </c>
    </row>
    <row r="26" spans="1:20">
      <c r="A26" s="24" t="b">
        <f>IF(Table4[[#This Row],[Column1]],T26)</f>
        <v>0</v>
      </c>
      <c r="B26" s="20" t="b">
        <f>B2</f>
        <v>0</v>
      </c>
      <c r="C26" s="17"/>
      <c r="D26" s="20" t="b">
        <f>D2</f>
        <v>0</v>
      </c>
      <c r="E26" s="17"/>
      <c r="F26" s="17"/>
      <c r="G26" s="17"/>
      <c r="H26" s="20" t="b">
        <f>H18</f>
        <v>0</v>
      </c>
      <c r="I26" s="17"/>
      <c r="J26" s="20" t="b">
        <f>J24</f>
        <v>0</v>
      </c>
      <c r="K26" s="17"/>
      <c r="L26" s="17"/>
      <c r="M26" s="17"/>
      <c r="N26" s="17"/>
      <c r="O26" s="17"/>
      <c r="P26" s="17"/>
      <c r="Q26" s="17"/>
      <c r="R26" s="17"/>
      <c r="S26" s="122" t="b">
        <f>AND(Table4[[#This Row],[Adult]:[Pramoxine/Zinc]])</f>
        <v>0</v>
      </c>
      <c r="T26" s="142" t="s">
        <v>95</v>
      </c>
    </row>
    <row r="27" spans="1:20">
      <c r="A27" s="24" t="b">
        <f>IF(Table4[[#This Row],[Column1]],T27)</f>
        <v>0</v>
      </c>
      <c r="B27" s="20" t="b">
        <f>B2</f>
        <v>0</v>
      </c>
      <c r="C27" s="17"/>
      <c r="D27" s="20" t="b">
        <f>D2</f>
        <v>0</v>
      </c>
      <c r="E27" s="17"/>
      <c r="F27" s="17"/>
      <c r="G27" s="17"/>
      <c r="H27" s="20" t="b">
        <f>H18</f>
        <v>0</v>
      </c>
      <c r="I27" s="17"/>
      <c r="J27" s="20" t="b">
        <f>J24</f>
        <v>0</v>
      </c>
      <c r="K27" s="17"/>
      <c r="L27" s="20" t="b">
        <f>L2</f>
        <v>0</v>
      </c>
      <c r="M27" s="17"/>
      <c r="N27" s="17"/>
      <c r="O27" s="17"/>
      <c r="P27" s="20" t="b">
        <f>AND('Allergy Criteria'!C11,'Allergy Criteria'!B27)</f>
        <v>0</v>
      </c>
      <c r="Q27" s="17"/>
      <c r="R27" s="17"/>
      <c r="S27" s="122" t="b">
        <f>AND(Table4[[#This Row],[Adult]:[Pramoxine/Zinc]])</f>
        <v>0</v>
      </c>
      <c r="T27" s="142" t="s">
        <v>96</v>
      </c>
    </row>
    <row r="28" spans="1:20">
      <c r="A28" s="24" t="b">
        <f>IF(Table4[[#This Row],[Column1]],T28)</f>
        <v>0</v>
      </c>
      <c r="B28" s="20" t="b">
        <f>B2</f>
        <v>0</v>
      </c>
      <c r="C28" s="17"/>
      <c r="D28" s="20" t="b">
        <f>D2</f>
        <v>0</v>
      </c>
      <c r="E28" s="17"/>
      <c r="F28" s="17"/>
      <c r="G28" s="17"/>
      <c r="H28" s="20" t="b">
        <f>H18</f>
        <v>0</v>
      </c>
      <c r="I28" s="17"/>
      <c r="J28" s="20" t="b">
        <f>J24</f>
        <v>0</v>
      </c>
      <c r="K28" s="17"/>
      <c r="L28" s="17"/>
      <c r="M28" s="17"/>
      <c r="N28" s="17"/>
      <c r="O28" s="17"/>
      <c r="P28" s="17"/>
      <c r="Q28" s="17"/>
      <c r="R28" s="17"/>
      <c r="S28" s="122" t="b">
        <f>AND(Table4[[#This Row],[Adult]:[Pramoxine/Zinc]])</f>
        <v>0</v>
      </c>
      <c r="T28" s="142" t="s">
        <v>98</v>
      </c>
    </row>
    <row r="29" spans="1:20">
      <c r="A29" s="24" t="b">
        <f>IF(Table4[[#This Row],[Column1]],T29)</f>
        <v>0</v>
      </c>
      <c r="B29" s="17"/>
      <c r="C29" s="20" t="b">
        <f>C4</f>
        <v>1</v>
      </c>
      <c r="D29" s="20" t="b">
        <f>D2</f>
        <v>0</v>
      </c>
      <c r="E29" s="17"/>
      <c r="F29" s="17"/>
      <c r="G29" s="17"/>
      <c r="H29" s="20" t="b">
        <f>H18</f>
        <v>0</v>
      </c>
      <c r="I29" s="17"/>
      <c r="J29" s="20" t="b">
        <f>J24</f>
        <v>0</v>
      </c>
      <c r="K29" s="17"/>
      <c r="L29" s="17"/>
      <c r="M29" s="17"/>
      <c r="N29" s="17"/>
      <c r="O29" s="17"/>
      <c r="P29" s="17"/>
      <c r="Q29" s="17"/>
      <c r="R29" s="17"/>
      <c r="S29" s="122" t="b">
        <f>AND(Table4[[#This Row],[Adult]:[Pramoxine/Zinc]])</f>
        <v>0</v>
      </c>
      <c r="T29" s="142" t="s">
        <v>102</v>
      </c>
    </row>
    <row r="30" spans="1:20">
      <c r="A30" s="24" t="b">
        <f>IF(Table4[[#This Row],[Column1]],T30)</f>
        <v>0</v>
      </c>
      <c r="B30" s="17"/>
      <c r="C30" s="20" t="b">
        <f>C4</f>
        <v>1</v>
      </c>
      <c r="D30" s="20" t="b">
        <f>D2</f>
        <v>0</v>
      </c>
      <c r="E30" s="17"/>
      <c r="F30" s="17"/>
      <c r="G30" s="17"/>
      <c r="H30" s="20" t="b">
        <f>H18</f>
        <v>0</v>
      </c>
      <c r="I30" s="17"/>
      <c r="J30" s="20" t="b">
        <f>J24</f>
        <v>0</v>
      </c>
      <c r="K30" s="17"/>
      <c r="L30" s="17"/>
      <c r="M30" s="17"/>
      <c r="N30" s="17"/>
      <c r="O30" s="17"/>
      <c r="P30" s="17"/>
      <c r="Q30" s="17"/>
      <c r="R30" s="17"/>
      <c r="S30" s="122" t="b">
        <f>AND(Table4[[#This Row],[Adult]:[Pramoxine/Zinc]])</f>
        <v>0</v>
      </c>
      <c r="T30" s="142" t="s">
        <v>103</v>
      </c>
    </row>
    <row r="31" spans="1:20">
      <c r="A31" s="24" t="b">
        <f>IF(Table4[[#This Row],[Column1]],T31)</f>
        <v>0</v>
      </c>
      <c r="B31" s="17"/>
      <c r="C31" s="20" t="b">
        <f>C4</f>
        <v>1</v>
      </c>
      <c r="D31" s="20" t="b">
        <f>D2</f>
        <v>0</v>
      </c>
      <c r="E31" s="17"/>
      <c r="F31" s="17"/>
      <c r="G31" s="17"/>
      <c r="H31" s="20" t="b">
        <f>H18</f>
        <v>0</v>
      </c>
      <c r="I31" s="17"/>
      <c r="J31" s="20" t="b">
        <f>J24</f>
        <v>0</v>
      </c>
      <c r="K31" s="17"/>
      <c r="L31" s="17"/>
      <c r="M31" s="17"/>
      <c r="N31" s="17"/>
      <c r="O31" s="17"/>
      <c r="P31" s="17"/>
      <c r="Q31" s="17"/>
      <c r="R31" s="17"/>
      <c r="S31" s="122" t="b">
        <f>AND(Table4[[#This Row],[Adult]:[Pramoxine/Zinc]])</f>
        <v>0</v>
      </c>
      <c r="T31" s="142" t="s">
        <v>104</v>
      </c>
    </row>
    <row r="32" spans="1:20">
      <c r="A32" s="24" t="b">
        <f>IF(Table4[[#This Row],[Column1]],T32)</f>
        <v>0</v>
      </c>
      <c r="B32" s="17"/>
      <c r="C32" s="17"/>
      <c r="D32" s="17"/>
      <c r="E32" s="17"/>
      <c r="F32" s="17"/>
      <c r="G32" s="20" t="b">
        <f>AND('Allergy Criteria'!B25,'Allergy Criteria'!C22:C24)</f>
        <v>0</v>
      </c>
      <c r="H32" s="20" t="b">
        <f>H18</f>
        <v>0</v>
      </c>
      <c r="I32" s="17"/>
      <c r="J32" s="106" t="b">
        <f>AND('Allergy Criteria'!B20)</f>
        <v>0</v>
      </c>
      <c r="K32" s="17"/>
      <c r="L32" s="17"/>
      <c r="M32" s="17"/>
      <c r="N32" s="17"/>
      <c r="O32" s="17"/>
      <c r="P32" s="17"/>
      <c r="Q32" s="17"/>
      <c r="R32" s="17"/>
      <c r="S32" s="122" t="b">
        <f>AND(Table4[[#This Row],[Adult]:[Pramoxine/Zinc]])</f>
        <v>0</v>
      </c>
      <c r="T32" s="142" t="s">
        <v>99</v>
      </c>
    </row>
    <row r="33" spans="1:20">
      <c r="A33" s="24" t="b">
        <f>IF(Table4[[#This Row],[Column1]],T33)</f>
        <v>0</v>
      </c>
      <c r="B33" s="17"/>
      <c r="C33" s="17"/>
      <c r="D33" s="17"/>
      <c r="E33" s="17"/>
      <c r="F33" s="17"/>
      <c r="G33" s="20" t="b">
        <f>G32</f>
        <v>0</v>
      </c>
      <c r="H33" s="20" t="b">
        <f>H18</f>
        <v>0</v>
      </c>
      <c r="I33" s="17"/>
      <c r="J33" s="20" t="b">
        <f>J32</f>
        <v>0</v>
      </c>
      <c r="K33" s="17"/>
      <c r="L33" s="17"/>
      <c r="M33" s="17"/>
      <c r="N33" s="17"/>
      <c r="O33" s="17"/>
      <c r="P33" s="17"/>
      <c r="Q33" s="17"/>
      <c r="R33" s="17"/>
      <c r="S33" s="122" t="b">
        <f>AND(Table4[[#This Row],[Adult]:[Pramoxine/Zinc]])</f>
        <v>0</v>
      </c>
      <c r="T33" s="142" t="s">
        <v>100</v>
      </c>
    </row>
    <row r="34" spans="1:20">
      <c r="A34" s="24" t="b">
        <f>IF(Table4[[#This Row],[Column1]],T34)</f>
        <v>0</v>
      </c>
      <c r="B34" s="17"/>
      <c r="C34" s="17"/>
      <c r="D34" s="17"/>
      <c r="E34" s="17"/>
      <c r="F34" s="17"/>
      <c r="G34" s="20" t="b">
        <f>G32</f>
        <v>0</v>
      </c>
      <c r="H34" s="20" t="b">
        <f>H18</f>
        <v>0</v>
      </c>
      <c r="I34" s="17"/>
      <c r="J34" s="20" t="b">
        <f>J32</f>
        <v>0</v>
      </c>
      <c r="K34" s="17"/>
      <c r="L34" s="17"/>
      <c r="M34" s="17"/>
      <c r="N34" s="17"/>
      <c r="O34" s="17"/>
      <c r="P34" s="17"/>
      <c r="Q34" s="17"/>
      <c r="R34" s="17"/>
      <c r="S34" s="122" t="b">
        <f>AND(Table4[[#This Row],[Adult]:[Pramoxine/Zinc]])</f>
        <v>0</v>
      </c>
      <c r="T34" s="142" t="s">
        <v>101</v>
      </c>
    </row>
    <row r="35" spans="1:20">
      <c r="A35" s="26" t="e">
        <f>IF(Table4[[#This Row],[Column1]],T35)</f>
        <v>#VALUE!</v>
      </c>
      <c r="B35" s="16"/>
      <c r="C35" s="16"/>
      <c r="D35" s="16"/>
      <c r="E35" s="16"/>
      <c r="F35" s="16"/>
      <c r="G35" s="16"/>
      <c r="H35" s="16"/>
      <c r="I35" s="16"/>
      <c r="J35" s="16"/>
      <c r="K35" s="16"/>
      <c r="L35" s="16"/>
      <c r="M35" s="16"/>
      <c r="N35" s="16"/>
      <c r="O35" s="16"/>
      <c r="P35" s="16"/>
      <c r="Q35" s="16"/>
      <c r="R35" s="16"/>
      <c r="S35" s="127" t="e">
        <f>AND(Table4[[#This Row],[Adult]:[Pramoxine/Zinc]])</f>
        <v>#VALUE!</v>
      </c>
      <c r="T35" s="128"/>
    </row>
    <row r="36" spans="1:20">
      <c r="A36" s="24" t="b">
        <f>IF(Table4[[#This Row],[Column1]],T36)</f>
        <v>0</v>
      </c>
      <c r="B36" s="20" t="b">
        <f>B2</f>
        <v>0</v>
      </c>
      <c r="C36" s="17"/>
      <c r="D36" s="20" t="b">
        <f>D2</f>
        <v>0</v>
      </c>
      <c r="E36" s="17"/>
      <c r="F36" s="17"/>
      <c r="G36" s="17"/>
      <c r="H36" s="17"/>
      <c r="I36" s="20" t="b">
        <f>I2</f>
        <v>0</v>
      </c>
      <c r="J36" s="17"/>
      <c r="K36" s="20" t="b">
        <f>K2</f>
        <v>0</v>
      </c>
      <c r="L36" s="17"/>
      <c r="M36" s="17"/>
      <c r="N36" s="17"/>
      <c r="O36" s="17"/>
      <c r="P36" s="17"/>
      <c r="Q36" s="17"/>
      <c r="R36" s="17"/>
      <c r="S36" s="122" t="b">
        <f>AND(Table4[[#This Row],[Adult]:[Pramoxine/Zinc]])</f>
        <v>0</v>
      </c>
      <c r="T36" s="139" t="s">
        <v>108</v>
      </c>
    </row>
    <row r="37" spans="1:20">
      <c r="A37" s="24" t="b">
        <f>IF(Table4[[#This Row],[Column1]],T37)</f>
        <v>0</v>
      </c>
      <c r="B37" s="17"/>
      <c r="C37" s="20" t="b">
        <f>C4</f>
        <v>1</v>
      </c>
      <c r="D37" s="20" t="b">
        <f>D2</f>
        <v>0</v>
      </c>
      <c r="E37" s="17"/>
      <c r="F37" s="17"/>
      <c r="G37" s="17"/>
      <c r="H37" s="17"/>
      <c r="I37" s="20" t="b">
        <f>I2</f>
        <v>0</v>
      </c>
      <c r="J37" s="17"/>
      <c r="K37" s="20" t="b">
        <f>K2</f>
        <v>0</v>
      </c>
      <c r="L37" s="17"/>
      <c r="M37" s="17"/>
      <c r="N37" s="17"/>
      <c r="O37" s="17"/>
      <c r="P37" s="17"/>
      <c r="Q37" s="17"/>
      <c r="R37" s="17"/>
      <c r="S37" s="122" t="b">
        <f>AND(Table4[[#This Row],[Adult]:[Pramoxine/Zinc]])</f>
        <v>0</v>
      </c>
      <c r="T37" s="144" t="s">
        <v>110</v>
      </c>
    </row>
    <row r="38" spans="1:20">
      <c r="A38" s="24" t="b">
        <f>IF(Table4[[#This Row],[Column1]],T38)</f>
        <v>0</v>
      </c>
      <c r="B38" s="20" t="b">
        <f>B2</f>
        <v>0</v>
      </c>
      <c r="C38" s="17"/>
      <c r="D38" s="20" t="b">
        <f>D2</f>
        <v>0</v>
      </c>
      <c r="E38" s="17"/>
      <c r="F38" s="17"/>
      <c r="G38" s="17"/>
      <c r="H38" s="17"/>
      <c r="I38" s="20" t="b">
        <f>I2</f>
        <v>0</v>
      </c>
      <c r="J38" s="17"/>
      <c r="K38" s="20" t="b">
        <f>K2</f>
        <v>0</v>
      </c>
      <c r="L38" s="20" t="b">
        <f>L2</f>
        <v>0</v>
      </c>
      <c r="M38" s="17"/>
      <c r="N38" s="17"/>
      <c r="O38" s="17"/>
      <c r="P38" s="17"/>
      <c r="Q38" s="17"/>
      <c r="R38" s="17"/>
      <c r="S38" s="122" t="b">
        <f>AND(Table4[[#This Row],[Adult]:[Pramoxine/Zinc]])</f>
        <v>0</v>
      </c>
      <c r="T38" s="144" t="s">
        <v>111</v>
      </c>
    </row>
    <row r="39" spans="1:20">
      <c r="A39" s="26" t="e">
        <f>IF(Table4[[#This Row],[Column1]],T39)</f>
        <v>#VALUE!</v>
      </c>
      <c r="B39" s="16"/>
      <c r="C39" s="16"/>
      <c r="D39" s="16"/>
      <c r="E39" s="16"/>
      <c r="F39" s="16"/>
      <c r="G39" s="16"/>
      <c r="H39" s="16"/>
      <c r="I39" s="16"/>
      <c r="J39" s="16"/>
      <c r="K39" s="16"/>
      <c r="L39" s="16"/>
      <c r="M39" s="16"/>
      <c r="N39" s="16"/>
      <c r="O39" s="16"/>
      <c r="P39" s="16"/>
      <c r="Q39" s="16"/>
      <c r="R39" s="16"/>
      <c r="S39" s="127" t="e">
        <f>AND(Table4[[#This Row],[Adult]:[Pramoxine/Zinc]])</f>
        <v>#VALUE!</v>
      </c>
      <c r="T39" s="127"/>
    </row>
    <row r="40" spans="1:20">
      <c r="A40" s="24" t="b">
        <f>IF(Table4[[#This Row],[Column1]],T40)</f>
        <v>0</v>
      </c>
      <c r="B40" s="20" t="b">
        <f>B2</f>
        <v>0</v>
      </c>
      <c r="C40" s="17"/>
      <c r="D40" s="20" t="b">
        <f>D2</f>
        <v>0</v>
      </c>
      <c r="E40" s="17"/>
      <c r="F40" s="17"/>
      <c r="G40" s="17"/>
      <c r="H40" s="20" t="b">
        <f>H18</f>
        <v>0</v>
      </c>
      <c r="I40" s="17"/>
      <c r="J40" s="20" t="b">
        <f>J24</f>
        <v>0</v>
      </c>
      <c r="K40" s="17"/>
      <c r="L40" s="17"/>
      <c r="M40" s="17"/>
      <c r="N40" s="17"/>
      <c r="O40" s="17"/>
      <c r="P40" s="17"/>
      <c r="Q40" s="17"/>
      <c r="R40" s="17"/>
      <c r="S40" s="122" t="b">
        <f>AND(Table4[[#This Row],[Adult]:[Pramoxine/Zinc]])</f>
        <v>0</v>
      </c>
      <c r="T40" s="122" t="s">
        <v>109</v>
      </c>
    </row>
    <row r="41" spans="1:20">
      <c r="A41" s="26" t="e">
        <f>IF(Table4[[#This Row],[Column1]],T41)</f>
        <v>#VALUE!</v>
      </c>
      <c r="B41" s="16"/>
      <c r="C41" s="16"/>
      <c r="D41" s="16"/>
      <c r="E41" s="16"/>
      <c r="F41" s="16"/>
      <c r="G41" s="16"/>
      <c r="H41" s="16"/>
      <c r="I41" s="16"/>
      <c r="J41" s="16"/>
      <c r="K41" s="16"/>
      <c r="L41" s="16"/>
      <c r="M41" s="16"/>
      <c r="N41" s="16"/>
      <c r="O41" s="16"/>
      <c r="P41" s="16"/>
      <c r="Q41" s="16"/>
      <c r="R41" s="16"/>
      <c r="S41" s="127" t="e">
        <f>AND(Table4[[#This Row],[Adult]:[Pramoxine/Zinc]])</f>
        <v>#VALUE!</v>
      </c>
      <c r="T41" s="127"/>
    </row>
    <row r="42" spans="1:20">
      <c r="A42" s="24" t="b">
        <f>IF(Table4[[#This Row],[Column1]],T42)</f>
        <v>0</v>
      </c>
      <c r="B42" s="20" t="b">
        <f>B2</f>
        <v>0</v>
      </c>
      <c r="C42" s="17"/>
      <c r="D42" s="20" t="b">
        <f>D2</f>
        <v>0</v>
      </c>
      <c r="E42" s="17"/>
      <c r="F42" s="17"/>
      <c r="G42" s="17"/>
      <c r="H42" s="20" t="b">
        <f>H18</f>
        <v>0</v>
      </c>
      <c r="I42" s="17"/>
      <c r="J42" s="17"/>
      <c r="K42" s="17"/>
      <c r="L42" s="20" t="b">
        <f>L2</f>
        <v>0</v>
      </c>
      <c r="M42" s="17"/>
      <c r="N42" s="17"/>
      <c r="O42" s="17"/>
      <c r="P42" s="17"/>
      <c r="Q42" s="20" t="b">
        <f>AND('Allergy Criteria'!C9:C10,'Allergy Criteria'!C4:C5,'Allergy Criteria'!B27)</f>
        <v>0</v>
      </c>
      <c r="R42" s="17"/>
      <c r="S42" s="122" t="b">
        <f>AND(Table4[[#This Row],[Adult]:[Pramoxine/Zinc]])</f>
        <v>0</v>
      </c>
      <c r="T42" s="145" t="s">
        <v>113</v>
      </c>
    </row>
    <row r="43" spans="1:20">
      <c r="A43" s="24" t="b">
        <f>IF(Table4[[#This Row],[Column1]],T43)</f>
        <v>0</v>
      </c>
      <c r="B43" s="20" t="b">
        <f>B2</f>
        <v>0</v>
      </c>
      <c r="C43" s="17"/>
      <c r="D43" s="20" t="b">
        <f>D2</f>
        <v>0</v>
      </c>
      <c r="E43" s="17"/>
      <c r="F43" s="17"/>
      <c r="G43" s="17"/>
      <c r="H43" s="20" t="b">
        <f>H18</f>
        <v>0</v>
      </c>
      <c r="I43" s="17"/>
      <c r="J43" s="17"/>
      <c r="K43" s="17"/>
      <c r="L43" s="20" t="b">
        <f>L2</f>
        <v>0</v>
      </c>
      <c r="M43" s="17"/>
      <c r="N43" s="17"/>
      <c r="O43" s="17"/>
      <c r="P43" s="20" t="b">
        <f>P27</f>
        <v>0</v>
      </c>
      <c r="Q43" s="19"/>
      <c r="R43" s="19"/>
      <c r="S43" s="122" t="b">
        <f>AND(Table4[[#This Row],[Adult]:[Pramoxine/Zinc]])</f>
        <v>0</v>
      </c>
      <c r="T43" s="146" t="s">
        <v>114</v>
      </c>
    </row>
    <row r="44" spans="1:20">
      <c r="A44" s="26" t="e">
        <f>IF(Table4[[#This Row],[Column1]],T44)</f>
        <v>#VALUE!</v>
      </c>
      <c r="B44" s="16"/>
      <c r="C44" s="16"/>
      <c r="D44" s="16"/>
      <c r="E44" s="16"/>
      <c r="F44" s="16"/>
      <c r="G44" s="16"/>
      <c r="H44" s="16"/>
      <c r="I44" s="16"/>
      <c r="J44" s="16"/>
      <c r="K44" s="16"/>
      <c r="L44" s="16"/>
      <c r="M44" s="16"/>
      <c r="N44" s="16"/>
      <c r="O44" s="16"/>
      <c r="P44" s="16"/>
      <c r="Q44" s="18"/>
      <c r="R44" s="18"/>
      <c r="S44" s="127" t="e">
        <f>AND(Table4[[#This Row],[Adult]:[Pramoxine/Zinc]])</f>
        <v>#VALUE!</v>
      </c>
      <c r="T44" s="127"/>
    </row>
    <row r="45" spans="1:20">
      <c r="A45" s="24" t="b">
        <f>IF(Table4[[#This Row],[Column1]],T45)</f>
        <v>0</v>
      </c>
      <c r="B45" s="20" t="b">
        <f>B2</f>
        <v>0</v>
      </c>
      <c r="C45" s="17"/>
      <c r="D45" s="17"/>
      <c r="E45" s="20" t="b">
        <f>E9</f>
        <v>0</v>
      </c>
      <c r="F45" s="17"/>
      <c r="G45" s="17"/>
      <c r="H45" s="17"/>
      <c r="I45" s="20" t="b">
        <f>I2</f>
        <v>0</v>
      </c>
      <c r="J45" s="17"/>
      <c r="K45" s="17"/>
      <c r="L45" s="17"/>
      <c r="M45" s="106" t="b">
        <f>OR('Allergy Criteria'!B15:B19)</f>
        <v>0</v>
      </c>
      <c r="N45" s="17"/>
      <c r="O45" s="17"/>
      <c r="P45" s="17"/>
      <c r="Q45" s="19"/>
      <c r="R45" s="19"/>
      <c r="S45" s="122" t="b">
        <f>AND(Table4[[#This Row],[Adult]:[Pramoxine/Zinc]])</f>
        <v>0</v>
      </c>
      <c r="T45" s="145" t="s">
        <v>72</v>
      </c>
    </row>
    <row r="46" spans="1:20">
      <c r="A46" s="26" t="e">
        <f>IF(Table4[[#This Row],[Column1]],T46)</f>
        <v>#VALUE!</v>
      </c>
      <c r="B46" s="16"/>
      <c r="C46" s="16"/>
      <c r="D46" s="16"/>
      <c r="E46" s="16"/>
      <c r="F46" s="16"/>
      <c r="G46" s="16"/>
      <c r="H46" s="16"/>
      <c r="I46" s="16"/>
      <c r="J46" s="16"/>
      <c r="K46" s="16"/>
      <c r="L46" s="16"/>
      <c r="M46" s="16"/>
      <c r="N46" s="16"/>
      <c r="O46" s="16"/>
      <c r="P46" s="16"/>
      <c r="Q46" s="18"/>
      <c r="R46" s="18"/>
      <c r="S46" s="127" t="e">
        <f>AND(Table4[[#This Row],[Adult]:[Pramoxine/Zinc]])</f>
        <v>#VALUE!</v>
      </c>
      <c r="T46" s="127"/>
    </row>
    <row r="47" spans="1:20">
      <c r="A47" s="24" t="b">
        <f>IF(Table4[[#This Row],[Column1]],T47)</f>
        <v>0</v>
      </c>
      <c r="B47" s="20" t="b">
        <f>B2</f>
        <v>0</v>
      </c>
      <c r="C47" s="17"/>
      <c r="D47" s="17"/>
      <c r="E47" s="20" t="b">
        <f>E9</f>
        <v>0</v>
      </c>
      <c r="F47" s="17"/>
      <c r="G47" s="17"/>
      <c r="H47" s="17"/>
      <c r="I47" s="20" t="b">
        <f>I2</f>
        <v>0</v>
      </c>
      <c r="J47" s="17"/>
      <c r="K47" s="17"/>
      <c r="L47" s="17"/>
      <c r="M47" s="20" t="b">
        <f>M45</f>
        <v>0</v>
      </c>
      <c r="N47" s="17"/>
      <c r="O47" s="17"/>
      <c r="P47" s="17"/>
      <c r="Q47" s="19"/>
      <c r="R47" s="19"/>
      <c r="S47" s="122" t="b">
        <f>AND(Table4[[#This Row],[Adult]:[Pramoxine/Zinc]])</f>
        <v>0</v>
      </c>
      <c r="T47" s="146" t="s">
        <v>115</v>
      </c>
    </row>
    <row r="48" spans="1:20">
      <c r="A48" s="26" t="e">
        <f>IF(Table4[[#This Row],[Column1]],T48)</f>
        <v>#VALUE!</v>
      </c>
      <c r="B48" s="16"/>
      <c r="C48" s="16"/>
      <c r="D48" s="16"/>
      <c r="E48" s="16"/>
      <c r="F48" s="16"/>
      <c r="G48" s="16"/>
      <c r="H48" s="16"/>
      <c r="I48" s="16"/>
      <c r="J48" s="16"/>
      <c r="K48" s="16"/>
      <c r="L48" s="16"/>
      <c r="M48" s="16"/>
      <c r="N48" s="16"/>
      <c r="O48" s="16"/>
      <c r="P48" s="16"/>
      <c r="Q48" s="18"/>
      <c r="R48" s="18"/>
      <c r="S48" s="127" t="e">
        <f>AND(Table4[[#This Row],[Adult]:[Pramoxine/Zinc]])</f>
        <v>#VALUE!</v>
      </c>
      <c r="T48" s="127"/>
    </row>
    <row r="49" spans="1:20" ht="15.75" customHeight="1">
      <c r="A49" s="24" t="b">
        <f>IF(Table4[[#This Row],[Column1]],T49)</f>
        <v>0</v>
      </c>
      <c r="B49" s="20" t="b">
        <f>B2</f>
        <v>0</v>
      </c>
      <c r="C49" s="17"/>
      <c r="D49" s="17"/>
      <c r="E49" s="20" t="b">
        <f>E9</f>
        <v>0</v>
      </c>
      <c r="F49" s="17"/>
      <c r="G49" s="17"/>
      <c r="H49" s="20" t="b">
        <f>H18</f>
        <v>0</v>
      </c>
      <c r="I49" s="17"/>
      <c r="J49" s="17"/>
      <c r="K49" s="17"/>
      <c r="L49" s="17"/>
      <c r="M49" s="17"/>
      <c r="N49" s="20" t="b">
        <f>N18</f>
        <v>0</v>
      </c>
      <c r="O49" s="17"/>
      <c r="P49" s="17"/>
      <c r="Q49" s="17"/>
      <c r="R49" s="17"/>
      <c r="S49" s="122" t="b">
        <f>AND(Table4[[#This Row],[Adult]:[Pramoxine/Zinc]])</f>
        <v>0</v>
      </c>
      <c r="T49" s="145" t="s">
        <v>116</v>
      </c>
    </row>
    <row r="50" spans="1:20" ht="15.75" customHeight="1">
      <c r="A50" s="24" t="b">
        <f>IF(Table4[[#This Row],[Column1]],T50)</f>
        <v>0</v>
      </c>
      <c r="B50" s="20" t="b">
        <f>B2</f>
        <v>0</v>
      </c>
      <c r="C50" s="17"/>
      <c r="D50" s="17"/>
      <c r="E50" s="20" t="b">
        <f>E9</f>
        <v>0</v>
      </c>
      <c r="F50" s="17"/>
      <c r="G50" s="17"/>
      <c r="H50" s="20" t="b">
        <f>H18</f>
        <v>0</v>
      </c>
      <c r="I50" s="17"/>
      <c r="J50" s="17"/>
      <c r="K50" s="17"/>
      <c r="L50" s="17"/>
      <c r="M50" s="17"/>
      <c r="N50" s="20" t="b">
        <f>N18</f>
        <v>0</v>
      </c>
      <c r="O50" s="17"/>
      <c r="P50" s="17"/>
      <c r="Q50" s="17"/>
      <c r="R50" s="17"/>
      <c r="S50" s="122" t="b">
        <f>AND(Table4[[#This Row],[Adult]:[Pramoxine/Zinc]])</f>
        <v>0</v>
      </c>
      <c r="T50" s="146" t="s">
        <v>117</v>
      </c>
    </row>
    <row r="51" spans="1:20" ht="15.75" customHeight="1">
      <c r="A51" s="24" t="b">
        <f>IF(Table4[[#This Row],[Column1]],T51)</f>
        <v>0</v>
      </c>
      <c r="B51" s="17"/>
      <c r="C51" s="20" t="b">
        <f>C4</f>
        <v>1</v>
      </c>
      <c r="D51" s="17"/>
      <c r="E51" s="20" t="b">
        <f>E9</f>
        <v>0</v>
      </c>
      <c r="F51" s="17"/>
      <c r="G51" s="17"/>
      <c r="H51" s="20" t="b">
        <f>H18</f>
        <v>0</v>
      </c>
      <c r="I51" s="17"/>
      <c r="J51" s="17"/>
      <c r="K51" s="17"/>
      <c r="L51" s="17"/>
      <c r="M51" s="17"/>
      <c r="N51" s="20" t="b">
        <f>N18</f>
        <v>0</v>
      </c>
      <c r="O51" s="17"/>
      <c r="P51" s="17"/>
      <c r="Q51" s="17"/>
      <c r="R51" s="17"/>
      <c r="S51" s="122" t="b">
        <f>AND(Table4[[#This Row],[Adult]:[Pramoxine/Zinc]])</f>
        <v>0</v>
      </c>
      <c r="T51" s="146" t="s">
        <v>118</v>
      </c>
    </row>
    <row r="52" spans="1:20" ht="15.75" customHeight="1">
      <c r="A52" s="24" t="b">
        <f>IF(Table4[[#This Row],[Column1]],T52)</f>
        <v>0</v>
      </c>
      <c r="B52" s="20" t="b">
        <f>B2</f>
        <v>0</v>
      </c>
      <c r="C52" s="17"/>
      <c r="D52" s="17"/>
      <c r="E52" s="20" t="b">
        <f>E9</f>
        <v>0</v>
      </c>
      <c r="F52" s="17"/>
      <c r="G52" s="17"/>
      <c r="H52" s="20" t="b">
        <f>H18</f>
        <v>0</v>
      </c>
      <c r="I52" s="17"/>
      <c r="J52" s="17"/>
      <c r="K52" s="17"/>
      <c r="L52" s="17"/>
      <c r="M52" s="17"/>
      <c r="N52" s="20" t="b">
        <f>N18</f>
        <v>0</v>
      </c>
      <c r="O52" s="17"/>
      <c r="P52" s="17"/>
      <c r="Q52" s="17"/>
      <c r="R52" s="17"/>
      <c r="S52" s="122" t="b">
        <f>AND(Table4[[#This Row],[Adult]:[Pramoxine/Zinc]])</f>
        <v>0</v>
      </c>
      <c r="T52" s="146" t="s">
        <v>119</v>
      </c>
    </row>
    <row r="53" spans="1:20" ht="15.75" customHeight="1">
      <c r="A53" s="24" t="b">
        <f>IF(Table4[[#This Row],[Column1]],T53)</f>
        <v>0</v>
      </c>
      <c r="B53" s="20" t="b">
        <f>B2</f>
        <v>0</v>
      </c>
      <c r="C53" s="17"/>
      <c r="D53" s="17"/>
      <c r="E53" s="20" t="b">
        <f>E9</f>
        <v>0</v>
      </c>
      <c r="F53" s="17"/>
      <c r="G53" s="17"/>
      <c r="H53" s="20" t="b">
        <f>H18</f>
        <v>0</v>
      </c>
      <c r="I53" s="17"/>
      <c r="J53" s="17"/>
      <c r="K53" s="17"/>
      <c r="L53" s="20" t="b">
        <f>L2</f>
        <v>0</v>
      </c>
      <c r="M53" s="17"/>
      <c r="N53" s="17"/>
      <c r="O53" s="17"/>
      <c r="P53" s="17"/>
      <c r="Q53" s="17"/>
      <c r="R53" s="17"/>
      <c r="S53" s="122" t="b">
        <f>AND(Table4[[#This Row],[Adult]:[Pramoxine/Zinc]])</f>
        <v>0</v>
      </c>
      <c r="T53" s="146" t="s">
        <v>120</v>
      </c>
    </row>
    <row r="54" spans="1:20" ht="15.75" customHeight="1">
      <c r="A54" s="24" t="b">
        <f>IF(Table4[[#This Row],[Column1]],T54)</f>
        <v>0</v>
      </c>
      <c r="B54" s="20" t="b">
        <f>B2</f>
        <v>0</v>
      </c>
      <c r="C54" s="17"/>
      <c r="D54" s="17"/>
      <c r="E54" s="20" t="b">
        <f>E9</f>
        <v>0</v>
      </c>
      <c r="F54" s="17"/>
      <c r="G54" s="17"/>
      <c r="H54" s="20" t="b">
        <f>H18</f>
        <v>0</v>
      </c>
      <c r="I54" s="17"/>
      <c r="J54" s="17"/>
      <c r="K54" s="17"/>
      <c r="L54" s="20" t="b">
        <f>L2</f>
        <v>0</v>
      </c>
      <c r="M54" s="17"/>
      <c r="N54" s="17"/>
      <c r="O54" s="17"/>
      <c r="P54" s="17"/>
      <c r="Q54" s="17"/>
      <c r="R54" s="17"/>
      <c r="S54" s="122" t="b">
        <f>AND(Table4[[#This Row],[Adult]:[Pramoxine/Zinc]])</f>
        <v>0</v>
      </c>
      <c r="T54" s="146" t="s">
        <v>121</v>
      </c>
    </row>
    <row r="55" spans="1:20" ht="15.75" customHeight="1">
      <c r="A55" s="24" t="b">
        <f>IF(Table4[[#This Row],[Column1]],T55)</f>
        <v>0</v>
      </c>
      <c r="B55" s="20" t="b">
        <f>B2</f>
        <v>0</v>
      </c>
      <c r="C55" s="17"/>
      <c r="D55" s="17"/>
      <c r="E55" s="20" t="b">
        <f>E9</f>
        <v>0</v>
      </c>
      <c r="F55" s="17"/>
      <c r="G55" s="17"/>
      <c r="H55" s="20" t="b">
        <f>H18</f>
        <v>0</v>
      </c>
      <c r="I55" s="17"/>
      <c r="J55" s="17"/>
      <c r="K55" s="17"/>
      <c r="L55" s="20" t="b">
        <f>L2</f>
        <v>0</v>
      </c>
      <c r="M55" s="17"/>
      <c r="N55" s="17"/>
      <c r="O55" s="17"/>
      <c r="P55" s="17"/>
      <c r="Q55" s="17"/>
      <c r="R55" s="17"/>
      <c r="S55" s="122" t="b">
        <f>AND(Table4[[#This Row],[Adult]:[Pramoxine/Zinc]])</f>
        <v>0</v>
      </c>
      <c r="T55" s="146" t="s">
        <v>122</v>
      </c>
    </row>
    <row r="56" spans="1:20" ht="15.75" customHeight="1">
      <c r="A56" s="26" t="e">
        <f>IF(Table4[[#This Row],[Column1]],T56)</f>
        <v>#VALUE!</v>
      </c>
      <c r="B56" s="16"/>
      <c r="C56" s="16"/>
      <c r="D56" s="16"/>
      <c r="E56" s="16"/>
      <c r="F56" s="16"/>
      <c r="G56" s="16"/>
      <c r="H56" s="16"/>
      <c r="I56" s="16"/>
      <c r="J56" s="16"/>
      <c r="K56" s="16"/>
      <c r="L56" s="16"/>
      <c r="M56" s="16"/>
      <c r="N56" s="16"/>
      <c r="O56" s="16"/>
      <c r="P56" s="16"/>
      <c r="Q56" s="16"/>
      <c r="R56" s="16"/>
      <c r="S56" s="127" t="e">
        <f>AND(Table4[[#This Row],[Adult]:[Pramoxine/Zinc]])</f>
        <v>#VALUE!</v>
      </c>
      <c r="T56" s="121"/>
    </row>
    <row r="57" spans="1:20" ht="15.75" customHeight="1">
      <c r="A57" s="24" t="b">
        <f>IF(Table4[[#This Row],[Column1]],T57)</f>
        <v>0</v>
      </c>
      <c r="B57" s="20" t="b">
        <f>B2</f>
        <v>0</v>
      </c>
      <c r="C57" s="17"/>
      <c r="D57" s="17"/>
      <c r="E57" s="17"/>
      <c r="F57" s="20" t="b">
        <f>AND('Allergy Criteria'!B24,'Allergy Criteria'!C22:C23,'Allergy Criteria'!C25)</f>
        <v>0</v>
      </c>
      <c r="G57" s="17"/>
      <c r="H57" s="17"/>
      <c r="I57" s="17"/>
      <c r="J57" s="17"/>
      <c r="K57" s="17"/>
      <c r="L57" s="17"/>
      <c r="M57" s="17"/>
      <c r="N57" s="17"/>
      <c r="O57" s="20" t="b">
        <f>OR('Allergy Criteria'!B19,'Allergy Criteria'!B21)</f>
        <v>0</v>
      </c>
      <c r="P57" s="17"/>
      <c r="Q57" s="17"/>
      <c r="R57" s="17"/>
      <c r="S57" s="122" t="b">
        <f>AND(Table4[[#This Row],[Adult]:[Pramoxine/Zinc]])</f>
        <v>0</v>
      </c>
      <c r="T57" s="122" t="s">
        <v>123</v>
      </c>
    </row>
    <row r="58" spans="1:20" ht="15.75" customHeight="1">
      <c r="A58" s="26" t="e">
        <f>IF(Table4[[#This Row],[Column1]],T58)</f>
        <v>#VALUE!</v>
      </c>
      <c r="B58" s="16"/>
      <c r="C58" s="16"/>
      <c r="D58" s="16"/>
      <c r="E58" s="16"/>
      <c r="F58" s="16"/>
      <c r="G58" s="16"/>
      <c r="H58" s="16"/>
      <c r="I58" s="16"/>
      <c r="J58" s="16"/>
      <c r="K58" s="16"/>
      <c r="L58" s="16"/>
      <c r="M58" s="16"/>
      <c r="N58" s="16"/>
      <c r="O58" s="16"/>
      <c r="P58" s="16"/>
      <c r="Q58" s="16"/>
      <c r="R58" s="16"/>
      <c r="S58" s="127" t="e">
        <f>AND(Table4[[#This Row],[Adult]:[Pramoxine/Zinc]])</f>
        <v>#VALUE!</v>
      </c>
      <c r="T58" s="121"/>
    </row>
    <row r="59" spans="1:20" ht="15.75" customHeight="1">
      <c r="A59" s="24" t="b">
        <f>IF(Table4[[#This Row],[Column1]],T59)</f>
        <v>0</v>
      </c>
      <c r="B59" s="17"/>
      <c r="C59" s="20" t="b">
        <f>C4</f>
        <v>1</v>
      </c>
      <c r="D59" s="17"/>
      <c r="E59" s="17"/>
      <c r="F59" s="20" t="b">
        <f>F57</f>
        <v>0</v>
      </c>
      <c r="G59" s="17"/>
      <c r="H59" s="17"/>
      <c r="I59" s="17"/>
      <c r="J59" s="17"/>
      <c r="K59" s="17"/>
      <c r="L59" s="17"/>
      <c r="M59" s="17"/>
      <c r="N59" s="17"/>
      <c r="O59" s="20" t="b">
        <f>O57</f>
        <v>0</v>
      </c>
      <c r="P59" s="17"/>
      <c r="Q59" s="17"/>
      <c r="R59" s="17"/>
      <c r="S59" s="122" t="b">
        <f>AND(Table4[[#This Row],[Adult]:[Pramoxine/Zinc]])</f>
        <v>0</v>
      </c>
      <c r="T59" s="122" t="s">
        <v>149</v>
      </c>
    </row>
    <row r="60" spans="1:20" ht="15.75" customHeight="1">
      <c r="A60" s="26" t="e">
        <f>IF(Table4[[#This Row],[Column1]],T60)</f>
        <v>#VALUE!</v>
      </c>
      <c r="B60" s="16"/>
      <c r="C60" s="16"/>
      <c r="D60" s="16"/>
      <c r="E60" s="16"/>
      <c r="F60" s="16"/>
      <c r="G60" s="16"/>
      <c r="H60" s="16"/>
      <c r="I60" s="16"/>
      <c r="J60" s="16"/>
      <c r="K60" s="16"/>
      <c r="L60" s="16"/>
      <c r="M60" s="16"/>
      <c r="N60" s="16"/>
      <c r="O60" s="16"/>
      <c r="P60" s="16"/>
      <c r="Q60" s="16"/>
      <c r="R60" s="16"/>
      <c r="S60" s="127" t="e">
        <f>AND(Table4[[#This Row],[Adult]:[Pramoxine/Zinc]])</f>
        <v>#VALUE!</v>
      </c>
      <c r="T60" s="121"/>
    </row>
    <row r="61" spans="1:20" ht="15.75" customHeight="1">
      <c r="A61" s="24" t="b">
        <f>IF(Table4[[#This Row],[Column1]],T61)</f>
        <v>0</v>
      </c>
      <c r="B61" s="20" t="b">
        <f>B2</f>
        <v>0</v>
      </c>
      <c r="C61" s="17"/>
      <c r="D61" s="17"/>
      <c r="E61" s="17"/>
      <c r="F61" s="20" t="b">
        <f>F57</f>
        <v>0</v>
      </c>
      <c r="G61" s="17"/>
      <c r="H61" s="17"/>
      <c r="I61" s="17"/>
      <c r="J61" s="20" t="b">
        <f>J66</f>
        <v>0</v>
      </c>
      <c r="K61" s="17"/>
      <c r="L61" s="106" t="b">
        <f>AND('Allergy Criteria'!C3:C5,'Allergy Criteria'!C7,'Allergy Criteria'!B21)</f>
        <v>0</v>
      </c>
      <c r="M61" s="17"/>
      <c r="N61" s="17"/>
      <c r="O61" s="17"/>
      <c r="P61" s="17"/>
      <c r="Q61" s="17"/>
      <c r="R61" s="17"/>
      <c r="S61" s="122" t="b">
        <f>AND(Table4[[#This Row],[Adult]:[Pramoxine/Zinc]])</f>
        <v>0</v>
      </c>
      <c r="T61" s="122" t="s">
        <v>128</v>
      </c>
    </row>
    <row r="62" spans="1:20" ht="15.75" customHeight="1">
      <c r="A62" s="26" t="e">
        <f>IF(Table4[[#This Row],[Column1]],T62)</f>
        <v>#VALUE!</v>
      </c>
      <c r="B62" s="16"/>
      <c r="C62" s="16"/>
      <c r="D62" s="16"/>
      <c r="E62" s="16"/>
      <c r="F62" s="16"/>
      <c r="G62" s="16"/>
      <c r="H62" s="16"/>
      <c r="I62" s="16"/>
      <c r="J62" s="16"/>
      <c r="K62" s="16"/>
      <c r="L62" s="16"/>
      <c r="M62" s="16"/>
      <c r="N62" s="16"/>
      <c r="O62" s="16"/>
      <c r="P62" s="16"/>
      <c r="Q62" s="16"/>
      <c r="R62" s="16"/>
      <c r="S62" s="127" t="e">
        <f>AND(Table4[[#This Row],[Adult]:[Pramoxine/Zinc]])</f>
        <v>#VALUE!</v>
      </c>
      <c r="T62" s="121"/>
    </row>
    <row r="63" spans="1:20" ht="15.75" customHeight="1">
      <c r="A63" s="24" t="b">
        <f>IF(Table4[[#This Row],[Column1]],T63)</f>
        <v>0</v>
      </c>
      <c r="B63" s="20" t="b">
        <f>B2</f>
        <v>0</v>
      </c>
      <c r="C63" s="17"/>
      <c r="D63" s="17"/>
      <c r="E63" s="17"/>
      <c r="F63" s="20" t="b">
        <f>F57</f>
        <v>0</v>
      </c>
      <c r="G63" s="17"/>
      <c r="H63" s="20" t="b">
        <f>H18</f>
        <v>0</v>
      </c>
      <c r="I63" s="17"/>
      <c r="J63" s="17"/>
      <c r="K63" s="17"/>
      <c r="L63" s="20" t="b">
        <f>L61</f>
        <v>0</v>
      </c>
      <c r="M63" s="17"/>
      <c r="N63" s="17"/>
      <c r="O63" s="17"/>
      <c r="P63" s="17"/>
      <c r="Q63" s="17"/>
      <c r="R63" s="17"/>
      <c r="S63" s="122" t="b">
        <f>AND(Table4[[#This Row],[Adult]:[Pramoxine/Zinc]])</f>
        <v>0</v>
      </c>
      <c r="T63" s="146" t="s">
        <v>129</v>
      </c>
    </row>
    <row r="64" spans="1:20" ht="15.75" customHeight="1">
      <c r="A64" s="26" t="e">
        <f>IF(Table4[[#This Row],[Column1]],T64)</f>
        <v>#VALUE!</v>
      </c>
      <c r="B64" s="16"/>
      <c r="C64" s="16"/>
      <c r="D64" s="16"/>
      <c r="E64" s="16"/>
      <c r="F64" s="16"/>
      <c r="G64" s="16"/>
      <c r="H64" s="16"/>
      <c r="I64" s="16"/>
      <c r="J64" s="16"/>
      <c r="K64" s="16"/>
      <c r="L64" s="16"/>
      <c r="M64" s="16"/>
      <c r="N64" s="16"/>
      <c r="O64" s="16"/>
      <c r="P64" s="16"/>
      <c r="Q64" s="16"/>
      <c r="R64" s="16"/>
      <c r="S64" s="127" t="e">
        <f>AND(Table4[[#This Row],[Adult]:[Pramoxine/Zinc]])</f>
        <v>#VALUE!</v>
      </c>
      <c r="T64" s="121"/>
    </row>
    <row r="65" spans="1:20" ht="15.75" customHeight="1">
      <c r="A65" s="24" t="b">
        <f>IF(Table4[[#This Row],[Column1]],T65)</f>
        <v>0</v>
      </c>
      <c r="B65" s="20" t="b">
        <f>B2</f>
        <v>0</v>
      </c>
      <c r="C65" s="17"/>
      <c r="D65" s="17"/>
      <c r="E65" s="17"/>
      <c r="F65" s="20" t="b">
        <f>F57</f>
        <v>0</v>
      </c>
      <c r="G65" s="17"/>
      <c r="H65" s="20" t="b">
        <f>H18</f>
        <v>0</v>
      </c>
      <c r="I65" s="17"/>
      <c r="J65" s="17"/>
      <c r="K65" s="17"/>
      <c r="L65" s="20" t="b">
        <f>L61</f>
        <v>0</v>
      </c>
      <c r="M65" s="17"/>
      <c r="N65" s="17"/>
      <c r="O65" s="17"/>
      <c r="P65" s="17"/>
      <c r="Q65" s="17"/>
      <c r="R65" s="17"/>
      <c r="S65" s="122" t="b">
        <f>AND(Table4[[#This Row],[Adult]:[Pramoxine/Zinc]])</f>
        <v>0</v>
      </c>
      <c r="T65" s="146" t="s">
        <v>131</v>
      </c>
    </row>
    <row r="66" spans="1:20" ht="15.75" customHeight="1">
      <c r="A66" s="24" t="b">
        <f>IF(Table4[[#This Row],[Column1]],T66)</f>
        <v>0</v>
      </c>
      <c r="B66" s="20" t="b">
        <f>B2</f>
        <v>0</v>
      </c>
      <c r="C66" s="17"/>
      <c r="D66" s="17"/>
      <c r="E66" s="17"/>
      <c r="F66" s="20" t="b">
        <f>F57</f>
        <v>0</v>
      </c>
      <c r="G66" s="17"/>
      <c r="H66" s="20" t="b">
        <f>H18</f>
        <v>0</v>
      </c>
      <c r="I66" s="17"/>
      <c r="J66" s="106" t="b">
        <f>AND('Allergy Criteria'!B19)</f>
        <v>0</v>
      </c>
      <c r="K66" s="17"/>
      <c r="L66" s="20" t="b">
        <f>L61</f>
        <v>0</v>
      </c>
      <c r="M66" s="17"/>
      <c r="N66" s="17"/>
      <c r="O66" s="17"/>
      <c r="P66" s="17"/>
      <c r="Q66" s="17"/>
      <c r="R66" s="17"/>
      <c r="S66" s="122" t="b">
        <f>AND(Table4[[#This Row],[Adult]:[Pramoxine/Zinc]])</f>
        <v>0</v>
      </c>
      <c r="T66" s="146" t="s">
        <v>130</v>
      </c>
    </row>
    <row r="67" spans="1:20" ht="15.75" customHeight="1">
      <c r="A67" s="26" t="e">
        <f>IF(Table4[[#This Row],[Column1]],T67)</f>
        <v>#VALUE!</v>
      </c>
      <c r="B67" s="16"/>
      <c r="C67" s="16"/>
      <c r="D67" s="16"/>
      <c r="E67" s="16"/>
      <c r="F67" s="16"/>
      <c r="G67" s="16"/>
      <c r="H67" s="16"/>
      <c r="I67" s="16"/>
      <c r="J67" s="16"/>
      <c r="K67" s="16"/>
      <c r="L67" s="16"/>
      <c r="M67" s="16"/>
      <c r="N67" s="16"/>
      <c r="O67" s="16"/>
      <c r="P67" s="16"/>
      <c r="Q67" s="16"/>
      <c r="R67" s="16"/>
      <c r="S67" s="127" t="e">
        <f>AND(Table4[[#This Row],[Adult]:[Pramoxine/Zinc]])</f>
        <v>#VALUE!</v>
      </c>
      <c r="T67" s="121"/>
    </row>
    <row r="68" spans="1:20" ht="15.75" customHeight="1">
      <c r="A68" s="24" t="b">
        <f>IF(Table4[[#This Row],[Column1]],T68)</f>
        <v>0</v>
      </c>
      <c r="B68" s="17"/>
      <c r="C68" s="20" t="b">
        <f>C4</f>
        <v>1</v>
      </c>
      <c r="D68" s="17"/>
      <c r="E68" s="17"/>
      <c r="F68" s="17"/>
      <c r="G68" s="20" t="b">
        <f>G32</f>
        <v>0</v>
      </c>
      <c r="H68" s="17"/>
      <c r="I68" s="20" t="b">
        <f>I2</f>
        <v>0</v>
      </c>
      <c r="J68" s="17"/>
      <c r="K68" s="17"/>
      <c r="L68" s="17"/>
      <c r="M68" s="106" t="b">
        <f>AND('Allergy Criteria'!B20)</f>
        <v>0</v>
      </c>
      <c r="N68" s="17"/>
      <c r="O68" s="17"/>
      <c r="P68" s="17"/>
      <c r="Q68" s="17"/>
      <c r="R68" s="17"/>
      <c r="S68" s="122" t="b">
        <f>AND(Table4[[#This Row],[Adult]:[Pramoxine/Zinc]])</f>
        <v>0</v>
      </c>
      <c r="T68" s="146" t="s">
        <v>132</v>
      </c>
    </row>
    <row r="69" spans="1:20" ht="15.75" customHeight="1">
      <c r="A69" s="24" t="b">
        <f>IF(Table4[[#This Row],[Column1]],T69)</f>
        <v>0</v>
      </c>
      <c r="B69" s="17"/>
      <c r="C69" s="20" t="b">
        <f>C4</f>
        <v>1</v>
      </c>
      <c r="D69" s="17"/>
      <c r="E69" s="17"/>
      <c r="F69" s="17"/>
      <c r="G69" s="20" t="b">
        <f>G32</f>
        <v>0</v>
      </c>
      <c r="H69" s="20" t="b">
        <f>H18</f>
        <v>0</v>
      </c>
      <c r="I69" s="17"/>
      <c r="J69" s="17"/>
      <c r="K69" s="17"/>
      <c r="L69" s="17"/>
      <c r="M69" s="17"/>
      <c r="N69" s="17"/>
      <c r="O69" s="17"/>
      <c r="P69" s="17"/>
      <c r="Q69" s="17"/>
      <c r="R69" s="20" t="b">
        <f>AND('Allergy Criteria'!B20)</f>
        <v>0</v>
      </c>
      <c r="S69" s="122" t="b">
        <f>AND(Table4[[#This Row],[Adult]:[Pramoxine/Zinc]])</f>
        <v>0</v>
      </c>
      <c r="T69" s="146" t="s">
        <v>133</v>
      </c>
    </row>
    <row r="70" spans="1:20" ht="15.75" customHeight="1" thickBot="1">
      <c r="A70" s="25" t="e">
        <f>IF(Table4[[#This Row],[Column1]],T70)</f>
        <v>#VALUE!</v>
      </c>
      <c r="B70" s="16"/>
      <c r="C70" s="16"/>
      <c r="D70" s="16"/>
      <c r="E70" s="16"/>
      <c r="F70" s="16"/>
      <c r="G70" s="16"/>
      <c r="H70" s="16"/>
      <c r="I70" s="16"/>
      <c r="J70" s="16"/>
      <c r="K70" s="16"/>
      <c r="L70" s="16"/>
      <c r="M70" s="16"/>
      <c r="N70" s="16"/>
      <c r="O70" s="16"/>
      <c r="P70" s="16"/>
      <c r="Q70" s="16"/>
      <c r="R70" s="16"/>
      <c r="S70" s="127" t="e">
        <f>AND(Table4[[#This Row],[Adult]:[Pramoxine/Zinc]])</f>
        <v>#VALUE!</v>
      </c>
      <c r="T70" s="121"/>
    </row>
    <row r="71" spans="1:20" ht="15.75" customHeight="1" thickBot="1">
      <c r="A71" s="72" t="b">
        <f>IF(Table4[[#This Row],[Column1]],T71)</f>
        <v>0</v>
      </c>
      <c r="B71" s="17"/>
      <c r="C71" s="20" t="b">
        <f>C4</f>
        <v>1</v>
      </c>
      <c r="D71" s="17"/>
      <c r="E71" s="17"/>
      <c r="F71" s="17"/>
      <c r="G71" s="20" t="b">
        <f>G32</f>
        <v>0</v>
      </c>
      <c r="H71" s="20" t="b">
        <f>H18</f>
        <v>0</v>
      </c>
      <c r="I71" s="17"/>
      <c r="J71" s="17"/>
      <c r="K71" s="17"/>
      <c r="L71" s="17"/>
      <c r="M71" s="17"/>
      <c r="N71" s="17"/>
      <c r="O71" s="17"/>
      <c r="P71" s="17"/>
      <c r="Q71" s="17"/>
      <c r="R71" s="20" t="b">
        <f>R69</f>
        <v>0</v>
      </c>
      <c r="S71" s="122" t="b">
        <f>AND(Table4[[#This Row],[Adult]:[Pramoxine/Zinc]])</f>
        <v>0</v>
      </c>
      <c r="T71" s="122" t="s">
        <v>584</v>
      </c>
    </row>
    <row r="72" spans="1:20">
      <c r="A72" s="16"/>
      <c r="B72" s="16"/>
      <c r="C72" s="16"/>
      <c r="D72" s="16"/>
      <c r="E72" s="16"/>
      <c r="F72" s="16"/>
      <c r="G72" s="16"/>
      <c r="H72" s="16"/>
      <c r="I72" s="16"/>
      <c r="J72" s="16"/>
      <c r="K72" s="16"/>
      <c r="L72" s="16"/>
      <c r="M72" s="16"/>
      <c r="N72" s="16"/>
      <c r="O72" s="16"/>
      <c r="P72" s="16"/>
      <c r="Q72" s="16"/>
      <c r="R72" s="16"/>
      <c r="S72" s="121"/>
      <c r="T72" s="121"/>
    </row>
  </sheetData>
  <hyperlinks>
    <hyperlink ref="T6" r:id="rId1" xr:uid="{00000000-0004-0000-0A00-000000000000}"/>
    <hyperlink ref="T7" r:id="rId2" xr:uid="{00000000-0004-0000-0A00-000001000000}"/>
    <hyperlink ref="T8" r:id="rId3" xr:uid="{00000000-0004-0000-0A00-000002000000}"/>
    <hyperlink ref="T2" r:id="rId4" xr:uid="{00000000-0004-0000-0A00-000003000000}"/>
    <hyperlink ref="T3" r:id="rId5" xr:uid="{00000000-0004-0000-0A00-000004000000}"/>
    <hyperlink ref="T5" r:id="rId6" xr:uid="{00000000-0004-0000-0A00-000005000000}"/>
    <hyperlink ref="T9" r:id="rId7" xr:uid="{00000000-0004-0000-0A00-000006000000}"/>
    <hyperlink ref="T11" r:id="rId8" xr:uid="{00000000-0004-0000-0A00-000007000000}"/>
    <hyperlink ref="T12" r:id="rId9" xr:uid="{00000000-0004-0000-0A00-000008000000}"/>
    <hyperlink ref="T13" r:id="rId10" xr:uid="{00000000-0004-0000-0A00-000009000000}"/>
    <hyperlink ref="T14" r:id="rId11" xr:uid="{00000000-0004-0000-0A00-00000A000000}"/>
    <hyperlink ref="T15" r:id="rId12" xr:uid="{00000000-0004-0000-0A00-00000B000000}"/>
    <hyperlink ref="T16" r:id="rId13" xr:uid="{00000000-0004-0000-0A00-00000C000000}"/>
    <hyperlink ref="T17" r:id="rId14" xr:uid="{00000000-0004-0000-0A00-00000D000000}"/>
    <hyperlink ref="T18" r:id="rId15" xr:uid="{00000000-0004-0000-0A00-00000E000000}"/>
    <hyperlink ref="T20" r:id="rId16" xr:uid="{00000000-0004-0000-0A00-00000F000000}"/>
    <hyperlink ref="T21" r:id="rId17" xr:uid="{00000000-0004-0000-0A00-000010000000}"/>
    <hyperlink ref="T22" r:id="rId18" xr:uid="{00000000-0004-0000-0A00-000011000000}"/>
    <hyperlink ref="T24" r:id="rId19" xr:uid="{00000000-0004-0000-0A00-000012000000}"/>
    <hyperlink ref="T25" r:id="rId20" xr:uid="{00000000-0004-0000-0A00-000013000000}"/>
    <hyperlink ref="T26" r:id="rId21" xr:uid="{00000000-0004-0000-0A00-000014000000}"/>
    <hyperlink ref="T27" r:id="rId22" xr:uid="{00000000-0004-0000-0A00-000015000000}"/>
    <hyperlink ref="T28" r:id="rId23" xr:uid="{00000000-0004-0000-0A00-000016000000}"/>
    <hyperlink ref="T29" r:id="rId24" xr:uid="{00000000-0004-0000-0A00-000017000000}"/>
    <hyperlink ref="T30" r:id="rId25" xr:uid="{00000000-0004-0000-0A00-000018000000}"/>
    <hyperlink ref="T31" r:id="rId26" xr:uid="{00000000-0004-0000-0A00-000019000000}"/>
    <hyperlink ref="T32" r:id="rId27" xr:uid="{00000000-0004-0000-0A00-00001A000000}"/>
    <hyperlink ref="T33" r:id="rId28" xr:uid="{00000000-0004-0000-0A00-00001B000000}"/>
    <hyperlink ref="T34" r:id="rId29" xr:uid="{00000000-0004-0000-0A00-00001C000000}"/>
    <hyperlink ref="T36" r:id="rId30" xr:uid="{00000000-0004-0000-0A00-00001D000000}"/>
    <hyperlink ref="T37" r:id="rId31" xr:uid="{00000000-0004-0000-0A00-00001E000000}"/>
    <hyperlink ref="T38" r:id="rId32" xr:uid="{00000000-0004-0000-0A00-00001F000000}"/>
    <hyperlink ref="T42" r:id="rId33" xr:uid="{00000000-0004-0000-0A00-000020000000}"/>
    <hyperlink ref="T43" r:id="rId34" xr:uid="{00000000-0004-0000-0A00-000021000000}"/>
    <hyperlink ref="T45" r:id="rId35" xr:uid="{00000000-0004-0000-0A00-000022000000}"/>
    <hyperlink ref="T47" r:id="rId36" xr:uid="{00000000-0004-0000-0A00-000023000000}"/>
    <hyperlink ref="T49" r:id="rId37" xr:uid="{00000000-0004-0000-0A00-000024000000}"/>
    <hyperlink ref="T50" r:id="rId38" xr:uid="{00000000-0004-0000-0A00-000025000000}"/>
    <hyperlink ref="T51" r:id="rId39" xr:uid="{00000000-0004-0000-0A00-000026000000}"/>
    <hyperlink ref="T52" r:id="rId40" xr:uid="{00000000-0004-0000-0A00-000027000000}"/>
    <hyperlink ref="T53" r:id="rId41" xr:uid="{00000000-0004-0000-0A00-000028000000}"/>
    <hyperlink ref="T54" r:id="rId42" xr:uid="{00000000-0004-0000-0A00-000029000000}"/>
    <hyperlink ref="T55" r:id="rId43" xr:uid="{00000000-0004-0000-0A00-00002A000000}"/>
    <hyperlink ref="T63" r:id="rId44" xr:uid="{00000000-0004-0000-0A00-00002B000000}"/>
    <hyperlink ref="T65" r:id="rId45" xr:uid="{00000000-0004-0000-0A00-00002C000000}"/>
    <hyperlink ref="T66" r:id="rId46" xr:uid="{00000000-0004-0000-0A00-00002D000000}"/>
    <hyperlink ref="T69" r:id="rId47" xr:uid="{00000000-0004-0000-0A00-00002E000000}"/>
    <hyperlink ref="T68" r:id="rId48" xr:uid="{00000000-0004-0000-0A00-00002F000000}"/>
  </hyperlinks>
  <pageMargins left="0.7" right="0.7" top="0.75" bottom="0.75" header="0.3" footer="0.3"/>
  <pageSetup orientation="portrait" r:id="rId49"/>
  <tableParts count="1">
    <tablePart r:id="rId50"/>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25"/>
  <sheetViews>
    <sheetView workbookViewId="0">
      <selection activeCell="G30" sqref="G30"/>
    </sheetView>
  </sheetViews>
  <sheetFormatPr defaultRowHeight="15"/>
  <cols>
    <col min="1" max="1" width="80.42578125" customWidth="1"/>
    <col min="5" max="5" width="17.5703125" customWidth="1"/>
  </cols>
  <sheetData>
    <row r="1" spans="1:5" ht="15.75" thickTop="1">
      <c r="A1" s="3" t="s">
        <v>15</v>
      </c>
      <c r="B1" s="38" t="s">
        <v>18</v>
      </c>
      <c r="C1" s="43"/>
      <c r="D1" s="43"/>
      <c r="E1" s="8" t="s">
        <v>19</v>
      </c>
    </row>
    <row r="2" spans="1:5" ht="15.75" thickBot="1">
      <c r="B2" s="4"/>
      <c r="C2" s="43"/>
      <c r="D2" s="43" t="b">
        <f>AND(C5,OR(B12,B21))</f>
        <v>0</v>
      </c>
      <c r="E2" s="4" t="b">
        <f>IF(D2,random!G7)</f>
        <v>0</v>
      </c>
    </row>
    <row r="3" spans="1:5" ht="15.75" thickBot="1">
      <c r="A3" s="169" t="s">
        <v>12</v>
      </c>
      <c r="B3" s="5" t="b">
        <v>0</v>
      </c>
      <c r="C3" s="43" t="b">
        <f t="shared" ref="C3:C8" si="0">NOT(B3)</f>
        <v>1</v>
      </c>
      <c r="D3" s="43" t="b">
        <f>AND(C3,C7,C8,OR(B12,B13,B21))</f>
        <v>0</v>
      </c>
      <c r="E3" s="4" t="b">
        <f>IF(D3,random!G8)</f>
        <v>0</v>
      </c>
    </row>
    <row r="4" spans="1:5" ht="15.75" thickBot="1">
      <c r="A4" s="169" t="s">
        <v>13</v>
      </c>
      <c r="B4" s="5" t="b">
        <v>0</v>
      </c>
      <c r="C4" s="43" t="b">
        <f t="shared" si="0"/>
        <v>1</v>
      </c>
      <c r="D4" s="43" t="b">
        <f>AND(C3,C7,C8,OR(B12,B13),B17)</f>
        <v>0</v>
      </c>
      <c r="E4" s="4" t="b">
        <f>IF(D4,random!G9)</f>
        <v>0</v>
      </c>
    </row>
    <row r="5" spans="1:5" ht="15.75" thickBot="1">
      <c r="A5" s="198" t="s">
        <v>389</v>
      </c>
      <c r="B5" s="5" t="b">
        <v>0</v>
      </c>
      <c r="C5" s="43" t="b">
        <f t="shared" si="0"/>
        <v>1</v>
      </c>
      <c r="D5" s="43" t="b">
        <f>AND(C5:C6,OR(B12,B14,B20))</f>
        <v>0</v>
      </c>
      <c r="E5" s="4" t="b">
        <f>IF(D5,random!G10)</f>
        <v>0</v>
      </c>
    </row>
    <row r="6" spans="1:5" ht="15.75" thickBot="1">
      <c r="A6" s="198" t="s">
        <v>23</v>
      </c>
      <c r="B6" s="5" t="b">
        <v>0</v>
      </c>
      <c r="C6" s="43" t="b">
        <f t="shared" si="0"/>
        <v>1</v>
      </c>
      <c r="D6" s="43" t="b">
        <f>AND(OR(B12,B13),B19)</f>
        <v>0</v>
      </c>
      <c r="E6" s="4" t="b">
        <f>IF(D6,random!G11)</f>
        <v>0</v>
      </c>
    </row>
    <row r="7" spans="1:5" ht="15.75" thickBot="1">
      <c r="A7" s="169" t="s">
        <v>553</v>
      </c>
      <c r="B7" s="5" t="b">
        <v>0</v>
      </c>
      <c r="C7" s="43" t="b">
        <f t="shared" si="0"/>
        <v>1</v>
      </c>
      <c r="D7" s="43" t="b">
        <f>OR(B12,B13,B19,B18)</f>
        <v>0</v>
      </c>
      <c r="E7" s="4" t="b">
        <f>IF(D7,random!G12)</f>
        <v>0</v>
      </c>
    </row>
    <row r="8" spans="1:5" ht="15.75" thickBot="1">
      <c r="A8" s="198" t="s">
        <v>387</v>
      </c>
      <c r="B8" s="6" t="b">
        <v>0</v>
      </c>
      <c r="C8" s="43" t="b">
        <f t="shared" si="0"/>
        <v>1</v>
      </c>
      <c r="D8" s="43" t="b">
        <f>AND(B12,C15,B19)</f>
        <v>0</v>
      </c>
      <c r="E8" s="4" t="b">
        <f>IF(D8,random!G13)</f>
        <v>0</v>
      </c>
    </row>
    <row r="9" spans="1:5" ht="15.75" thickBot="1">
      <c r="C9" s="43"/>
      <c r="D9" s="43" t="b">
        <f>AND(B12,B22)</f>
        <v>0</v>
      </c>
      <c r="E9" s="4" t="b">
        <f>IF(D9,random!G14)</f>
        <v>0</v>
      </c>
    </row>
    <row r="10" spans="1:5" ht="15.75" thickTop="1">
      <c r="A10" s="3" t="s">
        <v>14</v>
      </c>
      <c r="B10" s="38" t="s">
        <v>18</v>
      </c>
      <c r="C10" s="43"/>
      <c r="D10" s="43" t="b">
        <f>AND(B12,B23)</f>
        <v>0</v>
      </c>
      <c r="E10" s="4" t="b">
        <f>IF(D10,random!G15)</f>
        <v>0</v>
      </c>
    </row>
    <row r="11" spans="1:5" ht="15.75" thickBot="1">
      <c r="B11" s="4"/>
      <c r="C11" s="43"/>
      <c r="D11" s="43" t="b">
        <f>D10</f>
        <v>0</v>
      </c>
      <c r="E11" s="4" t="b">
        <f>IF(D11,random!G16)</f>
        <v>0</v>
      </c>
    </row>
    <row r="12" spans="1:5" ht="15.75" thickBot="1">
      <c r="A12" s="1" t="s">
        <v>388</v>
      </c>
      <c r="B12" s="5" t="b">
        <v>0</v>
      </c>
      <c r="C12" s="43"/>
      <c r="D12" s="43" t="b">
        <f>D15</f>
        <v>0</v>
      </c>
      <c r="E12" s="4" t="b">
        <f>IF(D12,random!G17)</f>
        <v>0</v>
      </c>
    </row>
    <row r="13" spans="1:5" ht="15.75" thickBot="1">
      <c r="A13" s="1" t="s">
        <v>241</v>
      </c>
      <c r="B13" s="5" t="b">
        <v>0</v>
      </c>
      <c r="C13" s="43"/>
      <c r="D13" s="43" t="b">
        <f>AND(C5,C6,B20)</f>
        <v>0</v>
      </c>
      <c r="E13" s="4" t="b">
        <f>IF(D13,random!G18)</f>
        <v>0</v>
      </c>
    </row>
    <row r="14" spans="1:5" ht="15.75" thickBot="1">
      <c r="A14" s="1" t="s">
        <v>1930</v>
      </c>
      <c r="B14" s="5" t="b">
        <v>0</v>
      </c>
      <c r="C14" s="43"/>
      <c r="D14" s="43" t="b">
        <f>AND(OR(B12,B13),C15,B19,B24)</f>
        <v>0</v>
      </c>
      <c r="E14" s="4" t="b">
        <f>IF(D14,random!G19)</f>
        <v>0</v>
      </c>
    </row>
    <row r="15" spans="1:5" ht="15.75" thickBot="1">
      <c r="A15" s="1" t="s">
        <v>244</v>
      </c>
      <c r="B15" s="5" t="b">
        <v>0</v>
      </c>
      <c r="C15" s="43" t="b">
        <f>NOT(B15)</f>
        <v>1</v>
      </c>
      <c r="D15" s="43" t="b">
        <f>AND(OR(B12,B13,B14),C15,B19)</f>
        <v>0</v>
      </c>
      <c r="E15" s="4" t="b">
        <f>IF(D15,random!G20)</f>
        <v>0</v>
      </c>
    </row>
    <row r="16" spans="1:5" ht="16.5" thickTop="1" thickBot="1">
      <c r="A16" s="161" t="s">
        <v>242</v>
      </c>
      <c r="B16" s="5" t="b">
        <v>0</v>
      </c>
      <c r="C16" s="43" t="b">
        <f>AND('Pain Criteria'!C3,'Pain Criteria'!B4,'Pain Criteria'!C7,'Pain Criteria'!C8)</f>
        <v>0</v>
      </c>
      <c r="D16" s="43"/>
      <c r="E16" s="46"/>
    </row>
    <row r="17" spans="1:4" ht="15.75" thickBot="1">
      <c r="A17" s="161" t="s">
        <v>243</v>
      </c>
      <c r="B17" s="5" t="b">
        <v>0</v>
      </c>
      <c r="C17" s="43" t="b">
        <f>AND('Pain Criteria'!C3,'Pain Criteria'!B4,'Pain Criteria'!C7,'Pain Criteria'!C8)</f>
        <v>0</v>
      </c>
      <c r="D17" s="43"/>
    </row>
    <row r="18" spans="1:4" ht="15.75" thickBot="1">
      <c r="A18" s="170" t="s">
        <v>124</v>
      </c>
      <c r="B18" s="5" t="b">
        <v>0</v>
      </c>
      <c r="C18" s="43"/>
      <c r="D18" s="43"/>
    </row>
    <row r="19" spans="1:4" ht="15.75" thickBot="1">
      <c r="A19" s="170" t="s">
        <v>127</v>
      </c>
      <c r="B19" s="5" t="b">
        <v>0</v>
      </c>
      <c r="C19" s="43"/>
      <c r="D19" s="43"/>
    </row>
    <row r="20" spans="1:4" ht="15.75" thickBot="1">
      <c r="A20" s="184" t="s">
        <v>245</v>
      </c>
      <c r="B20" s="5" t="b">
        <v>0</v>
      </c>
      <c r="C20" s="43"/>
      <c r="D20" s="43"/>
    </row>
    <row r="21" spans="1:4" ht="15.75" thickBot="1">
      <c r="A21" s="1" t="s">
        <v>247</v>
      </c>
      <c r="B21" s="5" t="b">
        <v>0</v>
      </c>
      <c r="C21" s="43"/>
      <c r="D21" s="43"/>
    </row>
    <row r="22" spans="1:4" ht="15.75" thickBot="1">
      <c r="A22" s="1" t="s">
        <v>454</v>
      </c>
      <c r="B22" s="5" t="b">
        <v>0</v>
      </c>
      <c r="C22" s="43"/>
      <c r="D22" s="43"/>
    </row>
    <row r="23" spans="1:4" ht="15.75" thickBot="1">
      <c r="A23" s="1" t="s">
        <v>455</v>
      </c>
      <c r="B23" s="5" t="b">
        <v>0</v>
      </c>
      <c r="C23" s="43"/>
      <c r="D23" s="43"/>
    </row>
    <row r="24" spans="1:4" ht="15.75" thickBot="1">
      <c r="A24" s="199" t="s">
        <v>456</v>
      </c>
      <c r="B24" s="5" t="b">
        <v>0</v>
      </c>
      <c r="C24" s="43"/>
      <c r="D24" s="43"/>
    </row>
    <row r="25" spans="1:4" ht="15.75" thickBot="1">
      <c r="A25" s="1"/>
      <c r="B25" s="6"/>
      <c r="C25" s="43"/>
      <c r="D25" s="43"/>
    </row>
  </sheetData>
  <dataValidations xWindow="622" yWindow="533" count="2">
    <dataValidation allowBlank="1" showInputMessage="1" showErrorMessage="1" prompt="Consult your pharmacist if unsure" sqref="A5:A8 A16:A24 A4" xr:uid="{00000000-0002-0000-0B00-000000000000}"/>
    <dataValidation allowBlank="1" showInputMessage="1" showErrorMessage="1" prompt="Consult your physician if unsure" sqref="A12:A15 A3" xr:uid="{00000000-0002-0000-0B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622" yWindow="533" count="20">
        <x14:dataValidation type="list" showInputMessage="1" error="Please answer as Yes or No" xr:uid="{00000000-0002-0000-0B00-000002000000}">
          <x14:formula1>
            <xm:f>random!$A$2:$A$3</xm:f>
          </x14:formula1>
          <xm:sqref>B25</xm:sqref>
        </x14:dataValidation>
        <x14:dataValidation type="list" showInputMessage="1" showErrorMessage="1" error="Please answer as Yes or No" prompt="Anticholinergic and CNS depressants are medications that cause or enhance drowsiness. Avoid use with alcohol. Consult your pharmacist if unsure." xr:uid="{00000000-0002-0000-0B00-000003000000}">
          <x14:formula1>
            <xm:f>random!$A$2:$A$3</xm:f>
          </x14:formula1>
          <xm:sqref>B6</xm:sqref>
        </x14:dataValidation>
        <x14:dataValidation type="list" showInputMessage="1" error="Please answer as Yes or No" prompt="Blood thinners include warfarin, aspirin, clopidogrel, dipyridamole, ticlopidine, ticagrelor, dabigatran, apixaban, rivaroxaban, dalteparin, etc. Anti-inflammatories may increase risk of bleeding. Counsult your pharmacist for further information." xr:uid="{00000000-0002-0000-0B00-000004000000}">
          <x14:formula1>
            <xm:f>random!$A$2:$A$3</xm:f>
          </x14:formula1>
          <xm:sqref>B8</xm:sqref>
        </x14:dataValidation>
        <x14:dataValidation type="list" showInputMessage="1" showErrorMessage="1" error="Please answer as Yes or No" prompt="Anti-inflammatories may worsen upset stomach, peptic ulcers and may also worsen high blood pressure. Avoid use if you have these medical conditions." xr:uid="{00000000-0002-0000-0B00-000005000000}">
          <x14:formula1>
            <xm:f>random!$A$2:$A$3</xm:f>
          </x14:formula1>
          <xm:sqref>B7</xm:sqref>
        </x14:dataValidation>
        <x14:dataValidation type="list" showInputMessage="1" showErrorMessage="1" error="Please answer as Yes or No" prompt="Consult your physician if fever higher than 38°C in a child or lasting more than 3 days in an adult. Avoid aspirin for fever in a child." xr:uid="{00000000-0002-0000-0B00-000006000000}">
          <x14:formula1>
            <xm:f>random!$A$2:$A$3</xm:f>
          </x14:formula1>
          <xm:sqref>B21</xm:sqref>
        </x14:dataValidation>
        <x14:dataValidation type="list" showInputMessage="1" showErrorMessage="1" error="Please answer as Yes or No" prompt="Severe pain may require prescription therapy. Consult your physician." xr:uid="{00000000-0002-0000-0B00-000007000000}">
          <x14:formula1>
            <xm:f>random!$A$2:$A$3</xm:f>
          </x14:formula1>
          <xm:sqref>B12</xm:sqref>
        </x14:dataValidation>
        <x14:dataValidation type="list" showInputMessage="1" showErrorMessage="1" error="Please answer as Yes or No" prompt="Consult your physician in presence of severe nighttime pain or worsened pain in supine position." xr:uid="{00000000-0002-0000-0B00-000008000000}">
          <x14:formula1>
            <xm:f>random!$A$2:$A$3</xm:f>
          </x14:formula1>
          <xm:sqref>B20</xm:sqref>
        </x14:dataValidation>
        <x14:dataValidation type="list" showInputMessage="1" showErrorMessage="1" error="Please answer as Yes or No" prompt="Consult your physician for pain not associated with activity, pain associated with infection or infection risk factors. Consider application of ice (first 24-48hrs) or heat (after 48hrs). Consult your pharmacist for further information." xr:uid="{00000000-0002-0000-0B00-000009000000}">
          <x14:formula1>
            <xm:f>random!$A$2:$A$3</xm:f>
          </x14:formula1>
          <xm:sqref>B13</xm:sqref>
        </x14:dataValidation>
        <x14:dataValidation type="list" showInputMessage="1" showErrorMessage="1" error="Please answer as Yes or No" prompt="Acetaminophen is not recommended with alcohol use due to increased risk of liver injury." xr:uid="{00000000-0002-0000-0B00-00000A000000}">
          <x14:formula1>
            <xm:f>random!$A$2:$A$3</xm:f>
          </x14:formula1>
          <xm:sqref>B5</xm:sqref>
        </x14:dataValidation>
        <x14:dataValidation type="list" showInputMessage="1" showErrorMessage="1" error="Please answer as Yes or No" prompt="Anti-inflammatory pain medications are not recommended in pregnancy and should be avoided." xr:uid="{00000000-0002-0000-0B00-00000B000000}">
          <x14:formula1>
            <xm:f>random!$A$2:$A$3</xm:f>
          </x14:formula1>
          <xm:sqref>B3</xm:sqref>
        </x14:dataValidation>
        <x14:dataValidation type="list" showInputMessage="1" showErrorMessage="1" error="Please answer as Yes or No" prompt="Muscle relaxants and/or heat may be benificial for back or neck pain." xr:uid="{00000000-0002-0000-0B00-00000C000000}">
          <x14:formula1>
            <xm:f>random!$A$2:$A$3</xm:f>
          </x14:formula1>
          <xm:sqref>B14</xm:sqref>
        </x14:dataValidation>
        <x14:dataValidation type="list" showInputMessage="1" showErrorMessage="1" error="Please answer as Yes or No" prompt="Topical pain medications may further irritate sensitive or damaged skin and should be avoided. Areas of minor skin trauma should be cleaned with mild soap and water to reduce infection risk. Consult your physician for foreign bodies embedded in a wound. " xr:uid="{00000000-0002-0000-0B00-00000D000000}">
          <x14:formula1>
            <xm:f>random!$A$2:$A$3</xm:f>
          </x14:formula1>
          <xm:sqref>B15</xm:sqref>
        </x14:dataValidation>
        <x14:dataValidation type="list" showInputMessage="1" showErrorMessage="1" error="Please answer as Yes or No" prompt="Topical medications provide localized pain relief and may reduce medication side effects (i.e. drowsiness, upset stomach). Consult your pharmacist for further information." xr:uid="{00000000-0002-0000-0B00-00000E000000}">
          <x14:formula1>
            <xm:f>random!$A$2:$A$3</xm:f>
          </x14:formula1>
          <xm:sqref>B19</xm:sqref>
        </x14:dataValidation>
        <x14:dataValidation type="list" showInputMessage="1" showErrorMessage="1" error="Please answer as Yes or No" prompt="Liquid, quick dissolve or topical medications may provide near immediate pain relief." xr:uid="{00000000-0002-0000-0B00-00000F000000}">
          <x14:formula1>
            <xm:f>random!$A$2:$A$3</xm:f>
          </x14:formula1>
          <xm:sqref>B16</xm:sqref>
        </x14:dataValidation>
        <x14:dataValidation type="list" showInputMessage="1" showErrorMessage="1" error="Please answer as Yes or No" prompt="Some pain medications have long duration of action or are formulated to provide pain relief over extended time periods." xr:uid="{00000000-0002-0000-0B00-000010000000}">
          <x14:formula1>
            <xm:f>random!$A$2:$A$3</xm:f>
          </x14:formula1>
          <xm:sqref>B17</xm:sqref>
        </x14:dataValidation>
        <x14:dataValidation type="list" showInputMessage="1" showErrorMessage="1" error="Please answer as Yes or No" prompt="Oral medications may work best for deeper tissue pain, more extensive pain or more intense pain." xr:uid="{00000000-0002-0000-0B00-000011000000}">
          <x14:formula1>
            <xm:f>random!$A$2:$A$3</xm:f>
          </x14:formula1>
          <xm:sqref>B18</xm:sqref>
        </x14:dataValidation>
        <x14:dataValidation type="list" showInputMessage="1" showErrorMessage="1" error="Please answer as Yes or No" prompt="Some pain medications are not appropriate for children and should be avoided." xr:uid="{00000000-0002-0000-0B00-000012000000}">
          <x14:formula1>
            <xm:f>random!$A$2:$A$3</xm:f>
          </x14:formula1>
          <xm:sqref>B4</xm:sqref>
        </x14:dataValidation>
        <x14:dataValidation type="list" showInputMessage="1" showErrorMessage="1" error="Please answer as Yes or No" prompt="Additives such as caffeine may help with headache and migraine pain." xr:uid="{00000000-0002-0000-0B00-000013000000}">
          <x14:formula1>
            <xm:f>random!$A$2:$A$3</xm:f>
          </x14:formula1>
          <xm:sqref>B22</xm:sqref>
        </x14:dataValidation>
        <x14:dataValidation type="list" showInputMessage="1" showErrorMessage="1" error="Please answer as Yes or No" prompt="Some additives may help with menstrual cramping and pain." xr:uid="{00000000-0002-0000-0B00-000014000000}">
          <x14:formula1>
            <xm:f>random!$A$2:$A$3</xm:f>
          </x14:formula1>
          <xm:sqref>B23</xm:sqref>
        </x14:dataValidation>
        <x14:dataValidation type="list" showInputMessage="1" showErrorMessage="1" error="Please answer as Yes or No" prompt="Some herbal products may help with pain relief." xr:uid="{00000000-0002-0000-0B00-000015000000}">
          <x14:formula1>
            <xm:f>random!$A$2:$A$3</xm:f>
          </x14:formula1>
          <xm:sqref>B24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W78"/>
  <sheetViews>
    <sheetView workbookViewId="0">
      <selection activeCell="G5" sqref="G5"/>
    </sheetView>
  </sheetViews>
  <sheetFormatPr defaultRowHeight="15"/>
  <cols>
    <col min="1" max="1" width="37.140625" customWidth="1"/>
    <col min="2" max="2" width="9.5703125" customWidth="1"/>
    <col min="3" max="3" width="8.28515625" customWidth="1"/>
    <col min="4" max="4" width="9.42578125" customWidth="1"/>
    <col min="5" max="5" width="9.28515625" customWidth="1"/>
    <col min="6" max="6" width="8.42578125" customWidth="1"/>
    <col min="7" max="7" width="10.28515625" customWidth="1"/>
    <col min="8" max="8" width="13.28515625" customWidth="1"/>
    <col min="9" max="10" width="12" customWidth="1"/>
    <col min="11" max="11" width="17.28515625" customWidth="1"/>
    <col min="12" max="12" width="14.85546875" customWidth="1"/>
    <col min="13" max="21" width="12" customWidth="1"/>
    <col min="22" max="22" width="11" style="113" customWidth="1"/>
    <col min="23" max="23" width="75.140625" style="113" customWidth="1"/>
  </cols>
  <sheetData>
    <row r="1" spans="1:23">
      <c r="A1" s="70" t="s">
        <v>1248</v>
      </c>
      <c r="B1" s="201" t="s">
        <v>1716</v>
      </c>
      <c r="C1" s="201" t="s">
        <v>915</v>
      </c>
      <c r="D1" s="201" t="s">
        <v>1901</v>
      </c>
      <c r="E1" s="201" t="s">
        <v>1723</v>
      </c>
      <c r="F1" s="201" t="s">
        <v>1897</v>
      </c>
      <c r="G1" s="201" t="s">
        <v>1895</v>
      </c>
      <c r="H1" t="s">
        <v>162</v>
      </c>
      <c r="I1" t="s">
        <v>112</v>
      </c>
      <c r="J1" t="s">
        <v>135</v>
      </c>
      <c r="K1" t="s">
        <v>136</v>
      </c>
      <c r="L1" t="s">
        <v>137</v>
      </c>
      <c r="M1" t="s">
        <v>205</v>
      </c>
      <c r="N1" t="s">
        <v>138</v>
      </c>
      <c r="O1" t="s">
        <v>198</v>
      </c>
      <c r="P1" t="s">
        <v>200</v>
      </c>
      <c r="Q1" t="s">
        <v>202</v>
      </c>
      <c r="R1" t="s">
        <v>36</v>
      </c>
      <c r="S1" t="s">
        <v>70</v>
      </c>
      <c r="T1" t="s">
        <v>213</v>
      </c>
      <c r="U1" t="s">
        <v>191</v>
      </c>
      <c r="V1" s="124" t="s">
        <v>4</v>
      </c>
      <c r="W1" s="124" t="s">
        <v>139</v>
      </c>
    </row>
    <row r="2" spans="1:23">
      <c r="A2" t="b">
        <f>IF(Table5[[#This Row],[Column1]],Table5[[#This Row],[Column2]])</f>
        <v>0</v>
      </c>
      <c r="B2" s="20" t="b">
        <f>AND('Pain Criteria'!B4)</f>
        <v>0</v>
      </c>
      <c r="C2" s="17"/>
      <c r="D2" s="20" t="b">
        <f>AND('Pain Criteria'!B16,'Pain Criteria'!C17)</f>
        <v>0</v>
      </c>
      <c r="E2" s="17"/>
      <c r="F2" s="20" t="b">
        <f>AND('Pain Criteria'!B18,'Pain Criteria'!C19)</f>
        <v>0</v>
      </c>
      <c r="G2" s="17"/>
      <c r="H2" s="20" t="b">
        <f>AND('Pain Criteria'!C5,OR('Pain Criteria'!B21:B23,'Pain Criteria'!B12))</f>
        <v>0</v>
      </c>
      <c r="I2" s="17"/>
      <c r="J2" s="17"/>
      <c r="K2" s="17"/>
      <c r="L2" s="17"/>
      <c r="M2" s="17"/>
      <c r="N2" s="17"/>
      <c r="O2" s="17"/>
      <c r="P2" s="17"/>
      <c r="Q2" s="17"/>
      <c r="R2" s="17"/>
      <c r="S2" s="17"/>
      <c r="T2" s="17"/>
      <c r="U2" s="17"/>
      <c r="V2" s="113" t="b">
        <f>AND(Table5[[#This Row],[Adult]:[Heat]])</f>
        <v>0</v>
      </c>
      <c r="W2" s="117" t="s">
        <v>154</v>
      </c>
    </row>
    <row r="3" spans="1:23">
      <c r="A3" t="b">
        <f>IF(Table5[[#This Row],[Column1]],Table5[[#This Row],[Column2]])</f>
        <v>0</v>
      </c>
      <c r="B3" s="20" t="b">
        <f>B2</f>
        <v>0</v>
      </c>
      <c r="C3" s="17"/>
      <c r="D3" s="20" t="b">
        <f>D2</f>
        <v>0</v>
      </c>
      <c r="E3" s="17"/>
      <c r="F3" s="20" t="b">
        <f>F2</f>
        <v>0</v>
      </c>
      <c r="G3" s="17"/>
      <c r="H3" s="20" t="b">
        <f>H2</f>
        <v>0</v>
      </c>
      <c r="I3" s="17"/>
      <c r="J3" s="17"/>
      <c r="K3" s="17"/>
      <c r="L3" s="17"/>
      <c r="M3" s="17"/>
      <c r="N3" s="17"/>
      <c r="O3" s="17"/>
      <c r="P3" s="17"/>
      <c r="Q3" s="17"/>
      <c r="R3" s="17"/>
      <c r="S3" s="17"/>
      <c r="T3" s="17"/>
      <c r="U3" s="17"/>
      <c r="V3" s="113" t="b">
        <f>AND(Table5[[#This Row],[Adult]:[Heat]])</f>
        <v>0</v>
      </c>
      <c r="W3" s="117" t="s">
        <v>155</v>
      </c>
    </row>
    <row r="4" spans="1:23">
      <c r="A4" t="b">
        <f>IF(Table5[[#This Row],[Column1]],Table5[[#This Row],[Column2]])</f>
        <v>0</v>
      </c>
      <c r="B4" s="20" t="b">
        <f>B2</f>
        <v>0</v>
      </c>
      <c r="C4" s="17"/>
      <c r="D4" s="20" t="b">
        <f>D2</f>
        <v>0</v>
      </c>
      <c r="E4" s="17"/>
      <c r="F4" s="20" t="b">
        <f>F2</f>
        <v>0</v>
      </c>
      <c r="G4" s="17"/>
      <c r="H4" s="20" t="b">
        <f>H2</f>
        <v>0</v>
      </c>
      <c r="I4" s="17"/>
      <c r="J4" s="17"/>
      <c r="K4" s="17"/>
      <c r="L4" s="17"/>
      <c r="M4" s="17"/>
      <c r="N4" s="17"/>
      <c r="O4" s="17"/>
      <c r="P4" s="17"/>
      <c r="Q4" s="17"/>
      <c r="R4" s="17"/>
      <c r="S4" s="17"/>
      <c r="T4" s="17"/>
      <c r="U4" s="17"/>
      <c r="V4" s="113" t="b">
        <f>AND(Table5[[#This Row],[Adult]:[Heat]])</f>
        <v>0</v>
      </c>
      <c r="W4" s="117" t="s">
        <v>156</v>
      </c>
    </row>
    <row r="5" spans="1:23">
      <c r="A5" t="b">
        <f>IF(Table5[[#This Row],[Column1]],Table5[[#This Row],[Column2]])</f>
        <v>0</v>
      </c>
      <c r="B5" s="20" t="b">
        <f>B2</f>
        <v>0</v>
      </c>
      <c r="C5" s="17"/>
      <c r="D5" s="20" t="b">
        <f>D2</f>
        <v>0</v>
      </c>
      <c r="E5" s="17"/>
      <c r="F5" s="20" t="b">
        <f>F2</f>
        <v>0</v>
      </c>
      <c r="G5" s="17"/>
      <c r="H5" s="20" t="b">
        <f>H2</f>
        <v>0</v>
      </c>
      <c r="I5" s="17"/>
      <c r="J5" s="17"/>
      <c r="K5" s="17"/>
      <c r="L5" s="17"/>
      <c r="M5" s="17"/>
      <c r="N5" s="17"/>
      <c r="O5" s="17"/>
      <c r="P5" s="17"/>
      <c r="Q5" s="17"/>
      <c r="R5" s="17"/>
      <c r="S5" s="17"/>
      <c r="T5" s="17"/>
      <c r="U5" s="17"/>
      <c r="V5" s="113" t="b">
        <f>AND(Table5[[#This Row],[Adult]:[Heat]])</f>
        <v>0</v>
      </c>
      <c r="W5" s="117" t="s">
        <v>157</v>
      </c>
    </row>
    <row r="6" spans="1:23">
      <c r="A6" t="b">
        <f>IF(Table5[[#This Row],[Column1]],Table5[[#This Row],[Column2]])</f>
        <v>0</v>
      </c>
      <c r="B6" s="20" t="b">
        <f>B2</f>
        <v>0</v>
      </c>
      <c r="C6" s="17"/>
      <c r="D6" s="20" t="b">
        <f>D2</f>
        <v>0</v>
      </c>
      <c r="E6" s="17"/>
      <c r="F6" s="20" t="b">
        <f>F2</f>
        <v>0</v>
      </c>
      <c r="G6" s="17"/>
      <c r="H6" s="20" t="b">
        <f>H2</f>
        <v>0</v>
      </c>
      <c r="I6" s="17"/>
      <c r="J6" s="17"/>
      <c r="K6" s="17"/>
      <c r="L6" s="17"/>
      <c r="M6" s="17"/>
      <c r="N6" s="17"/>
      <c r="O6" s="106" t="b">
        <f>AND('Pain Criteria'!B22)</f>
        <v>0</v>
      </c>
      <c r="P6" s="17"/>
      <c r="Q6" s="17"/>
      <c r="R6" s="17"/>
      <c r="S6" s="17"/>
      <c r="T6" s="17"/>
      <c r="U6" s="17"/>
      <c r="V6" s="113" t="b">
        <f>AND(Table5[[#This Row],[Adult]:[Heat]])</f>
        <v>0</v>
      </c>
      <c r="W6" s="117" t="s">
        <v>158</v>
      </c>
    </row>
    <row r="7" spans="1:23">
      <c r="A7" t="b">
        <f>IF(Table5[[#This Row],[Column1]],Table5[[#This Row],[Column2]])</f>
        <v>0</v>
      </c>
      <c r="B7" s="20" t="b">
        <f>B2</f>
        <v>0</v>
      </c>
      <c r="C7" s="17"/>
      <c r="D7" s="17"/>
      <c r="E7" s="20" t="b">
        <f>AND('Pain Criteria'!B17,'Pain Criteria'!C16)</f>
        <v>0</v>
      </c>
      <c r="F7" s="20" t="b">
        <f>F2</f>
        <v>0</v>
      </c>
      <c r="G7" s="17"/>
      <c r="H7" s="20" t="b">
        <f>H2</f>
        <v>0</v>
      </c>
      <c r="I7" s="17"/>
      <c r="J7" s="17"/>
      <c r="K7" s="17"/>
      <c r="L7" s="17"/>
      <c r="M7" s="17"/>
      <c r="N7" s="17"/>
      <c r="O7" s="17"/>
      <c r="P7" s="17"/>
      <c r="Q7" s="17"/>
      <c r="R7" s="17"/>
      <c r="S7" s="17"/>
      <c r="T7" s="17"/>
      <c r="U7" s="17"/>
      <c r="V7" s="113" t="b">
        <f>AND(Table5[[#This Row],[Adult]:[Heat]])</f>
        <v>0</v>
      </c>
      <c r="W7" s="117" t="s">
        <v>159</v>
      </c>
    </row>
    <row r="8" spans="1:23">
      <c r="A8" t="b">
        <f>IF(Table5[[#This Row],[Column1]],Table5[[#This Row],[Column2]])</f>
        <v>0</v>
      </c>
      <c r="B8" s="20" t="b">
        <f>B2</f>
        <v>0</v>
      </c>
      <c r="C8" s="17"/>
      <c r="D8" s="20" t="b">
        <f>D2</f>
        <v>0</v>
      </c>
      <c r="E8" s="17"/>
      <c r="F8" s="20" t="b">
        <f>F2</f>
        <v>0</v>
      </c>
      <c r="G8" s="17"/>
      <c r="H8" s="20" t="b">
        <f>H2</f>
        <v>0</v>
      </c>
      <c r="I8" s="17"/>
      <c r="J8" s="17"/>
      <c r="K8" s="17"/>
      <c r="L8" s="17"/>
      <c r="M8" s="17"/>
      <c r="N8" s="17"/>
      <c r="O8" s="17"/>
      <c r="P8" s="17"/>
      <c r="Q8" s="17"/>
      <c r="R8" s="17"/>
      <c r="S8" s="17"/>
      <c r="T8" s="17"/>
      <c r="U8" s="17"/>
      <c r="V8" s="113" t="b">
        <f>AND(Table5[[#This Row],[Adult]:[Heat]])</f>
        <v>0</v>
      </c>
      <c r="W8" s="117" t="s">
        <v>160</v>
      </c>
    </row>
    <row r="9" spans="1:23">
      <c r="A9" t="b">
        <f>IF(Table5[[#This Row],[Column1]],Table5[[#This Row],[Column2]])</f>
        <v>0</v>
      </c>
      <c r="B9" s="20" t="b">
        <f>B2</f>
        <v>0</v>
      </c>
      <c r="C9" s="17"/>
      <c r="D9" s="20" t="b">
        <f>D2</f>
        <v>0</v>
      </c>
      <c r="E9" s="17"/>
      <c r="F9" s="20" t="b">
        <f>F2</f>
        <v>0</v>
      </c>
      <c r="G9" s="17"/>
      <c r="H9" s="20" t="b">
        <f>H2</f>
        <v>0</v>
      </c>
      <c r="I9" s="17"/>
      <c r="J9" s="17"/>
      <c r="K9" s="20" t="b">
        <f>AND('Pain Criteria'!C5,'Pain Criteria'!C6,'Pain Criteria'!B12,'Pain Criteria'!B14,'Pain Criteria'!C3)</f>
        <v>0</v>
      </c>
      <c r="L9" s="17"/>
      <c r="M9" s="17"/>
      <c r="N9" s="17"/>
      <c r="O9" s="17"/>
      <c r="P9" s="17"/>
      <c r="Q9" s="17"/>
      <c r="R9" s="17"/>
      <c r="S9" s="17"/>
      <c r="T9" s="17"/>
      <c r="U9" s="17"/>
      <c r="V9" s="113" t="b">
        <f>AND(Table5[[#This Row],[Adult]:[Heat]])</f>
        <v>0</v>
      </c>
      <c r="W9" s="117" t="s">
        <v>161</v>
      </c>
    </row>
    <row r="10" spans="1:23">
      <c r="A10" t="b">
        <f>IF(Table5[[#This Row],[Column1]],Table5[[#This Row],[Column2]])</f>
        <v>0</v>
      </c>
      <c r="B10" s="20" t="b">
        <f>B2</f>
        <v>0</v>
      </c>
      <c r="C10" s="17"/>
      <c r="D10" s="20" t="b">
        <f>D2</f>
        <v>0</v>
      </c>
      <c r="E10" s="17"/>
      <c r="F10" s="20" t="b">
        <f>F2</f>
        <v>0</v>
      </c>
      <c r="G10" s="17"/>
      <c r="H10" s="20" t="b">
        <f>H2</f>
        <v>0</v>
      </c>
      <c r="I10" s="17"/>
      <c r="J10" s="17"/>
      <c r="K10" s="17"/>
      <c r="L10" s="17"/>
      <c r="M10" s="17"/>
      <c r="N10" s="17"/>
      <c r="O10" s="17"/>
      <c r="P10" s="17"/>
      <c r="Q10" s="17"/>
      <c r="R10" s="17"/>
      <c r="S10" s="20" t="b">
        <f>AND('Pain Criteria'!C5,'Pain Criteria'!C6,'Pain Criteria'!B20)</f>
        <v>0</v>
      </c>
      <c r="T10" s="17"/>
      <c r="U10" s="17"/>
      <c r="V10" s="113" t="b">
        <f>AND(Table5[[#This Row],[Adult]:[Heat]])</f>
        <v>0</v>
      </c>
      <c r="W10" s="117" t="s">
        <v>163</v>
      </c>
    </row>
    <row r="11" spans="1:23">
      <c r="A11" t="b">
        <f>IF(Table5[[#This Row],[Column1]],Table5[[#This Row],[Column2]])</f>
        <v>0</v>
      </c>
      <c r="B11" s="20" t="b">
        <f>B2</f>
        <v>0</v>
      </c>
      <c r="C11" s="17"/>
      <c r="D11" s="20" t="b">
        <f>D2</f>
        <v>0</v>
      </c>
      <c r="E11" s="17"/>
      <c r="F11" s="20" t="b">
        <f>F2</f>
        <v>0</v>
      </c>
      <c r="G11" s="17"/>
      <c r="H11" s="20" t="b">
        <f>H2</f>
        <v>0</v>
      </c>
      <c r="I11" s="17"/>
      <c r="J11" s="17"/>
      <c r="K11" s="20" t="b">
        <f>K9</f>
        <v>0</v>
      </c>
      <c r="L11" s="17"/>
      <c r="M11" s="17"/>
      <c r="N11" s="17"/>
      <c r="O11" s="17"/>
      <c r="P11" s="17"/>
      <c r="Q11" s="17"/>
      <c r="R11" s="17"/>
      <c r="S11" s="17"/>
      <c r="T11" s="17"/>
      <c r="U11" s="17"/>
      <c r="V11" s="113" t="b">
        <f>AND(Table5[[#This Row],[Adult]:[Heat]])</f>
        <v>0</v>
      </c>
      <c r="W11" s="117" t="s">
        <v>164</v>
      </c>
    </row>
    <row r="12" spans="1:23">
      <c r="A12" t="b">
        <f>IF(Table5[[#This Row],[Column1]],Table5[[#This Row],[Column2]])</f>
        <v>0</v>
      </c>
      <c r="B12" s="17"/>
      <c r="C12" s="20" t="b">
        <f>AND('Pain Criteria'!C4)</f>
        <v>1</v>
      </c>
      <c r="D12" s="20" t="b">
        <f>D2</f>
        <v>0</v>
      </c>
      <c r="E12" s="17"/>
      <c r="F12" s="20" t="b">
        <f>F2</f>
        <v>0</v>
      </c>
      <c r="G12" s="17"/>
      <c r="H12" s="20" t="b">
        <f>H2</f>
        <v>0</v>
      </c>
      <c r="I12" s="17"/>
      <c r="J12" s="17"/>
      <c r="K12" s="17"/>
      <c r="L12" s="17"/>
      <c r="M12" s="17"/>
      <c r="N12" s="17"/>
      <c r="O12" s="17"/>
      <c r="P12" s="17"/>
      <c r="Q12" s="17"/>
      <c r="R12" s="17"/>
      <c r="S12" s="17"/>
      <c r="T12" s="17"/>
      <c r="U12" s="17"/>
      <c r="V12" s="113" t="b">
        <f>AND(Table5[[#This Row],[Adult]:[Heat]])</f>
        <v>0</v>
      </c>
      <c r="W12" s="117" t="s">
        <v>165</v>
      </c>
    </row>
    <row r="13" spans="1:23">
      <c r="A13" t="b">
        <f>IF(Table5[[#This Row],[Column1]],Table5[[#This Row],[Column2]])</f>
        <v>0</v>
      </c>
      <c r="B13" s="17"/>
      <c r="C13" s="20" t="b">
        <f>C12</f>
        <v>1</v>
      </c>
      <c r="D13" s="20" t="b">
        <f>D2</f>
        <v>0</v>
      </c>
      <c r="E13" s="17"/>
      <c r="F13" s="20" t="b">
        <f>F2</f>
        <v>0</v>
      </c>
      <c r="G13" s="17"/>
      <c r="H13" s="20" t="b">
        <f>H2</f>
        <v>0</v>
      </c>
      <c r="I13" s="17"/>
      <c r="J13" s="17"/>
      <c r="K13" s="17"/>
      <c r="L13" s="17"/>
      <c r="M13" s="17"/>
      <c r="N13" s="17"/>
      <c r="O13" s="17"/>
      <c r="P13" s="17"/>
      <c r="Q13" s="17"/>
      <c r="R13" s="17"/>
      <c r="S13" s="17"/>
      <c r="T13" s="17"/>
      <c r="U13" s="17"/>
      <c r="V13" s="113" t="b">
        <f>AND(Table5[[#This Row],[Adult]:[Heat]])</f>
        <v>0</v>
      </c>
      <c r="W13" s="117" t="s">
        <v>166</v>
      </c>
    </row>
    <row r="14" spans="1:23">
      <c r="A14" t="b">
        <f>IF(Table5[[#This Row],[Column1]],Table5[[#This Row],[Column2]])</f>
        <v>0</v>
      </c>
      <c r="B14" s="17"/>
      <c r="C14" s="20" t="b">
        <f>C12</f>
        <v>1</v>
      </c>
      <c r="D14" s="20" t="b">
        <f>D2</f>
        <v>0</v>
      </c>
      <c r="E14" s="17"/>
      <c r="F14" s="20" t="b">
        <f>F2</f>
        <v>0</v>
      </c>
      <c r="G14" s="17"/>
      <c r="H14" s="20" t="b">
        <f>H2</f>
        <v>0</v>
      </c>
      <c r="I14" s="17"/>
      <c r="J14" s="17"/>
      <c r="K14" s="17"/>
      <c r="L14" s="17"/>
      <c r="M14" s="17"/>
      <c r="N14" s="17"/>
      <c r="O14" s="17"/>
      <c r="P14" s="17"/>
      <c r="Q14" s="17"/>
      <c r="R14" s="17"/>
      <c r="S14" s="17"/>
      <c r="T14" s="17"/>
      <c r="U14" s="17"/>
      <c r="V14" s="113" t="b">
        <f>AND(Table5[[#This Row],[Adult]:[Heat]])</f>
        <v>0</v>
      </c>
      <c r="W14" s="117" t="s">
        <v>167</v>
      </c>
    </row>
    <row r="15" spans="1:23">
      <c r="A15" s="16" t="e">
        <f>IF(Table5[[#This Row],[Column1]],Table5[[#This Row],[Column2]])</f>
        <v>#VALUE!</v>
      </c>
      <c r="B15" s="16"/>
      <c r="C15" s="16"/>
      <c r="D15" s="16"/>
      <c r="E15" s="16"/>
      <c r="F15" s="16"/>
      <c r="G15" s="16"/>
      <c r="H15" s="16"/>
      <c r="I15" s="16"/>
      <c r="J15" s="16"/>
      <c r="K15" s="16"/>
      <c r="L15" s="16"/>
      <c r="M15" s="16"/>
      <c r="N15" s="16"/>
      <c r="O15" s="16"/>
      <c r="P15" s="16"/>
      <c r="Q15" s="16"/>
      <c r="R15" s="16"/>
      <c r="S15" s="16"/>
      <c r="T15" s="16"/>
      <c r="U15" s="16"/>
      <c r="V15" s="27" t="e">
        <f>AND(Table5[[#This Row],[Adult]:[Heat]])</f>
        <v>#VALUE!</v>
      </c>
      <c r="W15" s="133"/>
    </row>
    <row r="16" spans="1:23">
      <c r="A16" t="b">
        <f>IF(Table5[[#This Row],[Column1]],Table5[[#This Row],[Column2]])</f>
        <v>0</v>
      </c>
      <c r="B16" s="20" t="b">
        <f>B2</f>
        <v>0</v>
      </c>
      <c r="C16" s="17"/>
      <c r="D16" s="17"/>
      <c r="E16" s="20" t="b">
        <f>E7</f>
        <v>0</v>
      </c>
      <c r="F16" s="20" t="b">
        <f>F2</f>
        <v>0</v>
      </c>
      <c r="G16" s="17"/>
      <c r="H16" s="17"/>
      <c r="I16" s="20" t="b">
        <f>AND('Pain Criteria'!C3,'Pain Criteria'!C7,'Pain Criteria'!C8,OR('Pain Criteria'!B12,'Pain Criteria'!B13,'Pain Criteria'!B21:B23))</f>
        <v>0</v>
      </c>
      <c r="J16" s="17"/>
      <c r="K16" s="17"/>
      <c r="L16" s="17"/>
      <c r="M16" s="17"/>
      <c r="N16" s="17"/>
      <c r="O16" s="17"/>
      <c r="P16" s="17"/>
      <c r="Q16" s="17"/>
      <c r="R16" s="17"/>
      <c r="S16" s="17"/>
      <c r="T16" s="17"/>
      <c r="U16" s="17"/>
      <c r="V16" s="113" t="b">
        <f>AND(Table5[[#This Row],[Adult]:[Heat]])</f>
        <v>0</v>
      </c>
      <c r="W16" s="117" t="s">
        <v>168</v>
      </c>
    </row>
    <row r="17" spans="1:23">
      <c r="A17" t="b">
        <f>IF(Table5[[#This Row],[Column1]],Table5[[#This Row],[Column2]])</f>
        <v>0</v>
      </c>
      <c r="B17" s="20" t="b">
        <f>B2</f>
        <v>0</v>
      </c>
      <c r="C17" s="17"/>
      <c r="D17" s="20" t="b">
        <f>D2</f>
        <v>0</v>
      </c>
      <c r="E17" s="17"/>
      <c r="F17" s="20" t="b">
        <f>F2</f>
        <v>0</v>
      </c>
      <c r="G17" s="17"/>
      <c r="H17" s="17"/>
      <c r="I17" s="20" t="b">
        <f>I16</f>
        <v>0</v>
      </c>
      <c r="J17" s="17"/>
      <c r="K17" s="17"/>
      <c r="L17" s="17"/>
      <c r="M17" s="17"/>
      <c r="N17" s="17"/>
      <c r="O17" s="17"/>
      <c r="P17" s="17"/>
      <c r="Q17" s="17"/>
      <c r="R17" s="17"/>
      <c r="S17" s="17"/>
      <c r="T17" s="17"/>
      <c r="U17" s="17"/>
      <c r="V17" s="113" t="b">
        <f>AND(Table5[[#This Row],[Adult]:[Heat]])</f>
        <v>0</v>
      </c>
      <c r="W17" s="117" t="s">
        <v>169</v>
      </c>
    </row>
    <row r="18" spans="1:23">
      <c r="A18" t="b">
        <f>IF(Table5[[#This Row],[Column1]],Table5[[#This Row],[Column2]])</f>
        <v>0</v>
      </c>
      <c r="B18" s="20" t="b">
        <f>B2</f>
        <v>0</v>
      </c>
      <c r="C18" s="17"/>
      <c r="D18" s="20" t="b">
        <f>D2</f>
        <v>0</v>
      </c>
      <c r="E18" s="17"/>
      <c r="F18" s="20" t="b">
        <f>F2</f>
        <v>0</v>
      </c>
      <c r="G18" s="17"/>
      <c r="H18" s="17"/>
      <c r="I18" s="20" t="b">
        <f>I16</f>
        <v>0</v>
      </c>
      <c r="J18" s="17"/>
      <c r="K18" s="17"/>
      <c r="L18" s="17"/>
      <c r="M18" s="17"/>
      <c r="N18" s="17"/>
      <c r="O18" s="17"/>
      <c r="P18" s="17"/>
      <c r="Q18" s="17"/>
      <c r="R18" s="17"/>
      <c r="S18" s="20" t="b">
        <f>S10</f>
        <v>0</v>
      </c>
      <c r="T18" s="17"/>
      <c r="U18" s="17"/>
      <c r="V18" s="113" t="b">
        <f>AND(Table5[[#This Row],[Adult]:[Heat]])</f>
        <v>0</v>
      </c>
      <c r="W18" s="117" t="s">
        <v>170</v>
      </c>
    </row>
    <row r="19" spans="1:23">
      <c r="A19" t="b">
        <f>IF(Table5[[#This Row],[Column1]],Table5[[#This Row],[Column2]])</f>
        <v>0</v>
      </c>
      <c r="B19" s="20" t="b">
        <f>B2</f>
        <v>0</v>
      </c>
      <c r="C19" s="17"/>
      <c r="D19" s="20" t="b">
        <f>D2</f>
        <v>0</v>
      </c>
      <c r="E19" s="17"/>
      <c r="F19" s="20" t="b">
        <f>F2</f>
        <v>0</v>
      </c>
      <c r="G19" s="17"/>
      <c r="H19" s="17"/>
      <c r="I19" s="20" t="b">
        <f>I16</f>
        <v>0</v>
      </c>
      <c r="J19" s="17"/>
      <c r="K19" s="17"/>
      <c r="L19" s="17"/>
      <c r="M19" s="17"/>
      <c r="N19" s="17"/>
      <c r="O19" s="17"/>
      <c r="P19" s="17"/>
      <c r="Q19" s="17"/>
      <c r="R19" s="17"/>
      <c r="S19" s="17"/>
      <c r="T19" s="17"/>
      <c r="U19" s="17"/>
      <c r="V19" s="113" t="b">
        <f>AND(Table5[[#This Row],[Adult]:[Heat]])</f>
        <v>0</v>
      </c>
      <c r="W19" s="117" t="s">
        <v>171</v>
      </c>
    </row>
    <row r="20" spans="1:23">
      <c r="A20" t="b">
        <f>IF(Table5[[#This Row],[Column1]],Table5[[#This Row],[Column2]])</f>
        <v>0</v>
      </c>
      <c r="B20" s="20" t="b">
        <f>B2</f>
        <v>0</v>
      </c>
      <c r="C20" s="17"/>
      <c r="D20" s="20" t="b">
        <f>D2</f>
        <v>0</v>
      </c>
      <c r="E20" s="17"/>
      <c r="F20" s="20" t="b">
        <f>F2</f>
        <v>0</v>
      </c>
      <c r="G20" s="17"/>
      <c r="H20" s="17"/>
      <c r="I20" s="20" t="b">
        <f>I16</f>
        <v>0</v>
      </c>
      <c r="J20" s="17"/>
      <c r="K20" s="17"/>
      <c r="L20" s="17"/>
      <c r="M20" s="17"/>
      <c r="N20" s="17"/>
      <c r="O20" s="17"/>
      <c r="P20" s="17"/>
      <c r="Q20" s="17"/>
      <c r="R20" s="17"/>
      <c r="S20" s="17"/>
      <c r="T20" s="17"/>
      <c r="U20" s="17"/>
      <c r="V20" s="113" t="b">
        <f>AND(Table5[[#This Row],[Adult]:[Heat]])</f>
        <v>0</v>
      </c>
      <c r="W20" s="117" t="s">
        <v>172</v>
      </c>
    </row>
    <row r="21" spans="1:23">
      <c r="A21" t="b">
        <f>IF(Table5[[#This Row],[Column1]],Table5[[#This Row],[Column2]])</f>
        <v>0</v>
      </c>
      <c r="B21" s="20" t="b">
        <f>B2</f>
        <v>0</v>
      </c>
      <c r="C21" s="17"/>
      <c r="D21" s="20" t="b">
        <f>D2</f>
        <v>0</v>
      </c>
      <c r="E21" s="17"/>
      <c r="F21" s="20" t="b">
        <f>F2</f>
        <v>0</v>
      </c>
      <c r="G21" s="17"/>
      <c r="H21" s="17"/>
      <c r="I21" s="20" t="b">
        <f>I16</f>
        <v>0</v>
      </c>
      <c r="J21" s="17"/>
      <c r="K21" s="17"/>
      <c r="L21" s="17"/>
      <c r="M21" s="17"/>
      <c r="N21" s="17"/>
      <c r="O21" s="17"/>
      <c r="P21" s="17"/>
      <c r="Q21" s="17"/>
      <c r="R21" s="17"/>
      <c r="S21" s="17"/>
      <c r="T21" s="17"/>
      <c r="U21" s="17"/>
      <c r="V21" s="113" t="b">
        <f>AND(Table5[[#This Row],[Adult]:[Heat]])</f>
        <v>0</v>
      </c>
      <c r="W21" s="117" t="s">
        <v>173</v>
      </c>
    </row>
    <row r="22" spans="1:23">
      <c r="A22" t="b">
        <f>IF(Table5[[#This Row],[Column1]],Table5[[#This Row],[Column2]])</f>
        <v>0</v>
      </c>
      <c r="B22" s="20" t="b">
        <f>B2</f>
        <v>0</v>
      </c>
      <c r="C22" s="17"/>
      <c r="D22" s="20" t="b">
        <f>D2</f>
        <v>0</v>
      </c>
      <c r="E22" s="17"/>
      <c r="F22" s="20" t="b">
        <f>F2</f>
        <v>0</v>
      </c>
      <c r="G22" s="17"/>
      <c r="H22" s="17"/>
      <c r="I22" s="20" t="b">
        <f>I16</f>
        <v>0</v>
      </c>
      <c r="J22" s="17"/>
      <c r="K22" s="17"/>
      <c r="L22" s="17"/>
      <c r="M22" s="17"/>
      <c r="N22" s="17"/>
      <c r="O22" s="17"/>
      <c r="P22" s="17"/>
      <c r="Q22" s="17"/>
      <c r="R22" s="17"/>
      <c r="S22" s="17"/>
      <c r="T22" s="17"/>
      <c r="U22" s="17"/>
      <c r="V22" s="113" t="b">
        <f>AND(Table5[[#This Row],[Adult]:[Heat]])</f>
        <v>0</v>
      </c>
      <c r="W22" s="117" t="s">
        <v>174</v>
      </c>
    </row>
    <row r="23" spans="1:23">
      <c r="A23" t="b">
        <f>IF(Table5[[#This Row],[Column1]],Table5[[#This Row],[Column2]])</f>
        <v>0</v>
      </c>
      <c r="B23" s="20" t="b">
        <f>B2</f>
        <v>0</v>
      </c>
      <c r="C23" s="17"/>
      <c r="D23" s="20" t="b">
        <f>D2</f>
        <v>0</v>
      </c>
      <c r="E23" s="17"/>
      <c r="F23" s="20" t="b">
        <f>F2</f>
        <v>0</v>
      </c>
      <c r="G23" s="17"/>
      <c r="H23" s="17"/>
      <c r="I23" s="20" t="b">
        <f>I16</f>
        <v>0</v>
      </c>
      <c r="J23" s="17"/>
      <c r="K23" s="17"/>
      <c r="L23" s="17"/>
      <c r="M23" s="17"/>
      <c r="N23" s="17"/>
      <c r="O23" s="17"/>
      <c r="P23" s="17"/>
      <c r="Q23" s="17"/>
      <c r="R23" s="17"/>
      <c r="S23" s="17"/>
      <c r="T23" s="17"/>
      <c r="U23" s="17"/>
      <c r="V23" s="113" t="b">
        <f>AND(Table5[[#This Row],[Adult]:[Heat]])</f>
        <v>0</v>
      </c>
      <c r="W23" s="117" t="s">
        <v>175</v>
      </c>
    </row>
    <row r="24" spans="1:23">
      <c r="A24" t="b">
        <f>IF(Table5[[#This Row],[Column1]],Table5[[#This Row],[Column2]])</f>
        <v>0</v>
      </c>
      <c r="B24" s="20" t="b">
        <f>B2</f>
        <v>0</v>
      </c>
      <c r="C24" s="17"/>
      <c r="D24" s="20" t="b">
        <f>D2</f>
        <v>0</v>
      </c>
      <c r="E24" s="17"/>
      <c r="F24" s="20" t="b">
        <f>F2</f>
        <v>0</v>
      </c>
      <c r="G24" s="17"/>
      <c r="H24" s="17"/>
      <c r="I24" s="20" t="b">
        <f>I16</f>
        <v>0</v>
      </c>
      <c r="J24" s="17"/>
      <c r="K24" s="17"/>
      <c r="L24" s="17"/>
      <c r="M24" s="17"/>
      <c r="N24" s="17"/>
      <c r="O24" s="17"/>
      <c r="P24" s="17"/>
      <c r="Q24" s="17"/>
      <c r="R24" s="17"/>
      <c r="S24" s="17"/>
      <c r="T24" s="17"/>
      <c r="U24" s="17"/>
      <c r="V24" s="113" t="b">
        <f>AND(Table5[[#This Row],[Adult]:[Heat]])</f>
        <v>0</v>
      </c>
      <c r="W24" s="117" t="s">
        <v>176</v>
      </c>
    </row>
    <row r="25" spans="1:23">
      <c r="A25" t="b">
        <f>IF(Table5[[#This Row],[Column1]],Table5[[#This Row],[Column2]])</f>
        <v>0</v>
      </c>
      <c r="B25" s="20" t="b">
        <f>B2</f>
        <v>0</v>
      </c>
      <c r="C25" s="17"/>
      <c r="D25" s="20" t="b">
        <f>D2</f>
        <v>0</v>
      </c>
      <c r="E25" s="17"/>
      <c r="F25" s="20" t="b">
        <f>F2</f>
        <v>0</v>
      </c>
      <c r="G25" s="17"/>
      <c r="H25" s="17"/>
      <c r="I25" s="20" t="b">
        <f>I16</f>
        <v>0</v>
      </c>
      <c r="J25" s="17"/>
      <c r="K25" s="17"/>
      <c r="L25" s="17"/>
      <c r="M25" s="17"/>
      <c r="N25" s="17"/>
      <c r="O25" s="17"/>
      <c r="P25" s="17"/>
      <c r="Q25" s="17"/>
      <c r="R25" s="17"/>
      <c r="S25" s="17"/>
      <c r="T25" s="17"/>
      <c r="U25" s="17"/>
      <c r="V25" s="113" t="b">
        <f>AND(Table5[[#This Row],[Adult]:[Heat]])</f>
        <v>0</v>
      </c>
      <c r="W25" s="117" t="s">
        <v>177</v>
      </c>
    </row>
    <row r="26" spans="1:23">
      <c r="A26" t="b">
        <f>IF(Table5[[#This Row],[Column1]],Table5[[#This Row],[Column2]])</f>
        <v>0</v>
      </c>
      <c r="B26" s="20" t="b">
        <f>B2</f>
        <v>0</v>
      </c>
      <c r="C26" s="17"/>
      <c r="D26" s="20" t="b">
        <f>D2</f>
        <v>0</v>
      </c>
      <c r="E26" s="17"/>
      <c r="F26" s="20" t="b">
        <f>F2</f>
        <v>0</v>
      </c>
      <c r="G26" s="17"/>
      <c r="H26" s="17"/>
      <c r="I26" s="20" t="b">
        <f>I16</f>
        <v>0</v>
      </c>
      <c r="J26" s="17"/>
      <c r="K26" s="17"/>
      <c r="L26" s="17"/>
      <c r="M26" s="17"/>
      <c r="N26" s="17"/>
      <c r="O26" s="17"/>
      <c r="P26" s="17"/>
      <c r="Q26" s="17"/>
      <c r="R26" s="17"/>
      <c r="S26" s="20" t="b">
        <f>S10</f>
        <v>0</v>
      </c>
      <c r="T26" s="17"/>
      <c r="U26" s="17"/>
      <c r="V26" s="113" t="b">
        <f>AND(Table5[[#This Row],[Adult]:[Heat]])</f>
        <v>0</v>
      </c>
      <c r="W26" s="117" t="s">
        <v>178</v>
      </c>
    </row>
    <row r="27" spans="1:23">
      <c r="A27" t="b">
        <f>IF(Table5[[#This Row],[Column1]],Table5[[#This Row],[Column2]])</f>
        <v>0</v>
      </c>
      <c r="B27" s="17"/>
      <c r="C27" s="20" t="b">
        <f>C12</f>
        <v>1</v>
      </c>
      <c r="D27" s="20" t="b">
        <f>D2</f>
        <v>0</v>
      </c>
      <c r="E27" s="17"/>
      <c r="F27" s="20" t="b">
        <f>F2</f>
        <v>0</v>
      </c>
      <c r="G27" s="17"/>
      <c r="H27" s="17"/>
      <c r="I27" s="20" t="b">
        <f>I16</f>
        <v>0</v>
      </c>
      <c r="J27" s="17"/>
      <c r="K27" s="17"/>
      <c r="L27" s="17"/>
      <c r="M27" s="17"/>
      <c r="N27" s="17"/>
      <c r="O27" s="17"/>
      <c r="P27" s="17"/>
      <c r="Q27" s="17"/>
      <c r="R27" s="17"/>
      <c r="S27" s="17"/>
      <c r="T27" s="17"/>
      <c r="U27" s="17"/>
      <c r="V27" s="113" t="b">
        <f>AND(Table5[[#This Row],[Adult]:[Heat]])</f>
        <v>0</v>
      </c>
      <c r="W27" s="117" t="s">
        <v>179</v>
      </c>
    </row>
    <row r="28" spans="1:23">
      <c r="A28" t="b">
        <f>IF(Table5[[#This Row],[Column1]],Table5[[#This Row],[Column2]])</f>
        <v>0</v>
      </c>
      <c r="B28" s="17"/>
      <c r="C28" s="20" t="b">
        <f>C12</f>
        <v>1</v>
      </c>
      <c r="D28" s="20" t="b">
        <f>D2</f>
        <v>0</v>
      </c>
      <c r="E28" s="17"/>
      <c r="F28" s="20" t="b">
        <f>F2</f>
        <v>0</v>
      </c>
      <c r="G28" s="17"/>
      <c r="H28" s="17"/>
      <c r="I28" s="20" t="b">
        <f>I16</f>
        <v>0</v>
      </c>
      <c r="J28" s="17"/>
      <c r="K28" s="17"/>
      <c r="L28" s="17"/>
      <c r="M28" s="17"/>
      <c r="N28" s="17"/>
      <c r="O28" s="17"/>
      <c r="P28" s="17"/>
      <c r="Q28" s="17"/>
      <c r="R28" s="17"/>
      <c r="S28" s="17"/>
      <c r="T28" s="17"/>
      <c r="U28" s="17"/>
      <c r="V28" s="113" t="b">
        <f>AND(Table5[[#This Row],[Adult]:[Heat]])</f>
        <v>0</v>
      </c>
      <c r="W28" s="117" t="s">
        <v>180</v>
      </c>
    </row>
    <row r="29" spans="1:23">
      <c r="A29" t="b">
        <f>IF(Table5[[#This Row],[Column1]],Table5[[#This Row],[Column2]])</f>
        <v>0</v>
      </c>
      <c r="B29" s="17"/>
      <c r="C29" s="20" t="b">
        <f>C12</f>
        <v>1</v>
      </c>
      <c r="D29" s="20" t="b">
        <f>D2</f>
        <v>0</v>
      </c>
      <c r="E29" s="17"/>
      <c r="F29" s="20" t="b">
        <f>F2</f>
        <v>0</v>
      </c>
      <c r="G29" s="17"/>
      <c r="H29" s="17"/>
      <c r="I29" s="20" t="b">
        <f>I16</f>
        <v>0</v>
      </c>
      <c r="J29" s="17"/>
      <c r="K29" s="17"/>
      <c r="L29" s="17"/>
      <c r="M29" s="17"/>
      <c r="N29" s="17"/>
      <c r="O29" s="17"/>
      <c r="P29" s="17"/>
      <c r="Q29" s="17"/>
      <c r="R29" s="17"/>
      <c r="S29" s="17"/>
      <c r="T29" s="17"/>
      <c r="U29" s="17"/>
      <c r="V29" s="113" t="b">
        <f>AND(Table5[[#This Row],[Adult]:[Heat]])</f>
        <v>0</v>
      </c>
      <c r="W29" s="117" t="s">
        <v>181</v>
      </c>
    </row>
    <row r="30" spans="1:23">
      <c r="A30" s="16" t="e">
        <f>IF(Table5[[#This Row],[Column1]],Table5[[#This Row],[Column2]])</f>
        <v>#VALUE!</v>
      </c>
      <c r="B30" s="16"/>
      <c r="C30" s="16"/>
      <c r="D30" s="16"/>
      <c r="E30" s="16"/>
      <c r="F30" s="16"/>
      <c r="G30" s="16"/>
      <c r="H30" s="16"/>
      <c r="I30" s="16"/>
      <c r="J30" s="16"/>
      <c r="K30" s="16"/>
      <c r="L30" s="16"/>
      <c r="M30" s="16"/>
      <c r="N30" s="16"/>
      <c r="O30" s="16"/>
      <c r="P30" s="16"/>
      <c r="Q30" s="16"/>
      <c r="R30" s="16"/>
      <c r="S30" s="16"/>
      <c r="T30" s="16"/>
      <c r="U30" s="16"/>
      <c r="V30" s="27" t="e">
        <f>AND(Table5[[#This Row],[Adult]:[Heat]])</f>
        <v>#VALUE!</v>
      </c>
      <c r="W30" s="134"/>
    </row>
    <row r="31" spans="1:23">
      <c r="A31" t="b">
        <f>IF(Table5[[#This Row],[Column1]],Table5[[#This Row],[Column2]])</f>
        <v>0</v>
      </c>
      <c r="B31" s="20" t="b">
        <f>B2</f>
        <v>0</v>
      </c>
      <c r="C31" s="17"/>
      <c r="D31" s="17"/>
      <c r="E31" s="20" t="b">
        <f>E7</f>
        <v>0</v>
      </c>
      <c r="F31" s="20" t="b">
        <f>F2</f>
        <v>0</v>
      </c>
      <c r="G31" s="17"/>
      <c r="H31" s="17"/>
      <c r="I31" s="17"/>
      <c r="J31" s="20" t="b">
        <f>AND('Pain Criteria'!C3,'Pain Criteria'!C7,'Pain Criteria'!C8,OR('Pain Criteria'!B12,'Pain Criteria'!B13,'Pain Criteria'!B22:B23))</f>
        <v>0</v>
      </c>
      <c r="K31" s="17"/>
      <c r="L31" s="17"/>
      <c r="M31" s="17"/>
      <c r="N31" s="17"/>
      <c r="O31" s="17"/>
      <c r="P31" s="17"/>
      <c r="Q31" s="17"/>
      <c r="R31" s="17"/>
      <c r="S31" s="17"/>
      <c r="T31" s="17"/>
      <c r="U31" s="17"/>
      <c r="V31" s="113" t="b">
        <f>AND(Table5[[#This Row],[Adult]:[Heat]])</f>
        <v>0</v>
      </c>
      <c r="W31" s="117" t="s">
        <v>182</v>
      </c>
    </row>
    <row r="32" spans="1:23">
      <c r="A32" t="b">
        <f>IF(Table5[[#This Row],[Column1]],Table5[[#This Row],[Column2]])</f>
        <v>0</v>
      </c>
      <c r="B32" s="20" t="b">
        <f>B2</f>
        <v>0</v>
      </c>
      <c r="C32" s="17"/>
      <c r="D32" s="17"/>
      <c r="E32" s="20" t="b">
        <f>E7</f>
        <v>0</v>
      </c>
      <c r="F32" s="20" t="b">
        <f>F2</f>
        <v>0</v>
      </c>
      <c r="G32" s="17"/>
      <c r="H32" s="17"/>
      <c r="I32" s="17"/>
      <c r="J32" s="20" t="b">
        <f>J31</f>
        <v>0</v>
      </c>
      <c r="K32" s="17"/>
      <c r="L32" s="17"/>
      <c r="M32" s="17"/>
      <c r="N32" s="17"/>
      <c r="O32" s="17"/>
      <c r="P32" s="17"/>
      <c r="Q32" s="17"/>
      <c r="R32" s="17"/>
      <c r="S32" s="20" t="b">
        <f>S10</f>
        <v>0</v>
      </c>
      <c r="T32" s="17"/>
      <c r="U32" s="17"/>
      <c r="V32" s="113" t="b">
        <f>AND(Table5[[#This Row],[Adult]:[Heat]])</f>
        <v>0</v>
      </c>
      <c r="W32" s="117" t="s">
        <v>183</v>
      </c>
    </row>
    <row r="33" spans="1:23">
      <c r="A33" t="b">
        <f>IF(Table5[[#This Row],[Column1]],Table5[[#This Row],[Column2]])</f>
        <v>0</v>
      </c>
      <c r="B33" s="20" t="b">
        <f>B2</f>
        <v>0</v>
      </c>
      <c r="C33" s="17"/>
      <c r="D33" s="17"/>
      <c r="E33" s="20" t="b">
        <f>E7</f>
        <v>0</v>
      </c>
      <c r="F33" s="20" t="b">
        <f>F2</f>
        <v>0</v>
      </c>
      <c r="G33" s="17"/>
      <c r="H33" s="17"/>
      <c r="I33" s="17"/>
      <c r="J33" s="20" t="b">
        <f>J31</f>
        <v>0</v>
      </c>
      <c r="K33" s="17"/>
      <c r="L33" s="17"/>
      <c r="M33" s="17"/>
      <c r="N33" s="17"/>
      <c r="O33" s="17"/>
      <c r="P33" s="17"/>
      <c r="Q33" s="17"/>
      <c r="R33" s="17"/>
      <c r="S33" s="17"/>
      <c r="T33" s="17"/>
      <c r="U33" s="17"/>
      <c r="V33" s="113" t="b">
        <f>AND(Table5[[#This Row],[Adult]:[Heat]])</f>
        <v>0</v>
      </c>
      <c r="W33" s="117" t="s">
        <v>184</v>
      </c>
    </row>
    <row r="34" spans="1:23">
      <c r="A34" t="b">
        <f>IF(Table5[[#This Row],[Column1]],Table5[[#This Row],[Column2]])</f>
        <v>0</v>
      </c>
      <c r="B34" s="20" t="b">
        <f>B2</f>
        <v>0</v>
      </c>
      <c r="C34" s="17"/>
      <c r="D34" s="20" t="b">
        <f>D2</f>
        <v>0</v>
      </c>
      <c r="E34" s="17"/>
      <c r="F34" s="20" t="b">
        <f>F2</f>
        <v>0</v>
      </c>
      <c r="G34" s="17"/>
      <c r="H34" s="17"/>
      <c r="I34" s="17"/>
      <c r="J34" s="20" t="b">
        <f>J31</f>
        <v>0</v>
      </c>
      <c r="K34" s="17"/>
      <c r="L34" s="17"/>
      <c r="M34" s="17"/>
      <c r="N34" s="17"/>
      <c r="O34" s="17"/>
      <c r="P34" s="17"/>
      <c r="Q34" s="17"/>
      <c r="R34" s="17"/>
      <c r="S34" s="17"/>
      <c r="T34" s="17"/>
      <c r="U34" s="17"/>
      <c r="V34" s="113" t="b">
        <f>AND(Table5[[#This Row],[Adult]:[Heat]])</f>
        <v>0</v>
      </c>
      <c r="W34" s="117" t="s">
        <v>185</v>
      </c>
    </row>
    <row r="35" spans="1:23">
      <c r="A35" s="16" t="e">
        <f>IF(Table5[[#This Row],[Column1]],Table5[[#This Row],[Column2]])</f>
        <v>#VALUE!</v>
      </c>
      <c r="B35" s="16"/>
      <c r="C35" s="16"/>
      <c r="D35" s="16"/>
      <c r="E35" s="16"/>
      <c r="F35" s="16"/>
      <c r="G35" s="16"/>
      <c r="H35" s="16"/>
      <c r="I35" s="16"/>
      <c r="J35" s="16"/>
      <c r="K35" s="16"/>
      <c r="L35" s="16"/>
      <c r="M35" s="16"/>
      <c r="N35" s="16"/>
      <c r="O35" s="16"/>
      <c r="P35" s="16"/>
      <c r="Q35" s="16"/>
      <c r="R35" s="16"/>
      <c r="S35" s="16"/>
      <c r="T35" s="16"/>
      <c r="U35" s="16"/>
      <c r="V35" s="27" t="e">
        <f>AND(Table5[[#This Row],[Adult]:[Heat]])</f>
        <v>#VALUE!</v>
      </c>
      <c r="W35" s="76"/>
    </row>
    <row r="36" spans="1:23">
      <c r="A36" t="b">
        <f>IF(Table5[[#This Row],[Column1]],Table5[[#This Row],[Column2]])</f>
        <v>0</v>
      </c>
      <c r="B36" s="20" t="b">
        <f>B2</f>
        <v>0</v>
      </c>
      <c r="C36" s="17"/>
      <c r="D36" s="20" t="b">
        <f>D2</f>
        <v>0</v>
      </c>
      <c r="E36" s="17"/>
      <c r="F36" s="20" t="b">
        <f>F2</f>
        <v>0</v>
      </c>
      <c r="G36" s="17"/>
      <c r="H36" s="17"/>
      <c r="I36" s="20" t="b">
        <f>I16</f>
        <v>0</v>
      </c>
      <c r="J36" s="17"/>
      <c r="K36" s="20" t="b">
        <f>K9</f>
        <v>0</v>
      </c>
      <c r="L36" s="17"/>
      <c r="M36" s="17"/>
      <c r="N36" s="17"/>
      <c r="O36" s="17"/>
      <c r="P36" s="17"/>
      <c r="Q36" s="17"/>
      <c r="R36" s="17"/>
      <c r="S36" s="17"/>
      <c r="T36" s="17"/>
      <c r="U36" s="17"/>
      <c r="V36" s="113" t="b">
        <f>AND(Table5[[#This Row],[Adult]:[Heat]])</f>
        <v>0</v>
      </c>
      <c r="W36" s="117" t="s">
        <v>186</v>
      </c>
    </row>
    <row r="37" spans="1:23">
      <c r="A37" t="b">
        <f>IF(Table5[[#This Row],[Column1]],Table5[[#This Row],[Column2]])</f>
        <v>0</v>
      </c>
      <c r="B37" s="20" t="b">
        <f>B2</f>
        <v>0</v>
      </c>
      <c r="C37" s="17"/>
      <c r="D37" s="20" t="b">
        <f>D2</f>
        <v>0</v>
      </c>
      <c r="E37" s="17"/>
      <c r="F37" s="20" t="b">
        <f>F2</f>
        <v>0</v>
      </c>
      <c r="G37" s="17"/>
      <c r="H37" s="20" t="b">
        <f>H2</f>
        <v>0</v>
      </c>
      <c r="I37" s="17"/>
      <c r="J37" s="17"/>
      <c r="K37" s="20" t="b">
        <f>K9</f>
        <v>0</v>
      </c>
      <c r="L37" s="17"/>
      <c r="M37" s="17"/>
      <c r="N37" s="17"/>
      <c r="O37" s="17"/>
      <c r="P37" s="17"/>
      <c r="Q37" s="17"/>
      <c r="R37" s="17"/>
      <c r="S37" s="17"/>
      <c r="T37" s="17"/>
      <c r="U37" s="17"/>
      <c r="V37" s="113" t="b">
        <f>AND(Table5[[#This Row],[Adult]:[Heat]])</f>
        <v>0</v>
      </c>
      <c r="W37" s="117" t="s">
        <v>187</v>
      </c>
    </row>
    <row r="38" spans="1:23">
      <c r="A38" t="b">
        <f>IF(Table5[[#This Row],[Column1]],Table5[[#This Row],[Column2]])</f>
        <v>0</v>
      </c>
      <c r="B38" s="20" t="b">
        <f>B2</f>
        <v>0</v>
      </c>
      <c r="C38" s="17"/>
      <c r="D38" s="20" t="b">
        <f>D2</f>
        <v>0</v>
      </c>
      <c r="E38" s="17"/>
      <c r="F38" s="20" t="b">
        <f>F2</f>
        <v>0</v>
      </c>
      <c r="G38" s="17"/>
      <c r="H38" s="20" t="b">
        <f>H2</f>
        <v>0</v>
      </c>
      <c r="I38" s="17"/>
      <c r="J38" s="17"/>
      <c r="K38" s="20" t="b">
        <f>K9</f>
        <v>0</v>
      </c>
      <c r="L38" s="17"/>
      <c r="M38" s="17"/>
      <c r="N38" s="17"/>
      <c r="O38" s="17"/>
      <c r="P38" s="17"/>
      <c r="Q38" s="17"/>
      <c r="R38" s="17"/>
      <c r="S38" s="17"/>
      <c r="T38" s="17"/>
      <c r="U38" s="17"/>
      <c r="V38" s="113" t="b">
        <f>AND(Table5[[#This Row],[Adult]:[Heat]])</f>
        <v>0</v>
      </c>
      <c r="W38" s="117" t="s">
        <v>189</v>
      </c>
    </row>
    <row r="39" spans="1:23">
      <c r="A39" t="b">
        <f>IF(Table5[[#This Row],[Column1]],Table5[[#This Row],[Column2]])</f>
        <v>0</v>
      </c>
      <c r="B39" s="20" t="b">
        <f>B2</f>
        <v>0</v>
      </c>
      <c r="C39" s="17"/>
      <c r="D39" s="20" t="b">
        <f>D2</f>
        <v>0</v>
      </c>
      <c r="E39" s="17"/>
      <c r="F39" s="20" t="b">
        <f>F2</f>
        <v>0</v>
      </c>
      <c r="G39" s="17"/>
      <c r="H39" s="17"/>
      <c r="I39" s="17"/>
      <c r="J39" s="17"/>
      <c r="K39" s="20" t="b">
        <f>K9</f>
        <v>0</v>
      </c>
      <c r="L39" s="17"/>
      <c r="M39" s="106" t="b">
        <f>AND('Pain Criteria'!C3,'Pain Criteria'!C7,'Pain Criteria'!C8,OR('Pain Criteria'!B12:B14,'Pain Criteria'!B22:B23))</f>
        <v>0</v>
      </c>
      <c r="N39" s="17"/>
      <c r="O39" s="17"/>
      <c r="P39" s="17"/>
      <c r="Q39" s="17"/>
      <c r="R39" s="17"/>
      <c r="S39" s="17"/>
      <c r="T39" s="17"/>
      <c r="U39" s="17"/>
      <c r="V39" s="113" t="b">
        <f>AND(Table5[[#This Row],[Adult]:[Heat]])</f>
        <v>0</v>
      </c>
      <c r="W39" s="117" t="s">
        <v>188</v>
      </c>
    </row>
    <row r="40" spans="1:23">
      <c r="A40" t="b">
        <f>IF(Table5[[#This Row],[Column1]],Table5[[#This Row],[Column2]])</f>
        <v>0</v>
      </c>
      <c r="B40" s="20" t="b">
        <f>B2</f>
        <v>0</v>
      </c>
      <c r="C40" s="17"/>
      <c r="D40" s="20" t="b">
        <f>D2</f>
        <v>0</v>
      </c>
      <c r="E40" s="17"/>
      <c r="F40" s="20" t="b">
        <f>F2</f>
        <v>0</v>
      </c>
      <c r="G40" s="17"/>
      <c r="H40" s="17"/>
      <c r="I40" s="17"/>
      <c r="J40" s="17"/>
      <c r="K40" s="20" t="b">
        <f>K9</f>
        <v>0</v>
      </c>
      <c r="L40" s="17"/>
      <c r="M40" s="17"/>
      <c r="N40" s="17"/>
      <c r="O40" s="17"/>
      <c r="P40" s="17"/>
      <c r="Q40" s="17"/>
      <c r="R40" s="17"/>
      <c r="S40" s="17"/>
      <c r="T40" s="17"/>
      <c r="U40" s="17"/>
      <c r="V40" s="113" t="b">
        <f>AND(Table5[[#This Row],[Adult]:[Heat]])</f>
        <v>0</v>
      </c>
      <c r="W40" s="117" t="s">
        <v>190</v>
      </c>
    </row>
    <row r="41" spans="1:23">
      <c r="A41" t="b">
        <f>IF(Table5[[#This Row],[Column1]],Table5[[#This Row],[Column2]])</f>
        <v>0</v>
      </c>
      <c r="B41" s="20" t="b">
        <f>B2</f>
        <v>0</v>
      </c>
      <c r="C41" s="17"/>
      <c r="D41" s="20" t="b">
        <f>D2</f>
        <v>0</v>
      </c>
      <c r="E41" s="17"/>
      <c r="F41" s="17"/>
      <c r="G41" s="20" t="b">
        <f>AND('Pain Criteria'!B19,'Pain Criteria'!C18)</f>
        <v>0</v>
      </c>
      <c r="H41" s="17"/>
      <c r="I41" s="17"/>
      <c r="J41" s="17"/>
      <c r="K41" s="17"/>
      <c r="L41" s="17"/>
      <c r="M41" s="17"/>
      <c r="N41" s="17"/>
      <c r="O41" s="17"/>
      <c r="P41" s="17"/>
      <c r="Q41" s="17"/>
      <c r="R41" s="17"/>
      <c r="S41" s="17"/>
      <c r="T41" s="17"/>
      <c r="U41" s="20" t="b">
        <f>AND('Pain Criteria'!C15,OR('Pain Criteria'!B12:B14))</f>
        <v>0</v>
      </c>
      <c r="V41" s="113" t="b">
        <f>AND(Table5[[#This Row],[Adult]:[Heat]])</f>
        <v>0</v>
      </c>
      <c r="W41" s="117" t="s">
        <v>192</v>
      </c>
    </row>
    <row r="42" spans="1:23">
      <c r="A42" s="16" t="e">
        <f>IF(Table5[[#This Row],[Column1]],Table5[[#This Row],[Column2]])</f>
        <v>#VALUE!</v>
      </c>
      <c r="B42" s="16"/>
      <c r="C42" s="16"/>
      <c r="D42" s="16"/>
      <c r="E42" s="16"/>
      <c r="F42" s="16"/>
      <c r="G42" s="16"/>
      <c r="H42" s="16"/>
      <c r="I42" s="16"/>
      <c r="J42" s="16"/>
      <c r="K42" s="16"/>
      <c r="L42" s="16"/>
      <c r="M42" s="16"/>
      <c r="N42" s="16"/>
      <c r="O42" s="16"/>
      <c r="P42" s="16"/>
      <c r="Q42" s="16"/>
      <c r="R42" s="16"/>
      <c r="S42" s="16"/>
      <c r="T42" s="16"/>
      <c r="U42" s="16"/>
      <c r="V42" s="27" t="e">
        <f>AND(Table5[[#This Row],[Adult]:[Heat]])</f>
        <v>#VALUE!</v>
      </c>
      <c r="W42" s="76"/>
    </row>
    <row r="43" spans="1:23">
      <c r="A43" t="b">
        <f>IF(Table5[[#This Row],[Column1]],Table5[[#This Row],[Column2]])</f>
        <v>0</v>
      </c>
      <c r="B43" s="20" t="b">
        <f>B2</f>
        <v>0</v>
      </c>
      <c r="C43" s="17"/>
      <c r="D43" s="20" t="b">
        <f>D2</f>
        <v>0</v>
      </c>
      <c r="E43" s="17"/>
      <c r="F43" s="17"/>
      <c r="G43" s="20" t="b">
        <f>G41</f>
        <v>0</v>
      </c>
      <c r="H43" s="17"/>
      <c r="I43" s="17"/>
      <c r="J43" s="17"/>
      <c r="K43" s="17"/>
      <c r="L43" s="20" t="b">
        <f>AND('Pain Criteria'!C3,'Pain Criteria'!C15,OR('Pain Criteria'!B12:B14))</f>
        <v>0</v>
      </c>
      <c r="M43" s="17"/>
      <c r="N43" s="17"/>
      <c r="O43" s="17"/>
      <c r="P43" s="17"/>
      <c r="Q43" s="17"/>
      <c r="R43" s="17"/>
      <c r="S43" s="17"/>
      <c r="T43" s="17"/>
      <c r="U43" s="17"/>
      <c r="V43" s="113" t="b">
        <f>AND(Table5[[#This Row],[Adult]:[Heat]])</f>
        <v>0</v>
      </c>
      <c r="W43" s="117" t="s">
        <v>193</v>
      </c>
    </row>
    <row r="44" spans="1:23">
      <c r="A44" t="b">
        <f>IF(Table5[[#This Row],[Column1]],Table5[[#This Row],[Column2]])</f>
        <v>0</v>
      </c>
      <c r="B44" s="20" t="b">
        <f>B2</f>
        <v>0</v>
      </c>
      <c r="C44" s="17"/>
      <c r="D44" s="20" t="b">
        <f>D2</f>
        <v>0</v>
      </c>
      <c r="E44" s="17"/>
      <c r="F44" s="17"/>
      <c r="G44" s="20" t="b">
        <f>G41</f>
        <v>0</v>
      </c>
      <c r="H44" s="17"/>
      <c r="I44" s="17"/>
      <c r="J44" s="17"/>
      <c r="K44" s="17"/>
      <c r="L44" s="20" t="b">
        <f>L43</f>
        <v>0</v>
      </c>
      <c r="M44" s="17"/>
      <c r="N44" s="17"/>
      <c r="O44" s="17"/>
      <c r="P44" s="17"/>
      <c r="Q44" s="17"/>
      <c r="R44" s="17"/>
      <c r="S44" s="17"/>
      <c r="T44" s="17"/>
      <c r="U44" s="17"/>
      <c r="V44" s="113" t="b">
        <f>AND(Table5[[#This Row],[Adult]:[Heat]])</f>
        <v>0</v>
      </c>
      <c r="W44" s="117" t="s">
        <v>194</v>
      </c>
    </row>
    <row r="45" spans="1:23">
      <c r="A45" t="b">
        <f>IF(Table5[[#This Row],[Column1]],Table5[[#This Row],[Column2]])</f>
        <v>0</v>
      </c>
      <c r="B45" s="20" t="b">
        <f>B2</f>
        <v>0</v>
      </c>
      <c r="C45" s="17"/>
      <c r="D45" s="20" t="b">
        <f>D2</f>
        <v>0</v>
      </c>
      <c r="E45" s="17"/>
      <c r="F45" s="17"/>
      <c r="G45" s="20" t="b">
        <f>G41</f>
        <v>0</v>
      </c>
      <c r="H45" s="17"/>
      <c r="I45" s="17"/>
      <c r="J45" s="17"/>
      <c r="K45" s="17"/>
      <c r="L45" s="20" t="b">
        <f>L43</f>
        <v>0</v>
      </c>
      <c r="M45" s="17"/>
      <c r="N45" s="17"/>
      <c r="O45" s="17"/>
      <c r="P45" s="17"/>
      <c r="Q45" s="17"/>
      <c r="R45" s="17"/>
      <c r="S45" s="17"/>
      <c r="T45" s="17"/>
      <c r="U45" s="17"/>
      <c r="V45" s="113" t="b">
        <f>AND(Table5[[#This Row],[Adult]:[Heat]])</f>
        <v>0</v>
      </c>
      <c r="W45" s="117" t="s">
        <v>195</v>
      </c>
    </row>
    <row r="46" spans="1:23">
      <c r="A46" s="16" t="e">
        <f>IF(Table5[[#This Row],[Column1]],Table5[[#This Row],[Column2]])</f>
        <v>#VALUE!</v>
      </c>
      <c r="B46" s="16"/>
      <c r="C46" s="16"/>
      <c r="D46" s="16"/>
      <c r="E46" s="16"/>
      <c r="F46" s="16"/>
      <c r="G46" s="16"/>
      <c r="H46" s="16"/>
      <c r="I46" s="16"/>
      <c r="J46" s="16"/>
      <c r="K46" s="16"/>
      <c r="L46" s="16"/>
      <c r="M46" s="16"/>
      <c r="N46" s="16"/>
      <c r="O46" s="16"/>
      <c r="P46" s="16"/>
      <c r="Q46" s="16"/>
      <c r="R46" s="16"/>
      <c r="S46" s="16"/>
      <c r="T46" s="16"/>
      <c r="U46" s="16"/>
      <c r="V46" s="27" t="e">
        <f>AND(Table5[[#This Row],[Adult]:[Heat]])</f>
        <v>#VALUE!</v>
      </c>
      <c r="W46" s="76"/>
    </row>
    <row r="47" spans="1:23">
      <c r="A47" t="b">
        <f>IF(Table5[[#This Row],[Column1]],Table5[[#This Row],[Column2]])</f>
        <v>0</v>
      </c>
      <c r="B47" s="20" t="b">
        <f>B2</f>
        <v>0</v>
      </c>
      <c r="C47" s="17"/>
      <c r="D47" s="20" t="b">
        <f>D2</f>
        <v>0</v>
      </c>
      <c r="E47" s="17"/>
      <c r="F47" s="20" t="b">
        <f>F2</f>
        <v>0</v>
      </c>
      <c r="G47" s="17"/>
      <c r="H47" s="17"/>
      <c r="I47" s="17"/>
      <c r="J47" s="17"/>
      <c r="K47" s="17"/>
      <c r="L47" s="17"/>
      <c r="M47" s="20" t="b">
        <f>M39</f>
        <v>0</v>
      </c>
      <c r="N47" s="17"/>
      <c r="O47" s="17"/>
      <c r="P47" s="17"/>
      <c r="Q47" s="17"/>
      <c r="R47" s="17"/>
      <c r="S47" s="17"/>
      <c r="T47" s="17"/>
      <c r="U47" s="17"/>
      <c r="V47" s="113" t="b">
        <f>AND(Table5[[#This Row],[Adult]:[Heat]])</f>
        <v>0</v>
      </c>
      <c r="W47" s="118" t="s">
        <v>196</v>
      </c>
    </row>
    <row r="48" spans="1:23">
      <c r="A48" t="b">
        <f>IF(Table5[[#This Row],[Column1]],Table5[[#This Row],[Column2]])</f>
        <v>0</v>
      </c>
      <c r="B48" s="20" t="b">
        <f>B2</f>
        <v>0</v>
      </c>
      <c r="C48" s="17"/>
      <c r="D48" s="20" t="b">
        <f>D2</f>
        <v>0</v>
      </c>
      <c r="E48" s="17"/>
      <c r="F48" s="20" t="b">
        <f>F2</f>
        <v>0</v>
      </c>
      <c r="G48" s="17"/>
      <c r="H48" s="17"/>
      <c r="I48" s="17"/>
      <c r="J48" s="17"/>
      <c r="K48" s="17"/>
      <c r="L48" s="17"/>
      <c r="M48" s="20" t="b">
        <f>M39</f>
        <v>0</v>
      </c>
      <c r="N48" s="17"/>
      <c r="O48" s="17"/>
      <c r="P48" s="17"/>
      <c r="Q48" s="17"/>
      <c r="R48" s="17"/>
      <c r="S48" s="17"/>
      <c r="T48" s="17"/>
      <c r="U48" s="17"/>
      <c r="V48" s="113" t="b">
        <f>AND(Table5[[#This Row],[Adult]:[Heat]])</f>
        <v>0</v>
      </c>
      <c r="W48" s="118" t="s">
        <v>197</v>
      </c>
    </row>
    <row r="49" spans="1:23">
      <c r="A49" t="b">
        <f>IF(Table5[[#This Row],[Column1]],Table5[[#This Row],[Column2]])</f>
        <v>0</v>
      </c>
      <c r="B49" s="20" t="b">
        <f>B2</f>
        <v>0</v>
      </c>
      <c r="C49" s="17"/>
      <c r="D49" s="17"/>
      <c r="E49" s="20" t="b">
        <f>E7</f>
        <v>0</v>
      </c>
      <c r="F49" s="20" t="b">
        <f>F2</f>
        <v>0</v>
      </c>
      <c r="G49" s="17"/>
      <c r="H49" s="17"/>
      <c r="I49" s="17"/>
      <c r="J49" s="17"/>
      <c r="K49" s="17"/>
      <c r="L49" s="17"/>
      <c r="M49" s="20" t="b">
        <f>M39</f>
        <v>0</v>
      </c>
      <c r="N49" s="17"/>
      <c r="O49" s="17"/>
      <c r="P49" s="17"/>
      <c r="Q49" s="17"/>
      <c r="R49" s="17"/>
      <c r="S49" s="17"/>
      <c r="T49" s="17"/>
      <c r="U49" s="17"/>
      <c r="V49" s="113" t="b">
        <f>AND(Table5[[#This Row],[Adult]:[Heat]])</f>
        <v>0</v>
      </c>
      <c r="W49" s="118" t="s">
        <v>208</v>
      </c>
    </row>
    <row r="50" spans="1:23">
      <c r="A50" s="16" t="e">
        <f>IF(Table5[[#This Row],[Column1]],Table5[[#This Row],[Column2]])</f>
        <v>#VALUE!</v>
      </c>
      <c r="B50" s="16"/>
      <c r="C50" s="16"/>
      <c r="D50" s="16"/>
      <c r="E50" s="16"/>
      <c r="F50" s="16"/>
      <c r="G50" s="16"/>
      <c r="H50" s="16"/>
      <c r="I50" s="16"/>
      <c r="J50" s="16"/>
      <c r="K50" s="16"/>
      <c r="L50" s="16"/>
      <c r="M50" s="16"/>
      <c r="N50" s="16"/>
      <c r="O50" s="16"/>
      <c r="P50" s="16"/>
      <c r="Q50" s="16"/>
      <c r="R50" s="16"/>
      <c r="S50" s="16"/>
      <c r="T50" s="16"/>
      <c r="U50" s="16"/>
      <c r="V50" s="27" t="e">
        <f>AND(Table5[[#This Row],[Adult]:[Heat]])</f>
        <v>#VALUE!</v>
      </c>
      <c r="W50" s="76"/>
    </row>
    <row r="51" spans="1:23">
      <c r="A51" t="b">
        <f>IF(Table5[[#This Row],[Column1]],Table5[[#This Row],[Column2]])</f>
        <v>0</v>
      </c>
      <c r="B51" s="20" t="b">
        <f>B2</f>
        <v>0</v>
      </c>
      <c r="C51" s="17"/>
      <c r="D51" s="20" t="b">
        <f>D2</f>
        <v>0</v>
      </c>
      <c r="E51" s="17"/>
      <c r="F51" s="20" t="b">
        <f>F2</f>
        <v>0</v>
      </c>
      <c r="G51" s="17"/>
      <c r="H51" s="20" t="b">
        <f>H2</f>
        <v>0</v>
      </c>
      <c r="I51" s="17"/>
      <c r="J51" s="17"/>
      <c r="K51" s="17"/>
      <c r="L51" s="17"/>
      <c r="M51" s="17"/>
      <c r="N51" s="17"/>
      <c r="O51" s="106" t="b">
        <f>AND('Pain Criteria'!B23)</f>
        <v>0</v>
      </c>
      <c r="P51" s="20" t="b">
        <f>O51</f>
        <v>0</v>
      </c>
      <c r="Q51" s="17"/>
      <c r="R51" s="17"/>
      <c r="S51" s="17"/>
      <c r="T51" s="17"/>
      <c r="U51" s="17"/>
      <c r="V51" s="113" t="b">
        <f>AND(Table5[[#This Row],[Adult]:[Heat]])</f>
        <v>0</v>
      </c>
      <c r="W51" s="118" t="s">
        <v>199</v>
      </c>
    </row>
    <row r="52" spans="1:23">
      <c r="A52" t="b">
        <f>IF(Table5[[#This Row],[Column1]],Table5[[#This Row],[Column2]])</f>
        <v>0</v>
      </c>
      <c r="B52" s="20" t="b">
        <f>B2</f>
        <v>0</v>
      </c>
      <c r="C52" s="17"/>
      <c r="D52" s="20" t="b">
        <f>D2</f>
        <v>0</v>
      </c>
      <c r="E52" s="17"/>
      <c r="F52" s="20" t="b">
        <f>F2</f>
        <v>0</v>
      </c>
      <c r="G52" s="17"/>
      <c r="H52" s="20" t="b">
        <f>H2</f>
        <v>0</v>
      </c>
      <c r="I52" s="17"/>
      <c r="J52" s="17"/>
      <c r="K52" s="17"/>
      <c r="L52" s="17"/>
      <c r="M52" s="17"/>
      <c r="N52" s="17"/>
      <c r="O52" s="17"/>
      <c r="P52" s="20" t="b">
        <f>O51</f>
        <v>0</v>
      </c>
      <c r="Q52" s="20" t="b">
        <f>O51</f>
        <v>0</v>
      </c>
      <c r="R52" s="17"/>
      <c r="S52" s="17"/>
      <c r="T52" s="17"/>
      <c r="U52" s="17"/>
      <c r="V52" s="113" t="b">
        <f>AND(Table5[[#This Row],[Adult]:[Heat]])</f>
        <v>0</v>
      </c>
      <c r="W52" s="118" t="s">
        <v>201</v>
      </c>
    </row>
    <row r="53" spans="1:23">
      <c r="A53" t="b">
        <f>IF(Table5[[#This Row],[Column1]],Table5[[#This Row],[Column2]])</f>
        <v>0</v>
      </c>
      <c r="B53" s="20" t="b">
        <f>B2</f>
        <v>0</v>
      </c>
      <c r="C53" s="17"/>
      <c r="D53" s="20" t="b">
        <f>D2</f>
        <v>0</v>
      </c>
      <c r="E53" s="17"/>
      <c r="F53" s="20" t="b">
        <f>F2</f>
        <v>0</v>
      </c>
      <c r="G53" s="17"/>
      <c r="H53" s="20" t="b">
        <f>H2</f>
        <v>0</v>
      </c>
      <c r="I53" s="17"/>
      <c r="J53" s="17"/>
      <c r="K53" s="17"/>
      <c r="L53" s="17"/>
      <c r="M53" s="17"/>
      <c r="N53" s="17"/>
      <c r="O53" s="20" t="b">
        <f>O51</f>
        <v>0</v>
      </c>
      <c r="P53" s="20" t="b">
        <f>O51</f>
        <v>0</v>
      </c>
      <c r="Q53" s="17"/>
      <c r="R53" s="17"/>
      <c r="S53" s="17"/>
      <c r="T53" s="17"/>
      <c r="U53" s="17"/>
      <c r="V53" s="113" t="b">
        <f>AND(Table5[[#This Row],[Adult]:[Heat]])</f>
        <v>0</v>
      </c>
      <c r="W53" s="118" t="s">
        <v>203</v>
      </c>
    </row>
    <row r="54" spans="1:23">
      <c r="A54" t="b">
        <f>IF(Table5[[#This Row],[Column1]],Table5[[#This Row],[Column2]])</f>
        <v>0</v>
      </c>
      <c r="B54" s="20" t="b">
        <f>B2</f>
        <v>0</v>
      </c>
      <c r="C54" s="17"/>
      <c r="D54" s="20" t="b">
        <f>D2</f>
        <v>0</v>
      </c>
      <c r="E54" s="17"/>
      <c r="F54" s="20" t="b">
        <f>F2</f>
        <v>0</v>
      </c>
      <c r="G54" s="17"/>
      <c r="H54" s="17"/>
      <c r="I54" s="17"/>
      <c r="J54" s="20" t="b">
        <f>J31</f>
        <v>0</v>
      </c>
      <c r="K54" s="17"/>
      <c r="L54" s="17"/>
      <c r="M54" s="17"/>
      <c r="N54" s="17"/>
      <c r="O54" s="17"/>
      <c r="P54" s="17"/>
      <c r="Q54" s="17"/>
      <c r="R54" s="17"/>
      <c r="S54" s="17"/>
      <c r="T54" s="17"/>
      <c r="U54" s="17"/>
      <c r="V54" s="113" t="b">
        <f>AND(Table5[[#This Row],[Adult]:[Heat]])</f>
        <v>0</v>
      </c>
      <c r="W54" s="118" t="s">
        <v>204</v>
      </c>
    </row>
    <row r="55" spans="1:23">
      <c r="A55" s="16" t="e">
        <f>IF(Table5[[#This Row],[Column1]],Table5[[#This Row],[Column2]])</f>
        <v>#VALUE!</v>
      </c>
      <c r="B55" s="16"/>
      <c r="C55" s="16"/>
      <c r="D55" s="16"/>
      <c r="E55" s="16"/>
      <c r="F55" s="16"/>
      <c r="G55" s="16"/>
      <c r="H55" s="16"/>
      <c r="I55" s="16"/>
      <c r="J55" s="16"/>
      <c r="K55" s="16"/>
      <c r="L55" s="16"/>
      <c r="M55" s="16"/>
      <c r="N55" s="16"/>
      <c r="O55" s="16"/>
      <c r="P55" s="16"/>
      <c r="Q55" s="16"/>
      <c r="R55" s="16"/>
      <c r="S55" s="16"/>
      <c r="T55" s="16"/>
      <c r="U55" s="16"/>
      <c r="V55" s="27" t="e">
        <f>AND(Table5[[#This Row],[Adult]:[Heat]])</f>
        <v>#VALUE!</v>
      </c>
      <c r="W55" s="76"/>
    </row>
    <row r="56" spans="1:23">
      <c r="A56" t="b">
        <f>IF(Table5[[#This Row],[Column1]],Table5[[#This Row],[Column2]])</f>
        <v>0</v>
      </c>
      <c r="B56" s="20" t="b">
        <f>B2</f>
        <v>0</v>
      </c>
      <c r="C56" s="17"/>
      <c r="D56" s="20" t="b">
        <f>D2</f>
        <v>0</v>
      </c>
      <c r="E56" s="17"/>
      <c r="F56" s="17"/>
      <c r="G56" s="20" t="b">
        <f>G41</f>
        <v>0</v>
      </c>
      <c r="H56" s="17"/>
      <c r="I56" s="17"/>
      <c r="J56" s="17"/>
      <c r="K56" s="17"/>
      <c r="L56" s="17"/>
      <c r="M56" s="17"/>
      <c r="N56" s="17"/>
      <c r="O56" s="17"/>
      <c r="P56" s="17"/>
      <c r="Q56" s="17"/>
      <c r="R56" s="20" t="b">
        <f>AND('Pain Criteria'!C15,OR('Pain Criteria'!B12:B14))</f>
        <v>0</v>
      </c>
      <c r="S56" s="17"/>
      <c r="T56" s="17"/>
      <c r="U56" s="17"/>
      <c r="V56" s="113" t="b">
        <f>AND(Table5[[#This Row],[Adult]:[Heat]])</f>
        <v>0</v>
      </c>
      <c r="W56" s="131" t="s">
        <v>209</v>
      </c>
    </row>
    <row r="57" spans="1:23">
      <c r="A57" t="b">
        <f>IF(Table5[[#This Row],[Column1]],Table5[[#This Row],[Column2]])</f>
        <v>0</v>
      </c>
      <c r="B57" s="20" t="b">
        <f>B2</f>
        <v>0</v>
      </c>
      <c r="C57" s="17"/>
      <c r="D57" s="20" t="b">
        <f>D2</f>
        <v>0</v>
      </c>
      <c r="E57" s="17"/>
      <c r="F57" s="17"/>
      <c r="G57" s="20" t="b">
        <f>G41</f>
        <v>0</v>
      </c>
      <c r="H57" s="17"/>
      <c r="I57" s="17"/>
      <c r="J57" s="17"/>
      <c r="K57" s="17"/>
      <c r="L57" s="17"/>
      <c r="M57" s="106" t="b">
        <f>AND('Pain Criteria'!C15,OR('Pain Criteria'!B12:B14))</f>
        <v>0</v>
      </c>
      <c r="N57" s="17"/>
      <c r="O57" s="17"/>
      <c r="P57" s="17"/>
      <c r="Q57" s="17"/>
      <c r="R57" s="20" t="b">
        <f>R56</f>
        <v>0</v>
      </c>
      <c r="S57" s="17"/>
      <c r="T57" s="17"/>
      <c r="U57" s="17"/>
      <c r="V57" s="113" t="b">
        <f>AND(Table5[[#This Row],[Adult]:[Heat]])</f>
        <v>0</v>
      </c>
      <c r="W57" s="131" t="s">
        <v>210</v>
      </c>
    </row>
    <row r="58" spans="1:23">
      <c r="A58" t="b">
        <f>IF(Table5[[#This Row],[Column1]],Table5[[#This Row],[Column2]])</f>
        <v>0</v>
      </c>
      <c r="B58" s="20" t="b">
        <f>B2</f>
        <v>0</v>
      </c>
      <c r="C58" s="17"/>
      <c r="D58" s="20" t="b">
        <f>D2</f>
        <v>0</v>
      </c>
      <c r="E58" s="17"/>
      <c r="F58" s="17"/>
      <c r="G58" s="20" t="b">
        <f>G41</f>
        <v>0</v>
      </c>
      <c r="H58" s="17"/>
      <c r="I58" s="17"/>
      <c r="J58" s="17"/>
      <c r="K58" s="17"/>
      <c r="L58" s="17"/>
      <c r="M58" s="17"/>
      <c r="N58" s="17"/>
      <c r="O58" s="17"/>
      <c r="P58" s="17"/>
      <c r="Q58" s="17"/>
      <c r="R58" s="20" t="b">
        <f>R56</f>
        <v>0</v>
      </c>
      <c r="S58" s="17"/>
      <c r="T58" s="17"/>
      <c r="U58" s="17"/>
      <c r="V58" s="113" t="b">
        <f>AND(Table5[[#This Row],[Adult]:[Heat]])</f>
        <v>0</v>
      </c>
      <c r="W58" s="131" t="s">
        <v>206</v>
      </c>
    </row>
    <row r="59" spans="1:23">
      <c r="A59" t="b">
        <f>IF(Table5[[#This Row],[Column1]],Table5[[#This Row],[Column2]])</f>
        <v>0</v>
      </c>
      <c r="B59" s="20" t="b">
        <f>B2</f>
        <v>0</v>
      </c>
      <c r="C59" s="17"/>
      <c r="D59" s="20" t="b">
        <f>D2</f>
        <v>0</v>
      </c>
      <c r="E59" s="17"/>
      <c r="F59" s="17"/>
      <c r="G59" s="20" t="b">
        <f>G41</f>
        <v>0</v>
      </c>
      <c r="H59" s="17"/>
      <c r="I59" s="17"/>
      <c r="J59" s="17"/>
      <c r="K59" s="17"/>
      <c r="L59" s="17"/>
      <c r="M59" s="17"/>
      <c r="N59" s="17"/>
      <c r="O59" s="17"/>
      <c r="P59" s="17"/>
      <c r="Q59" s="17"/>
      <c r="R59" s="20" t="b">
        <f>R56</f>
        <v>0</v>
      </c>
      <c r="S59" s="17"/>
      <c r="T59" s="17"/>
      <c r="U59" s="17"/>
      <c r="V59" s="113" t="b">
        <f>AND(Table5[[#This Row],[Adult]:[Heat]])</f>
        <v>0</v>
      </c>
      <c r="W59" s="117" t="s">
        <v>207</v>
      </c>
    </row>
    <row r="60" spans="1:23">
      <c r="A60" s="16" t="e">
        <f>IF(Table5[[#This Row],[Column1]],Table5[[#This Row],[Column2]])</f>
        <v>#VALUE!</v>
      </c>
      <c r="B60" s="16"/>
      <c r="C60" s="16"/>
      <c r="D60" s="16"/>
      <c r="E60" s="16"/>
      <c r="F60" s="16"/>
      <c r="G60" s="16"/>
      <c r="H60" s="16"/>
      <c r="I60" s="16"/>
      <c r="J60" s="16"/>
      <c r="K60" s="16"/>
      <c r="L60" s="16"/>
      <c r="M60" s="16"/>
      <c r="N60" s="16"/>
      <c r="O60" s="16"/>
      <c r="P60" s="16"/>
      <c r="Q60" s="16"/>
      <c r="R60" s="16"/>
      <c r="S60" s="16"/>
      <c r="T60" s="16"/>
      <c r="U60" s="16"/>
      <c r="V60" s="27" t="e">
        <f>AND(Table5[[#This Row],[Adult]:[Heat]])</f>
        <v>#VALUE!</v>
      </c>
      <c r="W60" s="76"/>
    </row>
    <row r="61" spans="1:23">
      <c r="A61" t="b">
        <f>IF(Table5[[#This Row],[Column1]],Table5[[#This Row],[Column2]])</f>
        <v>0</v>
      </c>
      <c r="B61" s="20" t="b">
        <f>B2</f>
        <v>0</v>
      </c>
      <c r="C61" s="17"/>
      <c r="D61" s="20" t="b">
        <f>D2</f>
        <v>0</v>
      </c>
      <c r="E61" s="17"/>
      <c r="F61" s="17"/>
      <c r="G61" s="20" t="b">
        <f>G41</f>
        <v>0</v>
      </c>
      <c r="H61" s="17"/>
      <c r="I61" s="17"/>
      <c r="J61" s="17"/>
      <c r="K61" s="17"/>
      <c r="L61" s="17"/>
      <c r="M61" s="17"/>
      <c r="N61" s="20" t="b">
        <f>AND('Pain Criteria'!C15,'Pain Criteria'!B12)</f>
        <v>0</v>
      </c>
      <c r="O61" s="17"/>
      <c r="P61" s="17"/>
      <c r="Q61" s="17"/>
      <c r="R61" s="20" t="b">
        <f>R56</f>
        <v>0</v>
      </c>
      <c r="S61" s="17"/>
      <c r="T61" s="17"/>
      <c r="U61" s="17"/>
      <c r="V61" s="113" t="b">
        <f>AND(Table5[[#This Row],[Adult]:[Heat]])</f>
        <v>0</v>
      </c>
      <c r="W61" s="114" t="s">
        <v>211</v>
      </c>
    </row>
    <row r="62" spans="1:23">
      <c r="A62" t="b">
        <f>IF(Table5[[#This Row],[Column1]],Table5[[#This Row],[Column2]])</f>
        <v>0</v>
      </c>
      <c r="B62" s="20" t="b">
        <f>B2</f>
        <v>0</v>
      </c>
      <c r="C62" s="17"/>
      <c r="D62" s="20" t="b">
        <f>D2</f>
        <v>0</v>
      </c>
      <c r="E62" s="17"/>
      <c r="F62" s="17"/>
      <c r="G62" s="20" t="b">
        <f>G41</f>
        <v>0</v>
      </c>
      <c r="H62" s="17"/>
      <c r="I62" s="17"/>
      <c r="J62" s="17"/>
      <c r="K62" s="17"/>
      <c r="L62" s="17"/>
      <c r="M62" s="17"/>
      <c r="N62" s="17"/>
      <c r="O62" s="17"/>
      <c r="P62" s="17"/>
      <c r="Q62" s="17"/>
      <c r="R62" s="17"/>
      <c r="S62" s="17"/>
      <c r="T62" s="20" t="b">
        <f>AND('Pain Criteria'!C15,'Pain Criteria'!C3,'Pain Criteria'!B24,OR('Pain Criteria'!B12:B14))</f>
        <v>0</v>
      </c>
      <c r="U62" s="17"/>
      <c r="V62" s="113" t="b">
        <f>AND(Table5[[#This Row],[Adult]:[Heat]])</f>
        <v>0</v>
      </c>
      <c r="W62" s="114" t="s">
        <v>212</v>
      </c>
    </row>
    <row r="63" spans="1:23">
      <c r="A63" t="b">
        <f>IF(Table5[[#This Row],[Column1]],Table5[[#This Row],[Column2]])</f>
        <v>0</v>
      </c>
      <c r="B63" s="20" t="b">
        <f>B2</f>
        <v>0</v>
      </c>
      <c r="C63" s="17"/>
      <c r="D63" s="20" t="b">
        <f>D2</f>
        <v>0</v>
      </c>
      <c r="E63" s="17"/>
      <c r="F63" s="17"/>
      <c r="G63" s="20" t="b">
        <f>G41</f>
        <v>0</v>
      </c>
      <c r="H63" s="17"/>
      <c r="I63" s="17"/>
      <c r="J63" s="17"/>
      <c r="K63" s="17"/>
      <c r="L63" s="17"/>
      <c r="M63" s="20" t="b">
        <f>M57</f>
        <v>0</v>
      </c>
      <c r="N63" s="17"/>
      <c r="O63" s="17"/>
      <c r="P63" s="17"/>
      <c r="Q63" s="17"/>
      <c r="R63" s="20" t="b">
        <f>R56</f>
        <v>0</v>
      </c>
      <c r="S63" s="17"/>
      <c r="T63" s="17"/>
      <c r="U63" s="17"/>
      <c r="V63" s="113" t="b">
        <f>AND(Table5[[#This Row],[Adult]:[Heat]])</f>
        <v>0</v>
      </c>
      <c r="W63" s="114" t="s">
        <v>214</v>
      </c>
    </row>
    <row r="64" spans="1:23">
      <c r="A64" t="b">
        <f>IF(Table5[[#This Row],[Column1]],Table5[[#This Row],[Column2]])</f>
        <v>0</v>
      </c>
      <c r="B64" s="20" t="b">
        <f>B2</f>
        <v>0</v>
      </c>
      <c r="C64" s="17"/>
      <c r="D64" s="20" t="b">
        <f>D2</f>
        <v>0</v>
      </c>
      <c r="E64" s="17"/>
      <c r="F64" s="17"/>
      <c r="G64" s="20" t="b">
        <f>G41</f>
        <v>0</v>
      </c>
      <c r="H64" s="17"/>
      <c r="I64" s="17"/>
      <c r="J64" s="17"/>
      <c r="K64" s="17"/>
      <c r="L64" s="17"/>
      <c r="M64" s="20" t="b">
        <f>M57</f>
        <v>0</v>
      </c>
      <c r="N64" s="17"/>
      <c r="O64" s="17"/>
      <c r="P64" s="17"/>
      <c r="Q64" s="17"/>
      <c r="R64" s="17"/>
      <c r="S64" s="17"/>
      <c r="T64" s="20" t="b">
        <f>T62</f>
        <v>0</v>
      </c>
      <c r="U64" s="17"/>
      <c r="V64" s="113" t="b">
        <f>AND(Table5[[#This Row],[Adult]:[Heat]])</f>
        <v>0</v>
      </c>
      <c r="W64" s="114" t="s">
        <v>215</v>
      </c>
    </row>
    <row r="65" spans="1:23">
      <c r="A65" t="b">
        <f>IF(Table5[[#This Row],[Column1]],Table5[[#This Row],[Column2]])</f>
        <v>0</v>
      </c>
      <c r="B65" s="20" t="b">
        <f>B2</f>
        <v>0</v>
      </c>
      <c r="C65" s="17"/>
      <c r="D65" s="20" t="b">
        <f>D2</f>
        <v>0</v>
      </c>
      <c r="E65" s="17"/>
      <c r="F65" s="17"/>
      <c r="G65" s="20" t="b">
        <f>G41</f>
        <v>0</v>
      </c>
      <c r="H65" s="17"/>
      <c r="I65" s="17"/>
      <c r="J65" s="17"/>
      <c r="K65" s="17"/>
      <c r="L65" s="17"/>
      <c r="M65" s="20" t="b">
        <f>M57</f>
        <v>0</v>
      </c>
      <c r="N65" s="20" t="b">
        <f>N61</f>
        <v>0</v>
      </c>
      <c r="O65" s="17"/>
      <c r="P65" s="17"/>
      <c r="Q65" s="17"/>
      <c r="R65" s="20" t="b">
        <f>R56</f>
        <v>0</v>
      </c>
      <c r="S65" s="17"/>
      <c r="T65" s="17"/>
      <c r="U65" s="17"/>
      <c r="V65" s="113" t="b">
        <f>AND(Table5[[#This Row],[Adult]:[Heat]])</f>
        <v>0</v>
      </c>
      <c r="W65" s="114" t="s">
        <v>216</v>
      </c>
    </row>
    <row r="66" spans="1:23">
      <c r="A66" t="b">
        <f>IF(Table5[[#This Row],[Column1]],Table5[[#This Row],[Column2]])</f>
        <v>0</v>
      </c>
      <c r="B66" s="20" t="b">
        <f>B2</f>
        <v>0</v>
      </c>
      <c r="C66" s="17"/>
      <c r="D66" s="20" t="b">
        <f>D2</f>
        <v>0</v>
      </c>
      <c r="E66" s="17"/>
      <c r="F66" s="17"/>
      <c r="G66" s="20" t="b">
        <f>G41</f>
        <v>0</v>
      </c>
      <c r="H66" s="17"/>
      <c r="I66" s="17"/>
      <c r="J66" s="17"/>
      <c r="K66" s="17"/>
      <c r="L66" s="17"/>
      <c r="M66" s="17"/>
      <c r="N66" s="17"/>
      <c r="O66" s="17"/>
      <c r="P66" s="17"/>
      <c r="Q66" s="17"/>
      <c r="R66" s="20" t="b">
        <f>R56</f>
        <v>0</v>
      </c>
      <c r="S66" s="17"/>
      <c r="T66" s="17"/>
      <c r="U66" s="17"/>
      <c r="V66" s="113" t="b">
        <f>AND(Table5[[#This Row],[Adult]:[Heat]])</f>
        <v>0</v>
      </c>
      <c r="W66" s="114" t="s">
        <v>217</v>
      </c>
    </row>
    <row r="67" spans="1:23">
      <c r="A67" t="b">
        <f>IF(Table5[[#This Row],[Column1]],Table5[[#This Row],[Column2]])</f>
        <v>0</v>
      </c>
      <c r="B67" s="20" t="b">
        <f>B2</f>
        <v>0</v>
      </c>
      <c r="C67" s="17"/>
      <c r="D67" s="20" t="b">
        <f>D2</f>
        <v>0</v>
      </c>
      <c r="E67" s="17"/>
      <c r="F67" s="17"/>
      <c r="G67" s="20" t="b">
        <f>G41</f>
        <v>0</v>
      </c>
      <c r="H67" s="17"/>
      <c r="I67" s="17"/>
      <c r="J67" s="17"/>
      <c r="K67" s="17"/>
      <c r="L67" s="17"/>
      <c r="M67" s="17"/>
      <c r="N67" s="17"/>
      <c r="O67" s="17"/>
      <c r="P67" s="17"/>
      <c r="Q67" s="17"/>
      <c r="R67" s="20" t="b">
        <f>R56</f>
        <v>0</v>
      </c>
      <c r="S67" s="17"/>
      <c r="T67" s="17"/>
      <c r="U67" s="17"/>
      <c r="V67" s="113" t="b">
        <f>AND(Table5[[#This Row],[Adult]:[Heat]])</f>
        <v>0</v>
      </c>
      <c r="W67" s="114" t="s">
        <v>218</v>
      </c>
    </row>
    <row r="68" spans="1:23">
      <c r="A68" t="b">
        <f>IF(Table5[[#This Row],[Column1]],Table5[[#This Row],[Column2]])</f>
        <v>0</v>
      </c>
      <c r="B68" s="20" t="b">
        <f>B2</f>
        <v>0</v>
      </c>
      <c r="C68" s="17"/>
      <c r="D68" s="20" t="b">
        <f>D2</f>
        <v>0</v>
      </c>
      <c r="E68" s="17"/>
      <c r="F68" s="17"/>
      <c r="G68" s="20" t="b">
        <f>G41</f>
        <v>0</v>
      </c>
      <c r="H68" s="17"/>
      <c r="I68" s="17"/>
      <c r="J68" s="17"/>
      <c r="K68" s="17"/>
      <c r="L68" s="17"/>
      <c r="M68" s="20" t="b">
        <f>M57</f>
        <v>0</v>
      </c>
      <c r="N68" s="17"/>
      <c r="O68" s="17"/>
      <c r="P68" s="17"/>
      <c r="Q68" s="17"/>
      <c r="R68" s="20" t="b">
        <f>R56</f>
        <v>0</v>
      </c>
      <c r="S68" s="17"/>
      <c r="T68" s="17"/>
      <c r="U68" s="17"/>
      <c r="V68" s="113" t="b">
        <f>AND(Table5[[#This Row],[Adult]:[Heat]])</f>
        <v>0</v>
      </c>
      <c r="W68" s="114" t="s">
        <v>219</v>
      </c>
    </row>
    <row r="69" spans="1:23">
      <c r="A69" t="b">
        <f>IF(Table5[[#This Row],[Column1]],Table5[[#This Row],[Column2]])</f>
        <v>0</v>
      </c>
      <c r="B69" s="20" t="b">
        <f>B2</f>
        <v>0</v>
      </c>
      <c r="C69" s="17"/>
      <c r="D69" s="20" t="b">
        <f>D2</f>
        <v>0</v>
      </c>
      <c r="E69" s="17"/>
      <c r="F69" s="17"/>
      <c r="G69" s="20" t="b">
        <f>G41</f>
        <v>0</v>
      </c>
      <c r="H69" s="17"/>
      <c r="I69" s="17"/>
      <c r="J69" s="17"/>
      <c r="K69" s="17"/>
      <c r="L69" s="17"/>
      <c r="M69" s="17"/>
      <c r="N69" s="20" t="b">
        <f>N61</f>
        <v>0</v>
      </c>
      <c r="O69" s="17"/>
      <c r="P69" s="17"/>
      <c r="Q69" s="17"/>
      <c r="R69" s="20" t="b">
        <f>R56</f>
        <v>0</v>
      </c>
      <c r="S69" s="17"/>
      <c r="T69" s="17"/>
      <c r="U69" s="17"/>
      <c r="V69" s="113" t="b">
        <f>AND(Table5[[#This Row],[Adult]:[Heat]])</f>
        <v>0</v>
      </c>
      <c r="W69" s="114" t="s">
        <v>220</v>
      </c>
    </row>
    <row r="70" spans="1:23">
      <c r="A70" t="b">
        <f>IF(Table5[[#This Row],[Column1]],Table5[[#This Row],[Column2]])</f>
        <v>0</v>
      </c>
      <c r="B70" s="20" t="b">
        <f>B2</f>
        <v>0</v>
      </c>
      <c r="C70" s="17"/>
      <c r="D70" s="20" t="b">
        <f>D2</f>
        <v>0</v>
      </c>
      <c r="E70" s="17"/>
      <c r="F70" s="17"/>
      <c r="G70" s="20" t="b">
        <f>G41</f>
        <v>0</v>
      </c>
      <c r="H70" s="17"/>
      <c r="I70" s="17"/>
      <c r="J70" s="17"/>
      <c r="K70" s="17"/>
      <c r="L70" s="17"/>
      <c r="M70" s="17"/>
      <c r="N70" s="17"/>
      <c r="O70" s="17"/>
      <c r="P70" s="17"/>
      <c r="Q70" s="17"/>
      <c r="R70" s="17"/>
      <c r="S70" s="17"/>
      <c r="T70" s="17"/>
      <c r="U70" s="20" t="b">
        <f>U41</f>
        <v>0</v>
      </c>
      <c r="V70" s="113" t="b">
        <f>AND(Table5[[#This Row],[Adult]:[Heat]])</f>
        <v>0</v>
      </c>
      <c r="W70" s="114" t="s">
        <v>221</v>
      </c>
    </row>
    <row r="71" spans="1:23">
      <c r="A71" t="b">
        <f>IF(Table5[[#This Row],[Column1]],Table5[[#This Row],[Column2]])</f>
        <v>0</v>
      </c>
      <c r="B71" s="20" t="b">
        <f>B2</f>
        <v>0</v>
      </c>
      <c r="C71" s="17"/>
      <c r="D71" s="20" t="b">
        <f>D2</f>
        <v>0</v>
      </c>
      <c r="E71" s="17"/>
      <c r="F71" s="17"/>
      <c r="G71" s="20" t="b">
        <f>G41</f>
        <v>0</v>
      </c>
      <c r="H71" s="17"/>
      <c r="I71" s="17"/>
      <c r="J71" s="17"/>
      <c r="K71" s="17"/>
      <c r="L71" s="17"/>
      <c r="M71" s="20" t="b">
        <f>M57</f>
        <v>0</v>
      </c>
      <c r="N71" s="17"/>
      <c r="O71" s="17"/>
      <c r="P71" s="17"/>
      <c r="Q71" s="17"/>
      <c r="R71" s="20" t="b">
        <f>R56</f>
        <v>0</v>
      </c>
      <c r="S71" s="17"/>
      <c r="T71" s="17"/>
      <c r="U71" s="17"/>
      <c r="V71" s="113" t="b">
        <f>AND(Table5[[#This Row],[Adult]:[Heat]])</f>
        <v>0</v>
      </c>
      <c r="W71" s="114" t="s">
        <v>222</v>
      </c>
    </row>
    <row r="72" spans="1:23">
      <c r="A72" t="b">
        <f>IF(Table5[[#This Row],[Column1]],Table5[[#This Row],[Column2]])</f>
        <v>0</v>
      </c>
      <c r="B72" s="20" t="b">
        <f>B2</f>
        <v>0</v>
      </c>
      <c r="C72" s="17"/>
      <c r="D72" s="20" t="b">
        <f>D2</f>
        <v>0</v>
      </c>
      <c r="E72" s="17"/>
      <c r="F72" s="17"/>
      <c r="G72" s="20" t="b">
        <f>G41</f>
        <v>0</v>
      </c>
      <c r="H72" s="17"/>
      <c r="I72" s="17"/>
      <c r="J72" s="17"/>
      <c r="K72" s="17"/>
      <c r="L72" s="17"/>
      <c r="M72" s="20" t="b">
        <f>M57</f>
        <v>0</v>
      </c>
      <c r="N72" s="17"/>
      <c r="O72" s="17"/>
      <c r="P72" s="17"/>
      <c r="Q72" s="17"/>
      <c r="R72" s="20" t="b">
        <f>R56</f>
        <v>0</v>
      </c>
      <c r="S72" s="17"/>
      <c r="T72" s="17"/>
      <c r="U72" s="17"/>
      <c r="V72" s="113" t="b">
        <f>AND(Table5[[#This Row],[Adult]:[Heat]])</f>
        <v>0</v>
      </c>
      <c r="W72" s="114" t="s">
        <v>223</v>
      </c>
    </row>
    <row r="73" spans="1:23">
      <c r="A73" t="b">
        <f>IF(Table5[[#This Row],[Column1]],Table5[[#This Row],[Column2]])</f>
        <v>0</v>
      </c>
      <c r="B73" s="20" t="b">
        <f>B2</f>
        <v>0</v>
      </c>
      <c r="C73" s="17"/>
      <c r="D73" s="20" t="b">
        <f>D2</f>
        <v>0</v>
      </c>
      <c r="E73" s="17"/>
      <c r="F73" s="17"/>
      <c r="G73" s="20" t="b">
        <f>G41</f>
        <v>0</v>
      </c>
      <c r="H73" s="17"/>
      <c r="I73" s="17"/>
      <c r="J73" s="17"/>
      <c r="K73" s="17"/>
      <c r="L73" s="17"/>
      <c r="M73" s="20" t="b">
        <f>M57</f>
        <v>0</v>
      </c>
      <c r="N73" s="17"/>
      <c r="O73" s="17"/>
      <c r="P73" s="17"/>
      <c r="Q73" s="17"/>
      <c r="R73" s="17"/>
      <c r="S73" s="17"/>
      <c r="T73" s="17"/>
      <c r="U73" s="17"/>
      <c r="V73" s="113" t="b">
        <f>AND(Table5[[#This Row],[Adult]:[Heat]])</f>
        <v>0</v>
      </c>
      <c r="W73" s="114" t="s">
        <v>224</v>
      </c>
    </row>
    <row r="74" spans="1:23">
      <c r="A74" s="16" t="e">
        <f>IF(Table5[[#This Row],[Column1]],Table5[[#This Row],[Column2]])</f>
        <v>#VALUE!</v>
      </c>
      <c r="B74" s="16"/>
      <c r="C74" s="16"/>
      <c r="D74" s="16"/>
      <c r="E74" s="16"/>
      <c r="F74" s="16"/>
      <c r="G74" s="16"/>
      <c r="H74" s="16"/>
      <c r="I74" s="16"/>
      <c r="J74" s="16"/>
      <c r="K74" s="16"/>
      <c r="L74" s="16"/>
      <c r="M74" s="16"/>
      <c r="N74" s="16"/>
      <c r="O74" s="16"/>
      <c r="P74" s="16"/>
      <c r="Q74" s="16"/>
      <c r="R74" s="16"/>
      <c r="S74" s="16"/>
      <c r="T74" s="16"/>
      <c r="U74" s="16"/>
      <c r="V74" s="27" t="e">
        <f>AND(Table5[[#This Row],[Adult]:[Heat]])</f>
        <v>#VALUE!</v>
      </c>
      <c r="W74" s="77"/>
    </row>
    <row r="75" spans="1:23">
      <c r="A75" t="e">
        <f>IF(Table5[[#This Row],[Column1]],Table5[[#This Row],[Column2]])</f>
        <v>#VALUE!</v>
      </c>
      <c r="H75" s="21"/>
      <c r="I75" s="21"/>
      <c r="J75" s="21"/>
      <c r="K75" s="21"/>
      <c r="L75" s="21"/>
      <c r="M75" s="21"/>
      <c r="N75" s="21"/>
      <c r="O75" s="21"/>
      <c r="P75" s="21"/>
      <c r="Q75" s="21"/>
      <c r="R75" s="21"/>
      <c r="S75" s="21"/>
      <c r="T75" s="21"/>
      <c r="U75" s="21"/>
      <c r="V75" s="113" t="e">
        <f>AND(Table5[[#This Row],[Adult]:[Heat]])</f>
        <v>#VALUE!</v>
      </c>
      <c r="W75" s="132"/>
    </row>
    <row r="76" spans="1:23">
      <c r="A76" t="e">
        <f>IF(Table5[[#This Row],[Column1]],Table5[[#This Row],[Column2]])</f>
        <v>#VALUE!</v>
      </c>
      <c r="H76" s="21"/>
      <c r="I76" s="21"/>
      <c r="J76" s="21"/>
      <c r="K76" s="21"/>
      <c r="L76" s="21"/>
      <c r="M76" s="21"/>
      <c r="N76" s="21"/>
      <c r="O76" s="21"/>
      <c r="P76" s="21"/>
      <c r="Q76" s="21"/>
      <c r="R76" s="21"/>
      <c r="S76" s="21"/>
      <c r="T76" s="21"/>
      <c r="U76" s="21"/>
      <c r="V76" s="113" t="e">
        <f>AND(Table5[[#This Row],[Adult]:[Heat]])</f>
        <v>#VALUE!</v>
      </c>
      <c r="W76" s="132"/>
    </row>
    <row r="77" spans="1:23">
      <c r="A77" t="e">
        <f>IF(Table5[[#This Row],[Column1]],Table5[[#This Row],[Column2]])</f>
        <v>#VALUE!</v>
      </c>
      <c r="H77" s="21"/>
      <c r="I77" s="21"/>
      <c r="J77" s="21"/>
      <c r="K77" s="21"/>
      <c r="L77" s="21"/>
      <c r="M77" s="21"/>
      <c r="N77" s="21"/>
      <c r="O77" s="21"/>
      <c r="P77" s="21"/>
      <c r="Q77" s="21"/>
      <c r="R77" s="21"/>
      <c r="S77" s="21"/>
      <c r="T77" s="21"/>
      <c r="U77" s="21"/>
      <c r="V77" s="113" t="e">
        <f>AND(Table5[[#This Row],[Adult]:[Heat]])</f>
        <v>#VALUE!</v>
      </c>
      <c r="W77" s="125"/>
    </row>
    <row r="78" spans="1:23">
      <c r="A78" t="e">
        <f>IF(Table5[[#This Row],[Column1]],Table5[[#This Row],[Column2]])</f>
        <v>#VALUE!</v>
      </c>
      <c r="H78" s="21"/>
      <c r="I78" s="21"/>
      <c r="J78" s="21"/>
      <c r="K78" s="21"/>
      <c r="L78" s="21"/>
      <c r="M78" s="21"/>
      <c r="N78" s="21"/>
      <c r="O78" s="21"/>
      <c r="P78" s="21"/>
      <c r="Q78" s="21"/>
      <c r="R78" s="21"/>
      <c r="S78" s="21"/>
      <c r="T78" s="21"/>
      <c r="U78" s="21"/>
      <c r="V78" s="113" t="e">
        <f>AND(Table5[[#This Row],[Adult]:[Heat]])</f>
        <v>#VALUE!</v>
      </c>
      <c r="W78" s="125"/>
    </row>
  </sheetData>
  <hyperlinks>
    <hyperlink ref="W2" r:id="rId1" display="https://www.tylenol.ca/products/headache-migraine/tylenol-rapid-release-gels" xr:uid="{00000000-0004-0000-0C00-000000000000}"/>
    <hyperlink ref="W3" r:id="rId2" display="https://www.tylenol.ca/products/headache-migraine/tylenol-extra-strength" xr:uid="{00000000-0004-0000-0C00-000001000000}"/>
    <hyperlink ref="W4" r:id="rId3" display="https://www.tylenol.ca/products/headache-migraine/tylenol-liquid-gels" xr:uid="{00000000-0004-0000-0C00-000002000000}"/>
    <hyperlink ref="W5" r:id="rId4" display="https://www.tylenol.ca/products/headache-migraine/tylenol-regular-strength" xr:uid="{00000000-0004-0000-0C00-000003000000}"/>
    <hyperlink ref="W6" r:id="rId5" display="https://www.tylenol.ca/products/headache-migraine/tylenol-ultra-relief" xr:uid="{00000000-0004-0000-0C00-000004000000}"/>
    <hyperlink ref="W7" r:id="rId6" display="https://www.tylenol.ca/products/arthritis/tylenol-arthritis-pain" xr:uid="{00000000-0004-0000-0C00-000005000000}"/>
    <hyperlink ref="W8" r:id="rId7" display="https://www.tylenol.ca/products/back-body/tylenol-muscle-aches-body-pain" xr:uid="{00000000-0004-0000-0C00-000006000000}"/>
    <hyperlink ref="W9" r:id="rId8" display="https://www.tylenol.ca/products/back-body/tylenol-back-pain" xr:uid="{00000000-0004-0000-0C00-000007000000}"/>
    <hyperlink ref="W10" r:id="rId9" display="https://www.tylenol.ca/products/nighttime/extra-strength-tylenol-nighttime" xr:uid="{00000000-0004-0000-0C00-000008000000}"/>
    <hyperlink ref="W11" r:id="rId10" display="https://www.tylenol.ca/products/nighttime/tylenol-body-pain-night" xr:uid="{00000000-0004-0000-0C00-000009000000}"/>
    <hyperlink ref="W12" r:id="rId11" display="https://www.tylenol.ca/products/infants-children/infants-tylenol-drops" xr:uid="{00000000-0004-0000-0C00-00000A000000}"/>
    <hyperlink ref="W13" r:id="rId12" display="https://www.tylenol.ca/products/infants-children/childrens-tylenol-liquid" xr:uid="{00000000-0004-0000-0C00-00000B000000}"/>
    <hyperlink ref="W14" r:id="rId13" display="https://www.tylenol.ca/products/infants-children/children-s-tylenol-chewables" xr:uid="{00000000-0004-0000-0C00-00000C000000}"/>
    <hyperlink ref="W16" r:id="rId14" display="https://www.advil.ca/product/advil-12-hour" xr:uid="{00000000-0004-0000-0C00-00000D000000}"/>
    <hyperlink ref="W17" r:id="rId15" display="https://www.advil.ca/product/advil-caplets" xr:uid="{00000000-0004-0000-0C00-00000E000000}"/>
    <hyperlink ref="W18" r:id="rId16" display="https://www.advil.ca/product/advil-daynight-convenience-pack" xr:uid="{00000000-0004-0000-0C00-00000F000000}"/>
    <hyperlink ref="W19" r:id="rId17" display="https://www.advil.ca/product/advil-extra-strength-caplets" xr:uid="{00000000-0004-0000-0C00-000010000000}"/>
    <hyperlink ref="W20" r:id="rId18" display="https://www.advil.ca/product/advil-extra-strength-liqui-gels" xr:uid="{00000000-0004-0000-0C00-000011000000}"/>
    <hyperlink ref="W21" r:id="rId19" display="https://www.advil.ca/product/advil-liqui-gels" xr:uid="{00000000-0004-0000-0C00-000012000000}"/>
    <hyperlink ref="W22" r:id="rId20" display="https://www.advil.ca/product/advil-tablets" xr:uid="{00000000-0004-0000-0C00-000013000000}"/>
    <hyperlink ref="W23" r:id="rId21" display="https://www.advil.ca/product/advil-mini-gels" xr:uid="{00000000-0004-0000-0C00-000014000000}"/>
    <hyperlink ref="W24" r:id="rId22" display="https://www.advil.ca/product/advil-arthritis-pain" xr:uid="{00000000-0004-0000-0C00-000015000000}"/>
    <hyperlink ref="W25" r:id="rId23" display="https://www.advil.ca/product/advil-muscle-joint" xr:uid="{00000000-0004-0000-0C00-000016000000}"/>
    <hyperlink ref="W26" r:id="rId24" display="https://www.advil.ca/product/advil-nighttime" xr:uid="{00000000-0004-0000-0C00-000017000000}"/>
    <hyperlink ref="W27" r:id="rId25" display="https://www.advil.ca/product/advil-pediatric-drops" xr:uid="{00000000-0004-0000-0C00-000018000000}"/>
    <hyperlink ref="W28" r:id="rId26" display="https://www.advil.ca/product/children-s-advil" xr:uid="{00000000-0004-0000-0C00-000019000000}"/>
    <hyperlink ref="W29" r:id="rId27" display="https://www.advil.ca/product/junior-strength-advil" xr:uid="{00000000-0004-0000-0C00-00001A000000}"/>
    <hyperlink ref="W31" r:id="rId28" display="https://www.aleve.ca/en/products/aleve/aleve-caplets/" xr:uid="{00000000-0004-0000-0C00-00001B000000}"/>
    <hyperlink ref="W32" r:id="rId29" display="https://www.aleve.ca/en/products/aleve/aleve-nighttime/" xr:uid="{00000000-0004-0000-0C00-00001C000000}"/>
    <hyperlink ref="W33" r:id="rId30" display="https://www.aleve.ca/en/products/aleve/aleve-back-body/" xr:uid="{00000000-0004-0000-0C00-00001D000000}"/>
    <hyperlink ref="W34" r:id="rId31" display="https://www.aleve.ca/en/products/aleve/aleve-liquid-gels/" xr:uid="{00000000-0004-0000-0C00-00001E000000}"/>
    <hyperlink ref="W36" r:id="rId32" tooltip="Robax Platinum®" display="https://www.backrelief.ca/back-relief-products/robax-oral-caplets/robax-platinum" xr:uid="{00000000-0004-0000-0C00-00001F000000}"/>
    <hyperlink ref="W37" r:id="rId33" tooltip="Robaxacet®" display="https://www.backrelief.ca/back-relief-products/robax-oral-caplets/robaxacet" xr:uid="{00000000-0004-0000-0C00-000020000000}"/>
    <hyperlink ref="W39" r:id="rId34" tooltip="Robaxisal® Extra Strength" display="https://www.backrelief.ca/back-relief-products/robax-oral-caplets/robaxisal-extra-strength" xr:uid="{00000000-0004-0000-0C00-000021000000}"/>
    <hyperlink ref="W38" r:id="rId35" tooltip="Robaxacet® Extra Strength" display="https://www.backrelief.ca/back-relief-products/robax-oral-caplets/robaxacet-extra-strength" xr:uid="{00000000-0004-0000-0C00-000022000000}"/>
    <hyperlink ref="W40" r:id="rId36" tooltip="Robaxin®" display="https://www.backrelief.ca/back-relief-products/robax-oral-caplets/robaxin" xr:uid="{00000000-0004-0000-0C00-000023000000}"/>
    <hyperlink ref="W41" r:id="rId37" tooltip="Robax® Neck &amp; Shoulder HeatWraps" display="https://www.backrelief.ca/back-relief-products/robax-heatwraps/neck-shoulder-heatwraps" xr:uid="{00000000-0004-0000-0C00-000024000000}"/>
    <hyperlink ref="W43" r:id="rId38" tooltip="Voltaren Emulgel Back &amp; Muscle Pain" display="https://www.voltaren.ca/products/voltaren-emulgel-back-and-muscle-pain.html" xr:uid="{00000000-0004-0000-0C00-000025000000}"/>
    <hyperlink ref="W44" r:id="rId39" tooltip="Voltaren Emulgel Joint Pain" display="https://www.voltaren.ca/products/voltaren-emulgel-joint-pain.html" xr:uid="{00000000-0004-0000-0C00-000026000000}"/>
    <hyperlink ref="W45" r:id="rId40" tooltip="Voltaren Emulgel Extra Strength" display="https://www.voltaren.ca/products/voltaren-emulgel-extra-strength.html" xr:uid="{00000000-0004-0000-0C00-000027000000}"/>
    <hyperlink ref="W47" r:id="rId41" display="https://www.aspirin.ca/en/products/aspirin-regular-strength" xr:uid="{00000000-0004-0000-0C00-000028000000}"/>
    <hyperlink ref="W48" r:id="rId42" display="https://www.aspirin.ca/en/products/aspirin-extra-strength" xr:uid="{00000000-0004-0000-0C00-000029000000}"/>
    <hyperlink ref="W49" r:id="rId43" display="https://www.aspirin.ca/en/products/aspirin-coated-regular-strength" xr:uid="{00000000-0004-0000-0C00-00002A000000}"/>
    <hyperlink ref="W51" r:id="rId44" xr:uid="{00000000-0004-0000-0C00-00002B000000}"/>
    <hyperlink ref="W52" r:id="rId45" xr:uid="{00000000-0004-0000-0C00-00002C000000}"/>
    <hyperlink ref="W53" r:id="rId46" xr:uid="{00000000-0004-0000-0C00-00002D000000}"/>
    <hyperlink ref="W54" r:id="rId47" xr:uid="{00000000-0004-0000-0C00-00002E000000}"/>
    <hyperlink ref="W56" r:id="rId48" display="ICY HOT​ ADVANCED ​ PAIN RELIEVING CREAM" xr:uid="{00000000-0004-0000-0C00-00002F000000}"/>
    <hyperlink ref="W57" r:id="rId49" display="ICY HOT®​ EXTRA STRENGTH PAIN RELIEVING CREAM​" xr:uid="{00000000-0004-0000-0C00-000030000000}"/>
    <hyperlink ref="W58" r:id="rId50" xr:uid="{00000000-0004-0000-0C00-000031000000}"/>
    <hyperlink ref="W59" r:id="rId51" xr:uid="{00000000-0004-0000-0C00-000032000000}"/>
    <hyperlink ref="W61" r:id="rId52" xr:uid="{00000000-0004-0000-0C00-000033000000}"/>
    <hyperlink ref="W62" r:id="rId53" xr:uid="{00000000-0004-0000-0C00-000034000000}"/>
    <hyperlink ref="W63" r:id="rId54" xr:uid="{00000000-0004-0000-0C00-000035000000}"/>
    <hyperlink ref="W64" r:id="rId55" xr:uid="{00000000-0004-0000-0C00-000036000000}"/>
    <hyperlink ref="W65" r:id="rId56" xr:uid="{00000000-0004-0000-0C00-000037000000}"/>
    <hyperlink ref="W66" r:id="rId57" xr:uid="{00000000-0004-0000-0C00-000038000000}"/>
    <hyperlink ref="W67" r:id="rId58" xr:uid="{00000000-0004-0000-0C00-000039000000}"/>
    <hyperlink ref="W68" r:id="rId59" xr:uid="{00000000-0004-0000-0C00-00003A000000}"/>
    <hyperlink ref="W69" r:id="rId60" xr:uid="{00000000-0004-0000-0C00-00003B000000}"/>
    <hyperlink ref="W70" r:id="rId61" xr:uid="{00000000-0004-0000-0C00-00003C000000}"/>
    <hyperlink ref="W71" r:id="rId62" xr:uid="{00000000-0004-0000-0C00-00003D000000}"/>
    <hyperlink ref="W72" r:id="rId63" xr:uid="{00000000-0004-0000-0C00-00003E000000}"/>
    <hyperlink ref="W73" r:id="rId64" xr:uid="{00000000-0004-0000-0C00-00003F000000}"/>
  </hyperlinks>
  <pageMargins left="0.7" right="0.7" top="0.75" bottom="0.75" header="0.3" footer="0.3"/>
  <pageSetup orientation="portrait" r:id="rId65"/>
  <tableParts count="1">
    <tablePart r:id="rId66"/>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17"/>
  <sheetViews>
    <sheetView workbookViewId="0">
      <selection activeCell="A15" sqref="A15"/>
    </sheetView>
  </sheetViews>
  <sheetFormatPr defaultRowHeight="15"/>
  <cols>
    <col min="1" max="1" width="53.85546875" customWidth="1"/>
    <col min="5" max="5" width="18.28515625" customWidth="1"/>
  </cols>
  <sheetData>
    <row r="1" spans="1:5" ht="15.75" thickTop="1">
      <c r="A1" s="3" t="s">
        <v>15</v>
      </c>
      <c r="B1" s="7" t="s">
        <v>18</v>
      </c>
      <c r="E1" s="8" t="s">
        <v>19</v>
      </c>
    </row>
    <row r="2" spans="1:5" ht="15.75" thickBot="1">
      <c r="B2" s="4"/>
      <c r="E2" s="4"/>
    </row>
    <row r="3" spans="1:5" ht="15.75" thickBot="1">
      <c r="A3" s="158" t="s">
        <v>12</v>
      </c>
      <c r="B3" s="33" t="b">
        <v>0</v>
      </c>
      <c r="C3" s="41" t="b">
        <f>NOT(B3)</f>
        <v>1</v>
      </c>
      <c r="D3" s="43" t="b">
        <f>AND(C3,B4,C5,C6,B7,C12)</f>
        <v>0</v>
      </c>
      <c r="E3" s="4" t="b">
        <f>IF(D3,random!E7)</f>
        <v>0</v>
      </c>
    </row>
    <row r="4" spans="1:5" ht="15.75" thickBot="1">
      <c r="A4" s="158" t="s">
        <v>13</v>
      </c>
      <c r="B4" s="33" t="b">
        <v>0</v>
      </c>
      <c r="C4" s="41"/>
      <c r="D4" s="43" t="b">
        <f>AND('Insomnia Criteria'!C3,'Insomnia Criteria'!B4,'Insomnia Criteria'!C5,'Insomnia Criteria'!C6,'Insomnia Criteria'!B7,'Insomnia Criteria'!B12)</f>
        <v>0</v>
      </c>
      <c r="E4" s="4" t="b">
        <f>IF(D4,random!E8)</f>
        <v>0</v>
      </c>
    </row>
    <row r="5" spans="1:5" ht="15.75" thickBot="1">
      <c r="A5" s="161" t="s">
        <v>234</v>
      </c>
      <c r="B5" s="33" t="b">
        <v>0</v>
      </c>
      <c r="C5" s="41" t="b">
        <f>NOT(B5)</f>
        <v>1</v>
      </c>
      <c r="D5" s="43" t="b">
        <f>AND(C3,B4,C5,C6,B7,C9,B12)</f>
        <v>0</v>
      </c>
      <c r="E5" s="4" t="b">
        <f>IF(D5,random!E9)</f>
        <v>0</v>
      </c>
    </row>
    <row r="6" spans="1:5" ht="15.75" thickBot="1">
      <c r="A6" s="161" t="s">
        <v>23</v>
      </c>
      <c r="B6" s="33" t="b">
        <v>0</v>
      </c>
      <c r="C6" s="41" t="b">
        <f>NOT(B6)</f>
        <v>1</v>
      </c>
      <c r="D6" s="43" t="b">
        <f>AND(C5,B11)</f>
        <v>0</v>
      </c>
      <c r="E6" s="4" t="b">
        <f>IF(D6,random!E10)</f>
        <v>0</v>
      </c>
    </row>
    <row r="7" spans="1:5" ht="15.75" thickBot="1">
      <c r="A7" s="1" t="s">
        <v>390</v>
      </c>
      <c r="B7" s="34" t="b">
        <v>0</v>
      </c>
      <c r="C7" s="41"/>
      <c r="D7" s="43" t="b">
        <f>AND(C3,C8,C9,B11,C10)</f>
        <v>0</v>
      </c>
      <c r="E7" s="4" t="b">
        <f>IF(D7,random!E11)</f>
        <v>0</v>
      </c>
    </row>
    <row r="8" spans="1:5" ht="16.5" thickTop="1" thickBot="1">
      <c r="A8" s="161" t="s">
        <v>142</v>
      </c>
      <c r="B8" s="6" t="b">
        <v>0</v>
      </c>
      <c r="C8" s="41" t="b">
        <f>NOT(B8)</f>
        <v>1</v>
      </c>
      <c r="D8" s="43"/>
      <c r="E8" s="46"/>
    </row>
    <row r="9" spans="1:5" ht="15.75" thickBot="1">
      <c r="A9" s="158" t="s">
        <v>143</v>
      </c>
      <c r="B9" s="6" t="b">
        <v>0</v>
      </c>
      <c r="C9" s="41" t="b">
        <f>NOT(B9)</f>
        <v>1</v>
      </c>
      <c r="D9" s="43"/>
      <c r="E9" s="37"/>
    </row>
    <row r="10" spans="1:5" ht="15.75" thickBot="1">
      <c r="A10" s="158" t="s">
        <v>554</v>
      </c>
      <c r="B10" s="6" t="b">
        <v>0</v>
      </c>
      <c r="C10" s="41" t="b">
        <f>NOT(B10)</f>
        <v>1</v>
      </c>
      <c r="D10" s="43"/>
      <c r="E10" s="37"/>
    </row>
    <row r="11" spans="1:5" ht="15.75" thickBot="1">
      <c r="A11" s="1" t="s">
        <v>246</v>
      </c>
      <c r="B11" s="6" t="b">
        <v>0</v>
      </c>
      <c r="C11" s="42"/>
      <c r="D11" s="43"/>
    </row>
    <row r="12" spans="1:5" ht="15.75" thickBot="1">
      <c r="A12" s="172" t="s">
        <v>391</v>
      </c>
      <c r="B12" s="6" t="b">
        <v>0</v>
      </c>
      <c r="C12" s="43" t="b">
        <f>NOT(B12)</f>
        <v>1</v>
      </c>
      <c r="D12" s="43"/>
    </row>
    <row r="13" spans="1:5" ht="15.75" thickBot="1">
      <c r="A13" s="165" t="s">
        <v>392</v>
      </c>
      <c r="B13" s="6" t="b">
        <v>0</v>
      </c>
      <c r="C13" s="43" t="b">
        <f>NOT(B13)</f>
        <v>1</v>
      </c>
      <c r="D13" s="43"/>
    </row>
    <row r="14" spans="1:5" ht="15.75" thickBot="1">
      <c r="A14" s="165" t="s">
        <v>393</v>
      </c>
      <c r="B14" s="6" t="b">
        <v>0</v>
      </c>
      <c r="C14" s="43" t="b">
        <f>NOT(B14)</f>
        <v>1</v>
      </c>
      <c r="D14" s="43"/>
    </row>
    <row r="17" spans="1:1">
      <c r="A17" s="49"/>
    </row>
  </sheetData>
  <dataValidations count="3">
    <dataValidation allowBlank="1" showInputMessage="1" showErrorMessage="1" prompt="Consult your physician if unsure" sqref="A3" xr:uid="{00000000-0002-0000-0D00-000000000000}"/>
    <dataValidation allowBlank="1" showInputMessage="1" showErrorMessage="1" prompt="Consult your pharmacist if unsure" sqref="A5:A6 A8:A14 A4" xr:uid="{00000000-0002-0000-0D00-000001000000}"/>
    <dataValidation allowBlank="1" showInputMessage="1" showErrorMessage="1" prompt="Consult your physician for persistent or frequent insomnia." sqref="A7" xr:uid="{00000000-0002-0000-0D00-000002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2">
        <x14:dataValidation type="list" showInputMessage="1" error="Please answer as Yes or No" prompt="Some sedatives are formulated as long acting products. Some products are formulated as both (dual) fast and long-acting products." xr:uid="{00000000-0002-0000-0D00-000003000000}">
          <x14:formula1>
            <xm:f>random!$A$2:$A$3</xm:f>
          </x14:formula1>
          <xm:sqref>B14</xm:sqref>
        </x14:dataValidation>
        <x14:dataValidation type="list" showInputMessage="1" showErrorMessage="1" error="Please answer as Yes or No" prompt="Consult your physician for children with insomnia." xr:uid="{00000000-0002-0000-0D00-000004000000}">
          <x14:formula1>
            <xm:f>random!$A$2:$A$3</xm:f>
          </x14:formula1>
          <xm:sqref>B4</xm:sqref>
        </x14:dataValidation>
        <x14:dataValidation type="list" showInputMessage="1" showErrorMessage="1" error="Please answer as Yes or No" prompt="Anticholinergic and CNS depressants are medications that cause or enhance drowsiness. Avoid use with alcohol and/or insomnia medications. Consult your pharmacist if unsure." xr:uid="{00000000-0002-0000-0D00-000005000000}">
          <x14:formula1>
            <xm:f>random!$A$2:$A$3</xm:f>
          </x14:formula1>
          <xm:sqref>B6</xm:sqref>
        </x14:dataValidation>
        <x14:dataValidation type="list" showInputMessage="1" showErrorMessage="1" error="Please answer as Yes or No" prompt="Valerian and ibuprofen is not recommended in pregnancy and should be avoided." xr:uid="{00000000-0002-0000-0D00-000006000000}">
          <x14:formula1>
            <xm:f>random!$A$2:$A$3</xm:f>
          </x14:formula1>
          <xm:sqref>B3</xm:sqref>
        </x14:dataValidation>
        <x14:dataValidation type="list" showInputMessage="1" error="Please answer as Yes or No" prompt="Ibuprofen may aggravate hypertension. Avoid use if you have uncontrolled hypertension. Consult your pharmacist for further information." xr:uid="{00000000-0002-0000-0D00-000007000000}">
          <x14:formula1>
            <xm:f>random!$A$2:$A$3</xm:f>
          </x14:formula1>
          <xm:sqref>B10</xm:sqref>
        </x14:dataValidation>
        <x14:dataValidation type="list" showInputMessage="1" error="Please answer as Yes or No" prompt="Blood thinners include warfarin, aspirin, clopidogrel, dipyridamole, ticlopidine, ticagrelor, dabigatran, apixaban, rivaroxaban, dalteparin, etc. Ibuprofen may increase risk of bleeding. Counsult your pharmacist for further information" xr:uid="{00000000-0002-0000-0D00-000008000000}">
          <x14:formula1>
            <xm:f>random!$A$2:$A$3</xm:f>
          </x14:formula1>
          <xm:sqref>B8</xm:sqref>
        </x14:dataValidation>
        <x14:dataValidation type="list" showInputMessage="1" error="Please answer as Yes or No" prompt="Some insomnia medications are available in combination with acetaminophen or ibuprofen." xr:uid="{00000000-0002-0000-0D00-000009000000}">
          <x14:formula1>
            <xm:f>random!$A$2:$A$3</xm:f>
          </x14:formula1>
          <xm:sqref>B11</xm:sqref>
        </x14:dataValidation>
        <x14:dataValidation type="list" showInputMessage="1" showErrorMessage="1" error="Please answer as Yes or No" prompt="Avoid use of alcohol with insomnia medication due to increased risk of sedation." xr:uid="{00000000-0002-0000-0D00-00000A000000}">
          <x14:formula1>
            <xm:f>random!$A$2:$A$3</xm:f>
          </x14:formula1>
          <xm:sqref>B5</xm:sqref>
        </x14:dataValidation>
        <x14:dataValidation type="list" showInputMessage="1" error="Please answer as Yes or No" prompt="Consult your physician for persistent or frequent insomnia." xr:uid="{00000000-0002-0000-0D00-00000B000000}">
          <x14:formula1>
            <xm:f>random!$A$2:$A$3</xm:f>
          </x14:formula1>
          <xm:sqref>B7</xm:sqref>
        </x14:dataValidation>
        <x14:dataValidation type="list" showInputMessage="1" error="Please answer as Yes or No" prompt="Some natural health products and naturalling occuring hormones act as sedatives." xr:uid="{00000000-0002-0000-0D00-00000C000000}">
          <x14:formula1>
            <xm:f>random!$A$2:$A$3</xm:f>
          </x14:formula1>
          <xm:sqref>B12</xm:sqref>
        </x14:dataValidation>
        <x14:dataValidation type="list" showInputMessage="1" error="Please answer as Yes or No" prompt="Some sedatives are formulated as fast acting products." xr:uid="{00000000-0002-0000-0D00-00000D000000}">
          <x14:formula1>
            <xm:f>random!$A$2:$A$3</xm:f>
          </x14:formula1>
          <xm:sqref>B13</xm:sqref>
        </x14:dataValidation>
        <x14:dataValidation type="list" showInputMessage="1" error="Please answer as Yes or No" prompt="Ibuprofen and valerian may worsen upset stomach and peptic ulcers. Avoid use if you have these medical conditions. Consult your pharmacist for further information." xr:uid="{00000000-0002-0000-0D00-00000E000000}">
          <x14:formula1>
            <xm:f>random!$A$2:$A$3</xm:f>
          </x14:formula1>
          <xm:sqref>B9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22"/>
  <sheetViews>
    <sheetView workbookViewId="0">
      <selection activeCell="I2" sqref="I2"/>
    </sheetView>
  </sheetViews>
  <sheetFormatPr defaultRowHeight="15"/>
  <cols>
    <col min="1" max="1" width="32.28515625" customWidth="1"/>
    <col min="2" max="2" width="19.140625" customWidth="1"/>
    <col min="3" max="3" width="12.42578125" customWidth="1"/>
    <col min="4" max="4" width="10.5703125" customWidth="1"/>
    <col min="6" max="8" width="12" customWidth="1"/>
    <col min="9" max="9" width="9.7109375" style="113" customWidth="1"/>
    <col min="10" max="10" width="56.7109375" style="113" customWidth="1"/>
  </cols>
  <sheetData>
    <row r="1" spans="1:11">
      <c r="A1" s="66" t="s">
        <v>1248</v>
      </c>
      <c r="B1" s="30" t="s">
        <v>226</v>
      </c>
      <c r="C1" s="31" t="s">
        <v>227</v>
      </c>
      <c r="D1" s="31" t="s">
        <v>228</v>
      </c>
      <c r="E1" s="31" t="s">
        <v>162</v>
      </c>
      <c r="F1" s="31" t="s">
        <v>112</v>
      </c>
      <c r="G1" s="31" t="s">
        <v>1893</v>
      </c>
      <c r="H1" s="31" t="s">
        <v>1894</v>
      </c>
      <c r="I1" s="31" t="s">
        <v>225</v>
      </c>
      <c r="J1" s="31" t="s">
        <v>449</v>
      </c>
    </row>
    <row r="2" spans="1:11">
      <c r="A2" t="b">
        <f>IF(Table6[[#This Row],[column]],Table6[[#This Row],[Total Options]])</f>
        <v>0</v>
      </c>
      <c r="B2" s="20" t="b">
        <f>AND('Insomnia Criteria'!C3,'Insomnia Criteria'!B4,'Insomnia Criteria'!C5,'Insomnia Criteria'!C6,'Insomnia Criteria'!B7,'Insomnia Criteria'!C12)</f>
        <v>0</v>
      </c>
      <c r="C2" s="17"/>
      <c r="D2" s="17"/>
      <c r="E2" s="17"/>
      <c r="F2" s="17"/>
      <c r="G2" s="20" t="b">
        <f>AND('Insomnia Criteria'!B13,'Insomnia Criteria'!C14)</f>
        <v>0</v>
      </c>
      <c r="H2" s="17"/>
      <c r="I2" s="113" t="b">
        <f>AND(Table6[[#This Row],[Diphenhydramine]:[Long Acting]])</f>
        <v>0</v>
      </c>
      <c r="J2" s="117" t="s">
        <v>229</v>
      </c>
    </row>
    <row r="3" spans="1:11">
      <c r="A3" t="b">
        <f>IF(Table6[[#This Row],[column]],Table6[[#This Row],[Total Options]])</f>
        <v>0</v>
      </c>
      <c r="B3" s="20" t="b">
        <f>B2</f>
        <v>0</v>
      </c>
      <c r="C3" s="17"/>
      <c r="D3" s="17"/>
      <c r="E3" s="17"/>
      <c r="F3" s="17"/>
      <c r="G3" s="20" t="b">
        <f>G2</f>
        <v>0</v>
      </c>
      <c r="H3" s="17"/>
      <c r="I3" s="113" t="b">
        <f>AND(Table6[[#This Row],[Diphenhydramine]:[Long Acting]])</f>
        <v>0</v>
      </c>
      <c r="J3" s="117" t="s">
        <v>230</v>
      </c>
    </row>
    <row r="4" spans="1:11">
      <c r="A4" s="16" t="b">
        <f>IF(Table6[[#This Row],[column]],Table6[[#This Row],[Total Options]])</f>
        <v>0</v>
      </c>
      <c r="B4" s="16"/>
      <c r="C4" s="16"/>
      <c r="D4" s="16"/>
      <c r="E4" s="16"/>
      <c r="F4" s="16"/>
      <c r="G4" s="16"/>
      <c r="H4" s="16"/>
      <c r="I4" s="27"/>
      <c r="J4" s="73"/>
    </row>
    <row r="5" spans="1:11">
      <c r="A5" t="b">
        <f>IF(Table6[[#This Row],[column]],Table6[[#This Row],[Total Options]])</f>
        <v>0</v>
      </c>
      <c r="B5" s="17"/>
      <c r="C5" s="20" t="b">
        <f>AND('Insomnia Criteria'!C3,'Insomnia Criteria'!B4,'Insomnia Criteria'!C5,'Insomnia Criteria'!C6,'Insomnia Criteria'!B7,'Insomnia Criteria'!B12)</f>
        <v>0</v>
      </c>
      <c r="D5" s="20" t="b">
        <f>AND('Insomnia Criteria'!C3,'Insomnia Criteria'!B4,'Insomnia Criteria'!C5,'Insomnia Criteria'!C6,'Insomnia Criteria'!B7,'Insomnia Criteria'!C9,'Insomnia Criteria'!B12)</f>
        <v>0</v>
      </c>
      <c r="E5" s="17"/>
      <c r="F5" s="17"/>
      <c r="G5" s="20" t="b">
        <f>G2</f>
        <v>0</v>
      </c>
      <c r="H5" s="17"/>
      <c r="I5" s="113" t="b">
        <f>AND(Table6[[#This Row],[Diphenhydramine]:[Long Acting]])</f>
        <v>0</v>
      </c>
      <c r="J5" s="114" t="s">
        <v>231</v>
      </c>
    </row>
    <row r="6" spans="1:11">
      <c r="A6" t="b">
        <f>IF(Table6[[#This Row],[column]],Table6[[#This Row],[Total Options]])</f>
        <v>0</v>
      </c>
      <c r="B6" s="20" t="b">
        <f>B2</f>
        <v>0</v>
      </c>
      <c r="C6" s="17"/>
      <c r="D6" s="17"/>
      <c r="E6" s="17"/>
      <c r="F6" s="17"/>
      <c r="G6" s="20" t="b">
        <f>G2</f>
        <v>0</v>
      </c>
      <c r="H6" s="17"/>
      <c r="I6" s="113" t="b">
        <f>AND(Table6[[#This Row],[Diphenhydramine]:[Long Acting]])</f>
        <v>0</v>
      </c>
      <c r="J6" s="114" t="s">
        <v>232</v>
      </c>
    </row>
    <row r="7" spans="1:11">
      <c r="A7" t="b">
        <f>IF(Table6[[#This Row],[column]],Table6[[#This Row],[Total Options]])</f>
        <v>0</v>
      </c>
      <c r="B7" s="20" t="b">
        <f>B2</f>
        <v>0</v>
      </c>
      <c r="C7" s="17"/>
      <c r="D7" s="17"/>
      <c r="E7" s="17"/>
      <c r="F7" s="17"/>
      <c r="G7" s="20" t="b">
        <f>G2</f>
        <v>0</v>
      </c>
      <c r="H7" s="17"/>
      <c r="I7" s="113" t="b">
        <f>AND(Table6[[#This Row],[Diphenhydramine]:[Long Acting]])</f>
        <v>0</v>
      </c>
      <c r="J7" s="114" t="s">
        <v>233</v>
      </c>
    </row>
    <row r="8" spans="1:11">
      <c r="A8" s="16" t="b">
        <f>IF(Table6[[#This Row],[column]],Table6[[#This Row],[Total Options]])</f>
        <v>0</v>
      </c>
      <c r="B8" s="16"/>
      <c r="C8" s="16"/>
      <c r="D8" s="16"/>
      <c r="E8" s="16"/>
      <c r="F8" s="16"/>
      <c r="G8" s="16"/>
      <c r="H8" s="16"/>
      <c r="I8" s="27"/>
      <c r="J8" s="74"/>
    </row>
    <row r="9" spans="1:11">
      <c r="A9" t="b">
        <f>IF(Table6[[#This Row],[column]],Table6[[#This Row],[Total Options]])</f>
        <v>0</v>
      </c>
      <c r="B9" s="20" t="b">
        <f>B2</f>
        <v>0</v>
      </c>
      <c r="C9" s="17"/>
      <c r="D9" s="17"/>
      <c r="E9" s="17"/>
      <c r="F9" s="20" t="b">
        <f>AND('Insomnia Criteria'!C10,'Insomnia Criteria'!C3,'Insomnia Criteria'!C8,'Insomnia Criteria'!C9,'Insomnia Criteria'!B11)</f>
        <v>0</v>
      </c>
      <c r="G9" s="20" t="b">
        <f>G2</f>
        <v>0</v>
      </c>
      <c r="H9" s="17"/>
      <c r="I9" s="113" t="b">
        <f>AND(Table6[[#This Row],[Diphenhydramine]:[Long Acting]])</f>
        <v>0</v>
      </c>
      <c r="J9" s="117" t="s">
        <v>178</v>
      </c>
    </row>
    <row r="10" spans="1:11">
      <c r="A10" s="16" t="b">
        <f>IF(Table6[[#This Row],[column]],Table6[[#This Row],[Total Options]])</f>
        <v>0</v>
      </c>
      <c r="B10" s="16"/>
      <c r="C10" s="16"/>
      <c r="D10" s="16"/>
      <c r="E10" s="16"/>
      <c r="F10" s="16"/>
      <c r="G10" s="16"/>
      <c r="H10" s="16"/>
      <c r="I10" s="27"/>
      <c r="J10" s="73"/>
    </row>
    <row r="11" spans="1:11">
      <c r="A11" t="b">
        <f>IF(Table6[[#This Row],[column]],Table6[[#This Row],[Total Options]])</f>
        <v>0</v>
      </c>
      <c r="B11" s="20" t="b">
        <f>B2</f>
        <v>0</v>
      </c>
      <c r="C11" s="17"/>
      <c r="D11" s="17"/>
      <c r="E11" s="20" t="b">
        <f>AND('Insomnia Criteria'!B11,'Insomnia Criteria'!C5)</f>
        <v>0</v>
      </c>
      <c r="F11" s="17"/>
      <c r="G11" s="20" t="b">
        <f>G2</f>
        <v>0</v>
      </c>
      <c r="H11" s="17"/>
      <c r="I11" s="113" t="b">
        <f>AND(Table6[[#This Row],[Diphenhydramine]:[Long Acting]])</f>
        <v>0</v>
      </c>
      <c r="J11" s="117" t="s">
        <v>163</v>
      </c>
    </row>
    <row r="12" spans="1:11">
      <c r="A12" s="16" t="b">
        <f>IF(Table6[[#This Row],[column]],Table6[[#This Row],[Total Options]])</f>
        <v>0</v>
      </c>
      <c r="B12" s="16"/>
      <c r="C12" s="16"/>
      <c r="D12" s="16"/>
      <c r="E12" s="16"/>
      <c r="F12" s="16"/>
      <c r="G12" s="16"/>
      <c r="H12" s="16"/>
      <c r="I12" s="27"/>
      <c r="J12" s="73"/>
    </row>
    <row r="13" spans="1:11">
      <c r="A13" t="b">
        <f>IF(Table6[[#This Row],[column]],Table6[[#This Row],[Total Options]])</f>
        <v>0</v>
      </c>
      <c r="B13" s="17"/>
      <c r="C13" s="20" t="b">
        <f>C5</f>
        <v>0</v>
      </c>
      <c r="D13" s="17"/>
      <c r="E13" s="17"/>
      <c r="F13" s="17"/>
      <c r="G13" s="17"/>
      <c r="H13" s="20" t="b">
        <f>AND('Insomnia Criteria'!B14,'Insomnia Criteria'!C13)</f>
        <v>0</v>
      </c>
      <c r="I13" s="113" t="b">
        <f>AND(Table6[[#This Row],[Diphenhydramine]:[Long Acting]])</f>
        <v>0</v>
      </c>
      <c r="J13" s="118" t="s">
        <v>235</v>
      </c>
    </row>
    <row r="14" spans="1:11">
      <c r="A14" t="b">
        <f>IF(Table6[[#This Row],[column]],Table6[[#This Row],[Total Options]])</f>
        <v>0</v>
      </c>
      <c r="B14" s="17"/>
      <c r="C14" s="20" t="b">
        <f>C5</f>
        <v>0</v>
      </c>
      <c r="D14" s="17"/>
      <c r="E14" s="17"/>
      <c r="F14" s="17"/>
      <c r="G14" s="20" t="b">
        <f>G2</f>
        <v>0</v>
      </c>
      <c r="H14" s="17"/>
      <c r="I14" s="113" t="b">
        <f>AND(Table6[[#This Row],[Diphenhydramine]:[Long Acting]])</f>
        <v>0</v>
      </c>
      <c r="J14" s="118" t="s">
        <v>236</v>
      </c>
      <c r="K14" s="32"/>
    </row>
    <row r="15" spans="1:11">
      <c r="A15" t="b">
        <f>IF(Table6[[#This Row],[column]],Table6[[#This Row],[Total Options]])</f>
        <v>0</v>
      </c>
      <c r="B15" s="17"/>
      <c r="C15" s="20" t="b">
        <f>C5</f>
        <v>0</v>
      </c>
      <c r="D15" s="20" t="b">
        <f>D5</f>
        <v>0</v>
      </c>
      <c r="E15" s="17"/>
      <c r="F15" s="17"/>
      <c r="G15" s="20" t="b">
        <f>G2</f>
        <v>0</v>
      </c>
      <c r="H15" s="17"/>
      <c r="I15" s="113" t="b">
        <f>AND(Table6[[#This Row],[Diphenhydramine]:[Long Acting]])</f>
        <v>0</v>
      </c>
      <c r="J15" s="118" t="s">
        <v>237</v>
      </c>
    </row>
    <row r="16" spans="1:11">
      <c r="A16" s="16" t="b">
        <f>IF(Table6[[#This Row],[column]],Table6[[#This Row],[Total Options]])</f>
        <v>0</v>
      </c>
      <c r="B16" s="16"/>
      <c r="C16" s="16"/>
      <c r="D16" s="16"/>
      <c r="E16" s="16"/>
      <c r="F16" s="16"/>
      <c r="G16" s="16"/>
      <c r="H16" s="16"/>
      <c r="I16" s="27"/>
      <c r="J16" s="73"/>
    </row>
    <row r="17" spans="1:11">
      <c r="A17" t="b">
        <f>IF(Table6[[#This Row],[column]],Table6[[#This Row],[Total Options]])</f>
        <v>0</v>
      </c>
      <c r="B17" s="17"/>
      <c r="C17" s="20" t="b">
        <f>C5</f>
        <v>0</v>
      </c>
      <c r="D17" s="17"/>
      <c r="E17" s="17"/>
      <c r="F17" s="17"/>
      <c r="G17" s="106" t="b">
        <f>AND('Insomnia Criteria'!B13)</f>
        <v>0</v>
      </c>
      <c r="H17" s="106" t="b">
        <f>AND('Insomnia Criteria'!B14)</f>
        <v>0</v>
      </c>
      <c r="I17" s="113" t="b">
        <f>AND(Table6[[#This Row],[Diphenhydramine]:[Long Acting]])</f>
        <v>0</v>
      </c>
      <c r="J17" s="118" t="s">
        <v>238</v>
      </c>
    </row>
    <row r="18" spans="1:11">
      <c r="A18" t="b">
        <f>IF(Table6[[#This Row],[column]],Table6[[#This Row],[Total Options]])</f>
        <v>0</v>
      </c>
      <c r="B18" s="17"/>
      <c r="C18" s="20" t="b">
        <f>C5</f>
        <v>0</v>
      </c>
      <c r="D18" s="17"/>
      <c r="E18" s="17"/>
      <c r="F18" s="17"/>
      <c r="G18" s="20" t="b">
        <f>G2</f>
        <v>0</v>
      </c>
      <c r="H18" s="17"/>
      <c r="I18" s="113" t="b">
        <f>AND(Table6[[#This Row],[Diphenhydramine]:[Long Acting]])</f>
        <v>0</v>
      </c>
      <c r="J18" s="118" t="s">
        <v>239</v>
      </c>
      <c r="K18" s="32"/>
    </row>
    <row r="19" spans="1:11">
      <c r="A19" t="b">
        <f>IF(Table6[[#This Row],[column]],Table6[[#This Row],[Total Options]])</f>
        <v>0</v>
      </c>
      <c r="B19" s="17"/>
      <c r="C19" s="20" t="b">
        <f>C5</f>
        <v>0</v>
      </c>
      <c r="D19" s="17"/>
      <c r="E19" s="17"/>
      <c r="F19" s="17"/>
      <c r="G19" s="20" t="b">
        <f>G2</f>
        <v>0</v>
      </c>
      <c r="H19" s="17"/>
      <c r="I19" s="113" t="b">
        <f>AND(Table6[[#This Row],[Diphenhydramine]:[Long Acting]])</f>
        <v>0</v>
      </c>
      <c r="J19" s="118" t="s">
        <v>240</v>
      </c>
    </row>
    <row r="20" spans="1:11">
      <c r="A20" s="16" t="b">
        <f>IF(Table6[[#This Row],[column]],Table6[[#This Row],[Total Options]])</f>
        <v>0</v>
      </c>
      <c r="B20" s="16"/>
      <c r="C20" s="16"/>
      <c r="D20" s="16"/>
      <c r="E20" s="16"/>
      <c r="F20" s="16"/>
      <c r="G20" s="16"/>
      <c r="H20" s="16"/>
      <c r="I20" s="27"/>
      <c r="J20" s="73"/>
    </row>
    <row r="21" spans="1:11">
      <c r="A21" t="e">
        <f>IF(Table6[[#This Row],[column]],Table6[[#This Row],[Total Options]])</f>
        <v>#VALUE!</v>
      </c>
      <c r="I21" s="113" t="e">
        <f>AND(Table6[[#This Row],[Diphenhydramine]:[Long Acting]])</f>
        <v>#VALUE!</v>
      </c>
      <c r="J21" s="117"/>
    </row>
    <row r="22" spans="1:11">
      <c r="A22" t="e">
        <f>IF(Table6[[#This Row],[column]],Table6[[#This Row],[Total Options]])</f>
        <v>#VALUE!</v>
      </c>
      <c r="I22" s="113" t="e">
        <f>AND(Table6[[#This Row],[Diphenhydramine]:[Long Acting]])</f>
        <v>#VALUE!</v>
      </c>
      <c r="J22" s="135"/>
    </row>
  </sheetData>
  <hyperlinks>
    <hyperlink ref="J2" r:id="rId1" xr:uid="{00000000-0004-0000-0E00-000000000000}"/>
    <hyperlink ref="J3" r:id="rId2" xr:uid="{00000000-0004-0000-0E00-000001000000}"/>
    <hyperlink ref="J5" r:id="rId3" xr:uid="{00000000-0004-0000-0E00-000002000000}"/>
    <hyperlink ref="J6" r:id="rId4" xr:uid="{00000000-0004-0000-0E00-000003000000}"/>
    <hyperlink ref="J7" r:id="rId5" xr:uid="{00000000-0004-0000-0E00-000004000000}"/>
    <hyperlink ref="J9" r:id="rId6" display="https://www.advil.ca/product/advil-nighttime" xr:uid="{00000000-0004-0000-0E00-000005000000}"/>
    <hyperlink ref="J11" r:id="rId7" display="https://www.tylenol.ca/products/nighttime/extra-strength-tylenol-nighttime" xr:uid="{00000000-0004-0000-0E00-000006000000}"/>
    <hyperlink ref="J13" r:id="rId8" xr:uid="{00000000-0004-0000-0E00-000007000000}"/>
    <hyperlink ref="J14" r:id="rId9" xr:uid="{00000000-0004-0000-0E00-000008000000}"/>
    <hyperlink ref="J15" r:id="rId10" xr:uid="{00000000-0004-0000-0E00-000009000000}"/>
    <hyperlink ref="J17" r:id="rId11" xr:uid="{00000000-0004-0000-0E00-00000A000000}"/>
    <hyperlink ref="J18" r:id="rId12" xr:uid="{00000000-0004-0000-0E00-00000B000000}"/>
    <hyperlink ref="J19" r:id="rId13" xr:uid="{00000000-0004-0000-0E00-00000C000000}"/>
  </hyperlinks>
  <pageMargins left="0.7" right="0.7" top="0.75" bottom="0.75" header="0.3" footer="0.3"/>
  <pageSetup orientation="portrait" r:id="rId14"/>
  <tableParts count="1">
    <tablePart r:id="rId15"/>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9"/>
  <sheetViews>
    <sheetView workbookViewId="0">
      <selection activeCell="L14" sqref="L14"/>
    </sheetView>
  </sheetViews>
  <sheetFormatPr defaultRowHeight="15"/>
  <cols>
    <col min="1" max="1" width="50.5703125" customWidth="1"/>
    <col min="5" max="5" width="17.85546875" customWidth="1"/>
  </cols>
  <sheetData>
    <row r="1" spans="1:5" ht="15.75" thickTop="1">
      <c r="A1" s="3" t="s">
        <v>15</v>
      </c>
      <c r="B1" s="7" t="s">
        <v>18</v>
      </c>
      <c r="C1" s="43"/>
      <c r="D1" s="43"/>
      <c r="E1" s="8" t="s">
        <v>19</v>
      </c>
    </row>
    <row r="2" spans="1:5" ht="15.75" thickBot="1">
      <c r="B2" s="4"/>
      <c r="C2" s="43"/>
      <c r="D2" s="43"/>
      <c r="E2" s="4"/>
    </row>
    <row r="3" spans="1:5" ht="15.75" thickBot="1">
      <c r="A3" s="158" t="s">
        <v>506</v>
      </c>
      <c r="B3" s="33" t="b">
        <v>0</v>
      </c>
      <c r="C3" s="43" t="b">
        <f>NOT(B3)</f>
        <v>1</v>
      </c>
      <c r="D3" s="43"/>
      <c r="E3" s="4" t="b">
        <f>IF(B9,random!I7)</f>
        <v>0</v>
      </c>
    </row>
    <row r="4" spans="1:5" ht="15.75" thickBot="1">
      <c r="A4" s="158" t="s">
        <v>13</v>
      </c>
      <c r="B4" s="33" t="b">
        <v>0</v>
      </c>
      <c r="C4" s="43"/>
      <c r="D4" s="43" t="b">
        <f>OR(B7:B8)</f>
        <v>0</v>
      </c>
      <c r="E4" s="4" t="b">
        <f>IF(D4,random!I8)</f>
        <v>0</v>
      </c>
    </row>
    <row r="5" spans="1:5" ht="15.75" thickBot="1">
      <c r="A5" s="165" t="s">
        <v>555</v>
      </c>
      <c r="B5" s="33" t="b">
        <v>0</v>
      </c>
      <c r="C5" s="43" t="b">
        <f>NOT(B5)</f>
        <v>1</v>
      </c>
      <c r="D5" s="43"/>
      <c r="E5" s="4" t="b">
        <f>IF(B11,random!I9)</f>
        <v>0</v>
      </c>
    </row>
    <row r="6" spans="1:5" ht="15.75" thickBot="1">
      <c r="A6" s="172" t="s">
        <v>394</v>
      </c>
      <c r="B6" s="33" t="b">
        <v>0</v>
      </c>
      <c r="C6" s="43"/>
      <c r="D6" s="43"/>
      <c r="E6" s="4" t="b">
        <f>IF(B10,random!I10)</f>
        <v>0</v>
      </c>
    </row>
    <row r="7" spans="1:5" ht="15.75" thickBot="1">
      <c r="A7" s="172" t="s">
        <v>395</v>
      </c>
      <c r="B7" s="33" t="b">
        <v>0</v>
      </c>
      <c r="C7" s="43"/>
      <c r="D7" s="43"/>
      <c r="E7" s="4" t="b">
        <f>IF(B6,random!I11)</f>
        <v>0</v>
      </c>
    </row>
    <row r="8" spans="1:5" ht="15.75" thickBot="1">
      <c r="A8" s="172" t="s">
        <v>396</v>
      </c>
      <c r="B8" s="33" t="b">
        <v>0</v>
      </c>
      <c r="C8" s="43"/>
      <c r="D8" s="43"/>
      <c r="E8" s="48" t="b">
        <f>IF(B6,random!I12)</f>
        <v>0</v>
      </c>
    </row>
    <row r="9" spans="1:5" ht="15.75" thickBot="1">
      <c r="A9" s="172" t="s">
        <v>397</v>
      </c>
      <c r="B9" s="34" t="b">
        <v>0</v>
      </c>
      <c r="C9" s="43"/>
      <c r="D9" s="43"/>
    </row>
    <row r="10" spans="1:5" ht="15.75" thickBot="1">
      <c r="A10" s="172" t="s">
        <v>398</v>
      </c>
      <c r="B10" s="6" t="b">
        <v>0</v>
      </c>
      <c r="C10" s="43"/>
      <c r="D10" s="43"/>
    </row>
    <row r="11" spans="1:5" ht="15.75" thickBot="1">
      <c r="A11" s="172" t="s">
        <v>504</v>
      </c>
      <c r="B11" s="6" t="b">
        <v>0</v>
      </c>
      <c r="C11" s="43"/>
      <c r="D11" s="43"/>
    </row>
    <row r="12" spans="1:5" ht="15.75" thickBot="1">
      <c r="A12" s="172" t="s">
        <v>1348</v>
      </c>
      <c r="B12" s="6" t="b">
        <v>0</v>
      </c>
      <c r="C12" s="43"/>
      <c r="D12" s="43"/>
    </row>
    <row r="13" spans="1:5" ht="15.75" thickBot="1">
      <c r="A13" s="161" t="s">
        <v>458</v>
      </c>
      <c r="B13" s="6" t="b">
        <v>0</v>
      </c>
      <c r="C13" s="43"/>
      <c r="D13" s="43"/>
    </row>
    <row r="14" spans="1:5" ht="15.75" thickBot="1">
      <c r="A14" s="161" t="s">
        <v>507</v>
      </c>
      <c r="B14" s="6" t="b">
        <v>0</v>
      </c>
      <c r="C14" s="43"/>
      <c r="D14" s="43"/>
    </row>
    <row r="15" spans="1:5" ht="15.75" thickBot="1">
      <c r="A15" s="161" t="s">
        <v>459</v>
      </c>
      <c r="B15" s="6" t="b">
        <v>0</v>
      </c>
      <c r="C15" s="43"/>
      <c r="D15" s="43"/>
    </row>
    <row r="18" spans="1:1">
      <c r="A18" s="49"/>
    </row>
    <row r="19" spans="1:1">
      <c r="A19" s="32"/>
    </row>
  </sheetData>
  <dataValidations xWindow="412" yWindow="345" count="3">
    <dataValidation allowBlank="1" showInputMessage="1" showErrorMessage="1" prompt="Consult your physician if unsure" sqref="A3 A9:A12" xr:uid="{00000000-0002-0000-0F00-000000000000}"/>
    <dataValidation allowBlank="1" showInputMessage="1" showErrorMessage="1" prompt="Consult your pharmacist if unsure" sqref="A6:A8 A13:A15 A4" xr:uid="{00000000-0002-0000-0F00-000001000000}"/>
    <dataValidation allowBlank="1" showInputMessage="1" showErrorMessage="1" prompt="Consult your pharmacist if unsure." sqref="A5" xr:uid="{00000000-0002-0000-0F00-000002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412" yWindow="345" count="13">
        <x14:dataValidation type="list" showInputMessage="1" showErrorMessage="1" error="Please answer as Yes or No" prompt="Lubricants are generally short-acting and require frequent re-application. Oil based products are not compatible with use of condoms. Flavored or stimulating (warm sensation) products may be irritating. Consult your pharmacist for further information." xr:uid="{00000000-0002-0000-0F00-000003000000}">
          <x14:formula1>
            <xm:f>random!$A$2:$A$3</xm:f>
          </x14:formula1>
          <xm:sqref>B7</xm:sqref>
        </x14:dataValidation>
        <x14:dataValidation type="list" showInputMessage="1" showErrorMessage="1" error="Please answer as Yes or No" prompt="Consult your physician for children with vaginal issues." xr:uid="{00000000-0002-0000-0F00-000004000000}">
          <x14:formula1>
            <xm:f>random!$A$2:$A$3</xm:f>
          </x14:formula1>
          <xm:sqref>B4</xm:sqref>
        </x14:dataValidation>
        <x14:dataValidation type="list" showInputMessage="1" error="Please answer as Yes or No" prompt="Symptoms may include discharge, burning, itching and odour. Consult your physician if this is your first experience. Some non-prescription products may provide relief." xr:uid="{00000000-0002-0000-0F00-000005000000}">
          <x14:formula1>
            <xm:f>random!$A$2:$A$3</xm:f>
          </x14:formula1>
          <xm:sqref>B10</xm:sqref>
        </x14:dataValidation>
        <x14:dataValidation type="list" showInputMessage="1" showErrorMessage="1" error="Please answer as Yes or No" prompt="Normal genital hygiene does not require use of non-prescription products. Perfumes, astringents, emollients and anti-infectives may be irritating. Mild soap and water is preferred for daily cleansing." xr:uid="{00000000-0002-0000-0F00-000006000000}">
          <x14:formula1>
            <xm:f>random!$A$2:$A$3</xm:f>
          </x14:formula1>
          <xm:sqref>B6</xm:sqref>
        </x14:dataValidation>
        <x14:dataValidation type="list" showInputMessage="1" showErrorMessage="1" error="Please answer as Yes or No" prompt="Avoid vaginal douching in pregnancy. Use of an oral antifungal for yeast infection is contraindicated in pregnancy. Avoid use of boric acid or acid based vaginal products in pregnancy. Topical antifungals may require 7-14 days of therapy in pregnancy. " xr:uid="{00000000-0002-0000-0F00-000007000000}">
          <x14:formula1>
            <xm:f>random!$A$2:$A$3</xm:f>
          </x14:formula1>
          <xm:sqref>B3</xm:sqref>
        </x14:dataValidation>
        <x14:dataValidation type="list" showInputMessage="1" showErrorMessage="1" error="Please answer as Yes or No" prompt="Moisturizers contain bioadhesive polymers and provide water and electrolytes to vaginal cells. Generally act for a long duration and may be applied every 3 days or more frequently. " xr:uid="{00000000-0002-0000-0F00-000008000000}">
          <x14:formula1>
            <xm:f>random!$A$2:$A$3</xm:f>
          </x14:formula1>
          <xm:sqref>B8</xm:sqref>
        </x14:dataValidation>
        <x14:dataValidation type="list" showInputMessage="1" error="Please answer as Yes or No" prompt="Typical symptoms include itching, burning, curd-like discharge and/or external dysuria. Consult your physician if first occurance or atypical symptoms. " xr:uid="{00000000-0002-0000-0F00-000009000000}">
          <x14:formula1>
            <xm:f>random!$A$2:$A$3</xm:f>
          </x14:formula1>
          <xm:sqref>B9</xm:sqref>
        </x14:dataValidation>
        <x14:dataValidation type="list" showInputMessage="1" showErrorMessage="1" error="Please answer as Yes or No" prompt="Some antifungals may increase INR and bleeding risk with use of warfarin." xr:uid="{00000000-0002-0000-0F00-00000A000000}">
          <x14:formula1>
            <xm:f>random!$A$2:$A$3</xm:f>
          </x14:formula1>
          <xm:sqref>B5</xm:sqref>
        </x14:dataValidation>
        <x14:dataValidation type="list" showInputMessage="1" error="Please answer as Yes or No" prompt="Topical products may provide localized symptom relief with little or few side effects. Sometimes available in combination with oral or vaginal tabs for relief of external symptoms." xr:uid="{00000000-0002-0000-0F00-00000B000000}">
          <x14:formula1>
            <xm:f>random!$A$2:$A$3</xm:f>
          </x14:formula1>
          <xm:sqref>B14</xm:sqref>
        </x14:dataValidation>
        <x14:dataValidation type="list" showInputMessage="1" error="Please answer as Yes or No" prompt="Vaginal tablets may be easier to administer and a less messy option than vaginal creams." xr:uid="{00000000-0002-0000-0F00-00000C000000}">
          <x14:formula1>
            <xm:f>random!$A$2:$A$3</xm:f>
          </x14:formula1>
          <xm:sqref>B15</xm:sqref>
        </x14:dataValidation>
        <x14:dataValidation type="list" showInputMessage="1" error="Please answer as Yes or No" prompt="Oral products may be easier and less intrusive to administer and may require few treatments. " xr:uid="{00000000-0002-0000-0F00-00000D000000}">
          <x14:formula1>
            <xm:f>random!$A$2:$A$3</xm:f>
          </x14:formula1>
          <xm:sqref>B13</xm:sqref>
        </x14:dataValidation>
        <x14:dataValidation type="list" showInputMessage="1" error="Please answer as Yes or No" prompt="Some products may help restore vaginal health. " xr:uid="{00000000-0002-0000-0F00-00000E000000}">
          <x14:formula1>
            <xm:f>random!$A$2:$A$3</xm:f>
          </x14:formula1>
          <xm:sqref>B11</xm:sqref>
        </x14:dataValidation>
        <x14:dataValidation type="list" showInputMessage="1" error="Please answer as Yes or No" prompt="Symptoms may include frequent urination, urinary urgency, burning, irritation, pain and stinging. Consult your physician for first episode, frequent occurence (&gt;3/yr), persistent or severe symptoms." xr:uid="{00000000-0002-0000-0F00-00000F000000}">
          <x14:formula1>
            <xm:f>random!$A$2:$A$3</xm:f>
          </x14:formula1>
          <xm:sqref>B12</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68"/>
  <sheetViews>
    <sheetView workbookViewId="0">
      <selection activeCell="O2" sqref="O2"/>
    </sheetView>
  </sheetViews>
  <sheetFormatPr defaultRowHeight="15"/>
  <cols>
    <col min="1" max="1" width="63.5703125" customWidth="1"/>
    <col min="2" max="2" width="9.5703125" customWidth="1"/>
    <col min="3" max="4" width="10" customWidth="1"/>
    <col min="5" max="5" width="11" customWidth="1"/>
    <col min="6" max="6" width="12" customWidth="1"/>
    <col min="7" max="7" width="14" customWidth="1"/>
    <col min="8" max="8" width="13.42578125" customWidth="1"/>
    <col min="9" max="9" width="12" customWidth="1"/>
    <col min="10" max="10" width="11.140625" customWidth="1"/>
    <col min="13" max="13" width="10.85546875" customWidth="1"/>
    <col min="14" max="14" width="17.140625" customWidth="1"/>
    <col min="15" max="15" width="9.7109375" style="113" customWidth="1"/>
    <col min="16" max="16" width="72.85546875" style="113" customWidth="1"/>
  </cols>
  <sheetData>
    <row r="1" spans="1:17">
      <c r="A1" s="68" t="s">
        <v>1248</v>
      </c>
      <c r="B1" s="202" t="s">
        <v>1897</v>
      </c>
      <c r="C1" s="202" t="s">
        <v>1895</v>
      </c>
      <c r="D1" s="202" t="s">
        <v>1902</v>
      </c>
      <c r="E1" s="202" t="s">
        <v>1903</v>
      </c>
      <c r="F1" s="202" t="s">
        <v>1904</v>
      </c>
      <c r="G1" s="69" t="s">
        <v>302</v>
      </c>
      <c r="H1" s="69" t="s">
        <v>303</v>
      </c>
      <c r="I1" s="69" t="s">
        <v>556</v>
      </c>
      <c r="J1" s="69" t="s">
        <v>304</v>
      </c>
      <c r="K1" s="69" t="s">
        <v>316</v>
      </c>
      <c r="L1" s="69" t="s">
        <v>1346</v>
      </c>
      <c r="M1" s="69" t="s">
        <v>399</v>
      </c>
      <c r="N1" s="69" t="s">
        <v>505</v>
      </c>
      <c r="O1" s="69" t="s">
        <v>225</v>
      </c>
      <c r="P1" s="69" t="s">
        <v>583</v>
      </c>
    </row>
    <row r="2" spans="1:17">
      <c r="A2" t="b">
        <f>IF(O2,P2)</f>
        <v>0</v>
      </c>
      <c r="B2" s="17"/>
      <c r="C2" s="17"/>
      <c r="D2" s="20" t="b">
        <f>AND('Vaginal Criteria'!B15)</f>
        <v>0</v>
      </c>
      <c r="E2" s="17"/>
      <c r="F2" s="20" t="b">
        <f>AND('Vaginal Criteria'!C3)</f>
        <v>1</v>
      </c>
      <c r="G2" s="19"/>
      <c r="H2" s="19"/>
      <c r="I2" s="19"/>
      <c r="J2" s="20" t="b">
        <f>AND('Vaginal Criteria'!B4,'Vaginal Criteria'!B11)</f>
        <v>0</v>
      </c>
      <c r="K2" s="17"/>
      <c r="L2" s="17"/>
      <c r="M2" s="17"/>
      <c r="N2" s="17"/>
      <c r="O2" s="113" t="b">
        <f>AND(AND(E2:N2),OR(Table11[[#This Row],[Oral]:[Vag Tab]]))</f>
        <v>0</v>
      </c>
      <c r="P2" s="114" t="s">
        <v>305</v>
      </c>
    </row>
    <row r="3" spans="1:17">
      <c r="A3" s="16" t="b">
        <f t="shared" ref="A3:A61" si="0">IF(O3,P3)</f>
        <v>0</v>
      </c>
      <c r="B3" s="16"/>
      <c r="C3" s="16"/>
      <c r="D3" s="16"/>
      <c r="E3" s="16"/>
      <c r="F3" s="16"/>
      <c r="G3" s="16"/>
      <c r="H3" s="16"/>
      <c r="I3" s="16"/>
      <c r="J3" s="16"/>
      <c r="K3" s="16"/>
      <c r="L3" s="16"/>
      <c r="M3" s="16"/>
      <c r="N3" s="16"/>
      <c r="O3" s="154"/>
      <c r="P3" s="27"/>
      <c r="Q3" s="21"/>
    </row>
    <row r="4" spans="1:17">
      <c r="A4" t="b">
        <f t="shared" si="0"/>
        <v>0</v>
      </c>
      <c r="B4" s="17"/>
      <c r="C4" s="20" t="b">
        <f>AND('Vaginal Criteria'!B14)</f>
        <v>0</v>
      </c>
      <c r="D4" s="17"/>
      <c r="E4" s="17"/>
      <c r="F4" s="20" t="b">
        <f>F2</f>
        <v>1</v>
      </c>
      <c r="G4" s="17"/>
      <c r="H4" s="20" t="b">
        <f>AND('Vaginal Criteria'!B4,'Vaginal Criteria'!B8)</f>
        <v>0</v>
      </c>
      <c r="I4" s="17"/>
      <c r="J4" s="17"/>
      <c r="K4" s="17"/>
      <c r="L4" s="17"/>
      <c r="M4" s="17"/>
      <c r="N4" s="17"/>
      <c r="O4" s="113" t="b">
        <f>AND(AND(E4:N4),OR(Table11[[#This Row],[Oral]:[Vag Tab]]))</f>
        <v>0</v>
      </c>
      <c r="P4" s="114" t="s">
        <v>306</v>
      </c>
      <c r="Q4" s="32"/>
    </row>
    <row r="5" spans="1:17">
      <c r="A5" t="b">
        <f t="shared" ref="A5:A10" si="1">IF(O5,P5)</f>
        <v>0</v>
      </c>
      <c r="B5" s="17"/>
      <c r="C5" s="20" t="b">
        <f>C4</f>
        <v>0</v>
      </c>
      <c r="D5" s="17"/>
      <c r="E5" s="17"/>
      <c r="F5" s="20" t="b">
        <f>F2</f>
        <v>1</v>
      </c>
      <c r="G5" s="106" t="b">
        <f>AND('Vaginal Criteria'!B9,'Vaginal Criteria'!B4,'Vaginal Criteria'!C5)</f>
        <v>0</v>
      </c>
      <c r="H5" s="17"/>
      <c r="I5" s="17"/>
      <c r="J5" s="17"/>
      <c r="K5" s="17"/>
      <c r="L5" s="17"/>
      <c r="M5" s="17"/>
      <c r="N5" s="17"/>
      <c r="O5" s="113" t="b">
        <f>AND(AND(E5:N5),OR(Table11[[#This Row],[Oral]:[Vag Tab]]))</f>
        <v>0</v>
      </c>
      <c r="P5" s="117" t="s">
        <v>307</v>
      </c>
    </row>
    <row r="6" spans="1:17">
      <c r="A6" t="b">
        <f t="shared" si="1"/>
        <v>0</v>
      </c>
      <c r="B6" s="17"/>
      <c r="C6" s="20" t="b">
        <f>C4</f>
        <v>0</v>
      </c>
      <c r="D6" s="17"/>
      <c r="E6" s="17"/>
      <c r="F6" s="20" t="b">
        <f>F2</f>
        <v>1</v>
      </c>
      <c r="G6" s="17"/>
      <c r="H6" s="17"/>
      <c r="I6" s="17"/>
      <c r="J6" s="17"/>
      <c r="K6" s="17"/>
      <c r="L6" s="17"/>
      <c r="M6" s="17"/>
      <c r="N6" s="20" t="b">
        <f>AND('Vaginal Criteria'!B4,'Vaginal Criteria'!B6)</f>
        <v>0</v>
      </c>
      <c r="O6" s="113" t="b">
        <f>AND(AND(E6:N6),OR(Table11[[#This Row],[Oral]:[Vag Tab]]))</f>
        <v>0</v>
      </c>
      <c r="P6" s="136" t="s">
        <v>578</v>
      </c>
    </row>
    <row r="7" spans="1:17">
      <c r="A7" t="b">
        <f t="shared" si="1"/>
        <v>0</v>
      </c>
      <c r="B7" s="17"/>
      <c r="C7" s="20" t="b">
        <f>C4</f>
        <v>0</v>
      </c>
      <c r="D7" s="17"/>
      <c r="E7" s="17"/>
      <c r="F7" s="20" t="b">
        <f>F2</f>
        <v>1</v>
      </c>
      <c r="G7" s="17"/>
      <c r="H7" s="17"/>
      <c r="I7" s="17"/>
      <c r="J7" s="17"/>
      <c r="K7" s="17"/>
      <c r="L7" s="17"/>
      <c r="M7" s="20" t="b">
        <f>AND('Vaginal Criteria'!B4,'Vaginal Criteria'!B6)</f>
        <v>0</v>
      </c>
      <c r="N7" s="17"/>
      <c r="O7" s="113" t="b">
        <f>AND(AND(E7:N7),OR(Table11[[#This Row],[Oral]:[Vag Tab]]))</f>
        <v>0</v>
      </c>
      <c r="P7" s="136" t="s">
        <v>579</v>
      </c>
    </row>
    <row r="8" spans="1:17">
      <c r="A8" t="b">
        <f t="shared" si="1"/>
        <v>0</v>
      </c>
      <c r="B8" s="17"/>
      <c r="C8" s="20" t="b">
        <f>C4</f>
        <v>0</v>
      </c>
      <c r="D8" s="17"/>
      <c r="E8" s="17"/>
      <c r="F8" s="20" t="b">
        <f>F2</f>
        <v>1</v>
      </c>
      <c r="G8" s="17"/>
      <c r="H8" s="17"/>
      <c r="I8" s="17"/>
      <c r="J8" s="17"/>
      <c r="K8" s="17"/>
      <c r="L8" s="17"/>
      <c r="M8" s="20" t="b">
        <f>M7</f>
        <v>0</v>
      </c>
      <c r="N8" s="17"/>
      <c r="O8" s="113" t="b">
        <f>AND(AND(E8:N8),OR(Table11[[#This Row],[Oral]:[Vag Tab]]))</f>
        <v>0</v>
      </c>
      <c r="P8" s="136" t="s">
        <v>580</v>
      </c>
    </row>
    <row r="9" spans="1:17">
      <c r="A9" t="b">
        <f t="shared" si="1"/>
        <v>0</v>
      </c>
      <c r="B9" s="17"/>
      <c r="C9" s="20" t="b">
        <f>C4</f>
        <v>0</v>
      </c>
      <c r="D9" s="17"/>
      <c r="E9" s="17"/>
      <c r="F9" s="20" t="b">
        <f>F2</f>
        <v>1</v>
      </c>
      <c r="G9" s="17"/>
      <c r="H9" s="17"/>
      <c r="I9" s="17"/>
      <c r="J9" s="17"/>
      <c r="K9" s="17"/>
      <c r="L9" s="17"/>
      <c r="M9" s="20" t="b">
        <f>M7</f>
        <v>0</v>
      </c>
      <c r="N9" s="17"/>
      <c r="O9" s="113" t="b">
        <f>AND(AND(E9:N9),OR(Table11[[#This Row],[Oral]:[Vag Tab]]))</f>
        <v>0</v>
      </c>
      <c r="P9" s="136" t="s">
        <v>581</v>
      </c>
    </row>
    <row r="10" spans="1:17">
      <c r="A10" t="b">
        <f t="shared" si="1"/>
        <v>0</v>
      </c>
      <c r="B10" s="17"/>
      <c r="C10" s="20" t="b">
        <f>C4</f>
        <v>0</v>
      </c>
      <c r="D10" s="17"/>
      <c r="E10" s="17"/>
      <c r="F10" s="20" t="b">
        <f>F2</f>
        <v>1</v>
      </c>
      <c r="G10" s="17"/>
      <c r="H10" s="17"/>
      <c r="I10" s="17"/>
      <c r="J10" s="17"/>
      <c r="K10" s="17"/>
      <c r="L10" s="17"/>
      <c r="M10" s="20" t="b">
        <f>M7</f>
        <v>0</v>
      </c>
      <c r="N10" s="17"/>
      <c r="O10" s="113" t="b">
        <f>AND(AND(E10:N10),OR(Table11[[#This Row],[Oral]:[Vag Tab]]))</f>
        <v>0</v>
      </c>
      <c r="P10" s="136" t="s">
        <v>582</v>
      </c>
    </row>
    <row r="11" spans="1:17">
      <c r="A11" s="16" t="b">
        <f t="shared" si="0"/>
        <v>0</v>
      </c>
      <c r="B11" s="16"/>
      <c r="C11" s="16"/>
      <c r="D11" s="16"/>
      <c r="E11" s="16"/>
      <c r="F11" s="16"/>
      <c r="G11" s="16"/>
      <c r="H11" s="16"/>
      <c r="I11" s="16"/>
      <c r="J11" s="16"/>
      <c r="K11" s="16"/>
      <c r="L11" s="16"/>
      <c r="M11" s="16"/>
      <c r="N11" s="16"/>
      <c r="O11" s="154"/>
      <c r="P11" s="27"/>
    </row>
    <row r="12" spans="1:17">
      <c r="A12" t="b">
        <f t="shared" si="0"/>
        <v>0</v>
      </c>
      <c r="B12" s="17"/>
      <c r="C12" s="20" t="b">
        <f>C4</f>
        <v>0</v>
      </c>
      <c r="D12" s="20" t="b">
        <f>D2</f>
        <v>0</v>
      </c>
      <c r="E12" s="17"/>
      <c r="F12" s="20" t="b">
        <f>F2</f>
        <v>1</v>
      </c>
      <c r="G12" s="20" t="b">
        <f>G5</f>
        <v>0</v>
      </c>
      <c r="H12" s="17"/>
      <c r="I12" s="17"/>
      <c r="J12" s="17"/>
      <c r="K12" s="17"/>
      <c r="L12" s="17"/>
      <c r="M12" s="17"/>
      <c r="N12" s="17"/>
      <c r="O12" s="113" t="b">
        <f>AND(AND(E12:N12),OR(Table11[[#This Row],[Oral]:[Vag Tab]]))</f>
        <v>0</v>
      </c>
      <c r="P12" s="118" t="s">
        <v>309</v>
      </c>
      <c r="Q12" s="32"/>
    </row>
    <row r="13" spans="1:17">
      <c r="A13" t="b">
        <f t="shared" si="0"/>
        <v>0</v>
      </c>
      <c r="B13" s="17"/>
      <c r="C13" s="20" t="b">
        <f>C4</f>
        <v>0</v>
      </c>
      <c r="D13" s="17"/>
      <c r="E13" s="17"/>
      <c r="F13" s="20" t="b">
        <f>F2</f>
        <v>1</v>
      </c>
      <c r="G13" s="20" t="b">
        <f>G5</f>
        <v>0</v>
      </c>
      <c r="H13" s="17"/>
      <c r="I13" s="17"/>
      <c r="J13" s="17"/>
      <c r="K13" s="17"/>
      <c r="L13" s="17"/>
      <c r="M13" s="17"/>
      <c r="N13" s="17"/>
      <c r="O13" s="113" t="b">
        <f>AND(AND(E13:N13),OR(Table11[[#This Row],[Oral]:[Vag Tab]]))</f>
        <v>0</v>
      </c>
      <c r="P13" s="118" t="s">
        <v>308</v>
      </c>
    </row>
    <row r="14" spans="1:17">
      <c r="A14" t="b">
        <f t="shared" si="0"/>
        <v>0</v>
      </c>
      <c r="B14" s="17"/>
      <c r="C14" s="20" t="b">
        <f>C4</f>
        <v>0</v>
      </c>
      <c r="D14" s="20" t="b">
        <f>D2</f>
        <v>0</v>
      </c>
      <c r="E14" s="17"/>
      <c r="F14" s="20" t="b">
        <f>F2</f>
        <v>1</v>
      </c>
      <c r="G14" s="20" t="b">
        <f>G5</f>
        <v>0</v>
      </c>
      <c r="H14" s="17"/>
      <c r="I14" s="17"/>
      <c r="J14" s="17"/>
      <c r="K14" s="17"/>
      <c r="L14" s="17"/>
      <c r="M14" s="17"/>
      <c r="N14" s="17"/>
      <c r="O14" s="113" t="b">
        <f>AND(AND(E14:N14),OR(Table11[[#This Row],[Oral]:[Vag Tab]]))</f>
        <v>0</v>
      </c>
      <c r="P14" s="118" t="s">
        <v>310</v>
      </c>
    </row>
    <row r="15" spans="1:17">
      <c r="A15" t="b">
        <f t="shared" si="0"/>
        <v>0</v>
      </c>
      <c r="B15" s="17"/>
      <c r="C15" s="20" t="b">
        <f>C4</f>
        <v>0</v>
      </c>
      <c r="D15" s="20" t="b">
        <f>D2</f>
        <v>0</v>
      </c>
      <c r="E15" s="17"/>
      <c r="F15" s="20" t="b">
        <f>F2</f>
        <v>1</v>
      </c>
      <c r="G15" s="20" t="b">
        <f>G5</f>
        <v>0</v>
      </c>
      <c r="H15" s="17"/>
      <c r="I15" s="17"/>
      <c r="J15" s="17"/>
      <c r="K15" s="17"/>
      <c r="L15" s="17"/>
      <c r="M15" s="17"/>
      <c r="N15" s="17"/>
      <c r="O15" s="113" t="b">
        <f>AND(AND(E15:N15),OR(Table11[[#This Row],[Oral]:[Vag Tab]]))</f>
        <v>0</v>
      </c>
      <c r="P15" s="118" t="s">
        <v>311</v>
      </c>
    </row>
    <row r="16" spans="1:17">
      <c r="A16" t="b">
        <f t="shared" si="0"/>
        <v>0</v>
      </c>
      <c r="B16" s="17"/>
      <c r="C16" s="20" t="b">
        <f>C4</f>
        <v>0</v>
      </c>
      <c r="D16" s="17"/>
      <c r="E16" s="17"/>
      <c r="F16" s="20" t="b">
        <f>F2</f>
        <v>1</v>
      </c>
      <c r="G16" s="20" t="b">
        <f>G5</f>
        <v>0</v>
      </c>
      <c r="H16" s="17"/>
      <c r="I16" s="17"/>
      <c r="J16" s="17"/>
      <c r="K16" s="17"/>
      <c r="L16" s="17"/>
      <c r="M16" s="17"/>
      <c r="N16" s="17"/>
      <c r="O16" s="113" t="b">
        <f>AND(AND(E16:N16),OR(Table11[[#This Row],[Oral]:[Vag Tab]]))</f>
        <v>0</v>
      </c>
      <c r="P16" s="118" t="s">
        <v>312</v>
      </c>
    </row>
    <row r="17" spans="1:17">
      <c r="A17" t="b">
        <f t="shared" si="0"/>
        <v>0</v>
      </c>
      <c r="B17" s="17"/>
      <c r="C17" s="20" t="b">
        <f>C4</f>
        <v>0</v>
      </c>
      <c r="D17" s="17"/>
      <c r="E17" s="17"/>
      <c r="F17" s="20" t="b">
        <f>F2</f>
        <v>1</v>
      </c>
      <c r="G17" s="20" t="b">
        <f>G5</f>
        <v>0</v>
      </c>
      <c r="H17" s="17"/>
      <c r="I17" s="17"/>
      <c r="J17" s="17"/>
      <c r="K17" s="17"/>
      <c r="L17" s="17"/>
      <c r="M17" s="17"/>
      <c r="N17" s="17"/>
      <c r="O17" s="113" t="b">
        <f>AND(AND(E17:N17),OR(Table11[[#This Row],[Oral]:[Vag Tab]]))</f>
        <v>0</v>
      </c>
      <c r="P17" s="118" t="s">
        <v>313</v>
      </c>
    </row>
    <row r="18" spans="1:17">
      <c r="A18" t="b">
        <f t="shared" si="0"/>
        <v>0</v>
      </c>
      <c r="B18" s="17"/>
      <c r="C18" s="20" t="b">
        <f>C4</f>
        <v>0</v>
      </c>
      <c r="D18" s="17"/>
      <c r="E18" s="20" t="b">
        <f>OR('Vaginal Criteria'!B3,'Vaginal Criteria'!C3)</f>
        <v>1</v>
      </c>
      <c r="F18" s="17"/>
      <c r="G18" s="20" t="b">
        <f>G5</f>
        <v>0</v>
      </c>
      <c r="H18" s="17"/>
      <c r="I18" s="17"/>
      <c r="J18" s="17"/>
      <c r="K18" s="17"/>
      <c r="L18" s="17"/>
      <c r="M18" s="17"/>
      <c r="N18" s="17"/>
      <c r="O18" s="113" t="b">
        <f>AND(AND(E18:N18),OR(Table11[[#This Row],[Oral]:[Vag Tab]]))</f>
        <v>0</v>
      </c>
      <c r="P18" s="118" t="s">
        <v>314</v>
      </c>
    </row>
    <row r="19" spans="1:17">
      <c r="A19" t="b">
        <f t="shared" si="0"/>
        <v>0</v>
      </c>
      <c r="B19" s="17"/>
      <c r="C19" s="20" t="b">
        <f>C4</f>
        <v>0</v>
      </c>
      <c r="D19" s="17"/>
      <c r="E19" s="20" t="b">
        <f>E18</f>
        <v>1</v>
      </c>
      <c r="F19" s="17"/>
      <c r="G19" s="20" t="b">
        <f>G5</f>
        <v>0</v>
      </c>
      <c r="H19" s="17"/>
      <c r="I19" s="17"/>
      <c r="J19" s="17"/>
      <c r="K19" s="17"/>
      <c r="L19" s="17"/>
      <c r="M19" s="17"/>
      <c r="N19" s="17"/>
      <c r="O19" s="113" t="b">
        <f>AND(AND(E19:N19),OR(Table11[[#This Row],[Oral]:[Vag Tab]]))</f>
        <v>0</v>
      </c>
      <c r="P19" s="118" t="s">
        <v>315</v>
      </c>
    </row>
    <row r="20" spans="1:17">
      <c r="A20" t="b">
        <f t="shared" si="0"/>
        <v>0</v>
      </c>
      <c r="B20" s="17"/>
      <c r="C20" s="20" t="b">
        <f>C4</f>
        <v>0</v>
      </c>
      <c r="D20" s="17"/>
      <c r="E20" s="17"/>
      <c r="F20" s="20" t="b">
        <f>F2</f>
        <v>1</v>
      </c>
      <c r="G20" s="17"/>
      <c r="H20" s="17"/>
      <c r="I20" s="17"/>
      <c r="J20" s="17"/>
      <c r="K20" s="17"/>
      <c r="L20" s="17"/>
      <c r="M20" s="17"/>
      <c r="N20" s="20" t="b">
        <f>N6</f>
        <v>0</v>
      </c>
      <c r="O20" s="113" t="b">
        <f>AND(AND(E20:N20),OR(Table11[[#This Row],[Oral]:[Vag Tab]]))</f>
        <v>0</v>
      </c>
      <c r="P20" s="118" t="s">
        <v>577</v>
      </c>
    </row>
    <row r="21" spans="1:17">
      <c r="A21" s="16" t="b">
        <f t="shared" si="0"/>
        <v>0</v>
      </c>
      <c r="B21" s="16"/>
      <c r="C21" s="16"/>
      <c r="D21" s="16"/>
      <c r="E21" s="16"/>
      <c r="F21" s="16"/>
      <c r="G21" s="16"/>
      <c r="H21" s="16"/>
      <c r="I21" s="16"/>
      <c r="J21" s="16"/>
      <c r="K21" s="16"/>
      <c r="L21" s="16"/>
      <c r="M21" s="16"/>
      <c r="N21" s="16"/>
      <c r="O21" s="154"/>
      <c r="P21" s="27"/>
    </row>
    <row r="22" spans="1:17">
      <c r="A22" t="b">
        <f t="shared" si="0"/>
        <v>0</v>
      </c>
      <c r="B22" s="17"/>
      <c r="C22" s="20" t="b">
        <f>C4</f>
        <v>0</v>
      </c>
      <c r="D22" s="17"/>
      <c r="E22" s="17"/>
      <c r="F22" s="20" t="b">
        <f>F2</f>
        <v>1</v>
      </c>
      <c r="G22" s="17"/>
      <c r="H22" s="17"/>
      <c r="I22" s="17"/>
      <c r="J22" s="17"/>
      <c r="K22" s="20" t="b">
        <f>AND('Vaginal Criteria'!B4,'Vaginal Criteria'!B10)</f>
        <v>0</v>
      </c>
      <c r="L22" s="17"/>
      <c r="M22" s="17"/>
      <c r="N22" s="17"/>
      <c r="O22" s="113" t="b">
        <f>AND(AND(E22:N22),OR(Table11[[#This Row],[Oral]:[Vag Tab]]))</f>
        <v>0</v>
      </c>
      <c r="P22" s="114" t="s">
        <v>317</v>
      </c>
      <c r="Q22" t="s">
        <v>1342</v>
      </c>
    </row>
    <row r="23" spans="1:17">
      <c r="A23" t="b">
        <f t="shared" si="0"/>
        <v>0</v>
      </c>
      <c r="B23" s="17"/>
      <c r="C23" s="20" t="b">
        <f>C4</f>
        <v>0</v>
      </c>
      <c r="D23" s="20" t="b">
        <f>D2</f>
        <v>0</v>
      </c>
      <c r="E23" s="17"/>
      <c r="F23" s="20" t="b">
        <f>F2</f>
        <v>1</v>
      </c>
      <c r="G23" s="106" t="b">
        <f>AND('Vaginal Criteria'!B4,'Vaginal Criteria'!B9)</f>
        <v>0</v>
      </c>
      <c r="H23" s="17"/>
      <c r="I23" s="17"/>
      <c r="J23" s="17"/>
      <c r="K23" s="17"/>
      <c r="L23" s="17"/>
      <c r="M23" s="17"/>
      <c r="N23" s="17"/>
      <c r="O23" s="113" t="b">
        <f>AND(AND(E23:N23),OR(Table11[[#This Row],[Oral]:[Vag Tab]]))</f>
        <v>0</v>
      </c>
      <c r="P23" s="114" t="s">
        <v>318</v>
      </c>
    </row>
    <row r="24" spans="1:17">
      <c r="A24" t="b">
        <f t="shared" si="0"/>
        <v>0</v>
      </c>
      <c r="B24" s="17"/>
      <c r="C24" s="20" t="b">
        <f>C4</f>
        <v>0</v>
      </c>
      <c r="D24" s="20" t="b">
        <f>D2</f>
        <v>0</v>
      </c>
      <c r="E24" s="17"/>
      <c r="F24" s="20" t="b">
        <f>F2</f>
        <v>1</v>
      </c>
      <c r="G24" s="20" t="b">
        <f>G23</f>
        <v>0</v>
      </c>
      <c r="H24" s="17"/>
      <c r="I24" s="17"/>
      <c r="J24" s="17"/>
      <c r="K24" s="17"/>
      <c r="L24" s="17"/>
      <c r="M24" s="17"/>
      <c r="N24" s="17"/>
      <c r="O24" s="113" t="b">
        <f>AND(AND(E24:N24),OR(Table11[[#This Row],[Oral]:[Vag Tab]]))</f>
        <v>0</v>
      </c>
      <c r="P24" s="114" t="s">
        <v>319</v>
      </c>
    </row>
    <row r="25" spans="1:17">
      <c r="A25" t="b">
        <f t="shared" si="0"/>
        <v>0</v>
      </c>
      <c r="B25" s="20" t="b">
        <f>AND('Vaginal Criteria'!B13)</f>
        <v>0</v>
      </c>
      <c r="C25" s="20" t="b">
        <f>C4</f>
        <v>0</v>
      </c>
      <c r="D25" s="17"/>
      <c r="E25" s="17"/>
      <c r="F25" s="20" t="b">
        <f>F2</f>
        <v>1</v>
      </c>
      <c r="G25" s="20" t="b">
        <f>G23</f>
        <v>0</v>
      </c>
      <c r="H25" s="17"/>
      <c r="I25" s="17"/>
      <c r="J25" s="17"/>
      <c r="K25" s="17"/>
      <c r="L25" s="17"/>
      <c r="M25" s="17"/>
      <c r="N25" s="17"/>
      <c r="O25" s="113" t="b">
        <f>AND(AND(E25:N25),OR(Table11[[#This Row],[Oral]:[Vag Tab]]))</f>
        <v>0</v>
      </c>
      <c r="P25" s="114" t="s">
        <v>320</v>
      </c>
    </row>
    <row r="26" spans="1:17">
      <c r="A26" t="b">
        <f t="shared" si="0"/>
        <v>0</v>
      </c>
      <c r="B26" s="20" t="b">
        <f>B25</f>
        <v>0</v>
      </c>
      <c r="C26" s="17"/>
      <c r="D26" s="17"/>
      <c r="E26" s="17"/>
      <c r="F26" s="20" t="b">
        <f>F2</f>
        <v>1</v>
      </c>
      <c r="G26" s="20" t="b">
        <f>G23</f>
        <v>0</v>
      </c>
      <c r="H26" s="17"/>
      <c r="I26" s="17"/>
      <c r="J26" s="17"/>
      <c r="K26" s="17"/>
      <c r="L26" s="17"/>
      <c r="M26" s="17"/>
      <c r="N26" s="17"/>
      <c r="O26" s="113" t="b">
        <f>AND(AND(E26:N26),OR(Table11[[#This Row],[Oral]:[Vag Tab]]))</f>
        <v>0</v>
      </c>
      <c r="P26" s="114" t="s">
        <v>321</v>
      </c>
    </row>
    <row r="27" spans="1:17">
      <c r="A27" t="b">
        <f t="shared" si="0"/>
        <v>0</v>
      </c>
      <c r="B27" s="17"/>
      <c r="C27" s="20" t="b">
        <f>C4</f>
        <v>0</v>
      </c>
      <c r="D27" s="17"/>
      <c r="E27" s="17"/>
      <c r="F27" s="20" t="b">
        <f>F2</f>
        <v>1</v>
      </c>
      <c r="G27" s="20" t="b">
        <f>G23</f>
        <v>0</v>
      </c>
      <c r="H27" s="17"/>
      <c r="I27" s="17"/>
      <c r="J27" s="17"/>
      <c r="K27" s="17"/>
      <c r="L27" s="17"/>
      <c r="M27" s="17"/>
      <c r="N27" s="17"/>
      <c r="O27" s="113" t="b">
        <f>AND(AND(E27:N27),OR(Table11[[#This Row],[Oral]:[Vag Tab]]))</f>
        <v>0</v>
      </c>
      <c r="P27" s="114" t="s">
        <v>322</v>
      </c>
    </row>
    <row r="28" spans="1:17">
      <c r="A28" t="b">
        <f t="shared" si="0"/>
        <v>0</v>
      </c>
      <c r="B28" s="17"/>
      <c r="C28" s="20" t="b">
        <f>C4</f>
        <v>0</v>
      </c>
      <c r="D28" s="17"/>
      <c r="E28" s="17"/>
      <c r="F28" s="20" t="b">
        <f>F2</f>
        <v>1</v>
      </c>
      <c r="G28" s="20" t="b">
        <f>G23</f>
        <v>0</v>
      </c>
      <c r="H28" s="17"/>
      <c r="I28" s="17"/>
      <c r="J28" s="17"/>
      <c r="K28" s="17"/>
      <c r="L28" s="17"/>
      <c r="M28" s="17"/>
      <c r="N28" s="17"/>
      <c r="O28" s="113" t="b">
        <f>AND(AND(E28:N28),OR(Table11[[#This Row],[Oral]:[Vag Tab]]))</f>
        <v>0</v>
      </c>
      <c r="P28" s="114" t="s">
        <v>323</v>
      </c>
    </row>
    <row r="29" spans="1:17">
      <c r="A29" t="b">
        <f t="shared" si="0"/>
        <v>0</v>
      </c>
      <c r="B29" s="17"/>
      <c r="C29" s="20" t="b">
        <f>C4</f>
        <v>0</v>
      </c>
      <c r="D29" s="17"/>
      <c r="E29" s="17"/>
      <c r="F29" s="20" t="b">
        <f>F2</f>
        <v>1</v>
      </c>
      <c r="G29" s="20" t="b">
        <f>G23</f>
        <v>0</v>
      </c>
      <c r="H29" s="17"/>
      <c r="I29" s="17"/>
      <c r="J29" s="17"/>
      <c r="K29" s="17"/>
      <c r="L29" s="17"/>
      <c r="M29" s="17"/>
      <c r="N29" s="17"/>
      <c r="O29" s="113" t="b">
        <f>AND(AND(E29:N29),OR(Table11[[#This Row],[Oral]:[Vag Tab]]))</f>
        <v>0</v>
      </c>
      <c r="P29" s="114" t="s">
        <v>324</v>
      </c>
    </row>
    <row r="30" spans="1:17">
      <c r="A30" t="b">
        <f t="shared" si="0"/>
        <v>0</v>
      </c>
      <c r="B30" s="17"/>
      <c r="C30" s="20" t="b">
        <f>C4</f>
        <v>0</v>
      </c>
      <c r="D30" s="17"/>
      <c r="E30" s="20" t="b">
        <f>E18</f>
        <v>1</v>
      </c>
      <c r="F30" s="17"/>
      <c r="G30" s="20" t="b">
        <f>G23</f>
        <v>0</v>
      </c>
      <c r="H30" s="17"/>
      <c r="I30" s="17"/>
      <c r="J30" s="17"/>
      <c r="K30" s="17"/>
      <c r="L30" s="17"/>
      <c r="M30" s="17"/>
      <c r="N30" s="17"/>
      <c r="O30" s="113" t="b">
        <f>AND(AND(E30:N30),OR(Table11[[#This Row],[Oral]:[Vag Tab]]))</f>
        <v>0</v>
      </c>
      <c r="P30" s="114" t="s">
        <v>325</v>
      </c>
    </row>
    <row r="31" spans="1:17">
      <c r="A31" t="b">
        <f t="shared" si="0"/>
        <v>0</v>
      </c>
      <c r="B31" s="17"/>
      <c r="C31" s="20" t="b">
        <f>C4</f>
        <v>0</v>
      </c>
      <c r="D31" s="17"/>
      <c r="E31" s="17"/>
      <c r="F31" s="20" t="b">
        <f>F2</f>
        <v>1</v>
      </c>
      <c r="G31" s="20" t="b">
        <f>G23</f>
        <v>0</v>
      </c>
      <c r="H31" s="17"/>
      <c r="I31" s="17"/>
      <c r="J31" s="17"/>
      <c r="K31" s="17"/>
      <c r="L31" s="17"/>
      <c r="M31" s="17"/>
      <c r="N31" s="17"/>
      <c r="O31" s="113" t="b">
        <f>AND(AND(E31:N31),OR(Table11[[#This Row],[Oral]:[Vag Tab]]))</f>
        <v>0</v>
      </c>
      <c r="P31" s="114" t="s">
        <v>326</v>
      </c>
    </row>
    <row r="32" spans="1:17">
      <c r="A32" s="16" t="b">
        <f t="shared" si="0"/>
        <v>0</v>
      </c>
      <c r="B32" s="16"/>
      <c r="C32" s="16"/>
      <c r="D32" s="16"/>
      <c r="E32" s="16"/>
      <c r="F32" s="16"/>
      <c r="G32" s="16"/>
      <c r="H32" s="16"/>
      <c r="I32" s="16"/>
      <c r="J32" s="16"/>
      <c r="K32" s="16"/>
      <c r="L32" s="16"/>
      <c r="M32" s="16"/>
      <c r="N32" s="16"/>
      <c r="O32" s="154"/>
      <c r="P32" s="27"/>
    </row>
    <row r="33" spans="1:16">
      <c r="A33" t="b">
        <f t="shared" si="0"/>
        <v>0</v>
      </c>
      <c r="B33" s="20" t="b">
        <f>B25</f>
        <v>0</v>
      </c>
      <c r="C33" s="17"/>
      <c r="D33" s="17"/>
      <c r="E33" s="17"/>
      <c r="F33" s="20" t="b">
        <f>F2</f>
        <v>1</v>
      </c>
      <c r="G33" s="17"/>
      <c r="H33" s="17"/>
      <c r="I33" s="17"/>
      <c r="J33" s="20" t="b">
        <f>J2</f>
        <v>0</v>
      </c>
      <c r="K33" s="17"/>
      <c r="L33" s="17"/>
      <c r="M33" s="17"/>
      <c r="N33" s="17"/>
      <c r="O33" s="113" t="b">
        <f>AND(AND(E33:N33),OR(Table11[[#This Row],[Oral]:[Vag Tab]]))</f>
        <v>0</v>
      </c>
      <c r="P33" s="118" t="s">
        <v>327</v>
      </c>
    </row>
    <row r="34" spans="1:16">
      <c r="A34" t="b">
        <f t="shared" si="0"/>
        <v>0</v>
      </c>
      <c r="B34" s="17"/>
      <c r="C34" s="20" t="b">
        <f>C4</f>
        <v>0</v>
      </c>
      <c r="D34" s="17"/>
      <c r="E34" s="17"/>
      <c r="F34" s="20" t="b">
        <f>F2</f>
        <v>1</v>
      </c>
      <c r="G34" s="17"/>
      <c r="H34" s="17"/>
      <c r="I34" s="17"/>
      <c r="J34" s="17"/>
      <c r="K34" s="17"/>
      <c r="L34" s="17"/>
      <c r="M34" s="20" t="b">
        <f>M7</f>
        <v>0</v>
      </c>
      <c r="N34" s="17"/>
      <c r="O34" s="113" t="b">
        <f>AND(AND(E34:N34),OR(Table11[[#This Row],[Oral]:[Vag Tab]]))</f>
        <v>0</v>
      </c>
      <c r="P34" s="118" t="s">
        <v>328</v>
      </c>
    </row>
    <row r="35" spans="1:16">
      <c r="A35" t="b">
        <f t="shared" si="0"/>
        <v>0</v>
      </c>
      <c r="B35" s="17"/>
      <c r="C35" s="20" t="b">
        <f>C4</f>
        <v>0</v>
      </c>
      <c r="D35" s="17"/>
      <c r="E35" s="17"/>
      <c r="F35" s="20" t="b">
        <f>F2</f>
        <v>1</v>
      </c>
      <c r="G35" s="17"/>
      <c r="H35" s="17"/>
      <c r="I35" s="17"/>
      <c r="J35" s="17"/>
      <c r="K35" s="17"/>
      <c r="L35" s="17"/>
      <c r="M35" s="17"/>
      <c r="N35" s="20" t="b">
        <f>N6</f>
        <v>0</v>
      </c>
      <c r="O35" s="113" t="b">
        <f>AND(AND(E35:N35),OR(Table11[[#This Row],[Oral]:[Vag Tab]]))</f>
        <v>0</v>
      </c>
      <c r="P35" s="118" t="s">
        <v>329</v>
      </c>
    </row>
    <row r="36" spans="1:16">
      <c r="A36" s="16" t="b">
        <f t="shared" si="0"/>
        <v>0</v>
      </c>
      <c r="B36" s="16"/>
      <c r="C36" s="16"/>
      <c r="D36" s="16"/>
      <c r="E36" s="16"/>
      <c r="F36" s="16"/>
      <c r="G36" s="16"/>
      <c r="H36" s="16"/>
      <c r="I36" s="16"/>
      <c r="J36" s="16"/>
      <c r="K36" s="16"/>
      <c r="L36" s="16"/>
      <c r="M36" s="16"/>
      <c r="N36" s="16"/>
      <c r="O36" s="154"/>
      <c r="P36" s="27"/>
    </row>
    <row r="37" spans="1:16">
      <c r="A37" t="b">
        <f t="shared" si="0"/>
        <v>0</v>
      </c>
      <c r="B37" s="17"/>
      <c r="C37" s="20" t="b">
        <f>C4</f>
        <v>0</v>
      </c>
      <c r="D37" s="17"/>
      <c r="E37" s="17"/>
      <c r="F37" s="20" t="b">
        <f>F2</f>
        <v>1</v>
      </c>
      <c r="G37" s="17"/>
      <c r="H37" s="17"/>
      <c r="I37" s="20" t="b">
        <f>AND('Vaginal Criteria'!B4,'Vaginal Criteria'!B7)</f>
        <v>0</v>
      </c>
      <c r="J37" s="17"/>
      <c r="K37" s="17"/>
      <c r="L37" s="17"/>
      <c r="M37" s="17"/>
      <c r="N37" s="17"/>
      <c r="O37" s="113" t="b">
        <f>AND(AND(E37:N37),OR(Table11[[#This Row],[Oral]:[Vag Tab]]))</f>
        <v>0</v>
      </c>
      <c r="P37" s="114" t="s">
        <v>558</v>
      </c>
    </row>
    <row r="38" spans="1:16">
      <c r="A38" t="b">
        <f t="shared" si="0"/>
        <v>0</v>
      </c>
      <c r="B38" s="17"/>
      <c r="C38" s="20" t="b">
        <f>C4</f>
        <v>0</v>
      </c>
      <c r="D38" s="17"/>
      <c r="E38" s="17"/>
      <c r="F38" s="20" t="b">
        <f>F2</f>
        <v>1</v>
      </c>
      <c r="G38" s="17"/>
      <c r="H38" s="17"/>
      <c r="I38" s="20" t="b">
        <f>I37</f>
        <v>0</v>
      </c>
      <c r="J38" s="17"/>
      <c r="K38" s="17"/>
      <c r="L38" s="17"/>
      <c r="M38" s="17"/>
      <c r="N38" s="17"/>
      <c r="O38" s="113" t="b">
        <f>AND(AND(E38:N38),OR(Table11[[#This Row],[Oral]:[Vag Tab]]))</f>
        <v>0</v>
      </c>
      <c r="P38" s="114" t="s">
        <v>559</v>
      </c>
    </row>
    <row r="39" spans="1:16">
      <c r="A39" t="b">
        <f t="shared" si="0"/>
        <v>0</v>
      </c>
      <c r="B39" s="17"/>
      <c r="C39" s="20" t="b">
        <f>C4</f>
        <v>0</v>
      </c>
      <c r="D39" s="17"/>
      <c r="E39" s="17"/>
      <c r="F39" s="20" t="b">
        <f>F2</f>
        <v>1</v>
      </c>
      <c r="G39" s="17"/>
      <c r="H39" s="17"/>
      <c r="I39" s="20" t="b">
        <f>I37</f>
        <v>0</v>
      </c>
      <c r="J39" s="17"/>
      <c r="K39" s="17"/>
      <c r="L39" s="17"/>
      <c r="M39" s="17"/>
      <c r="N39" s="17"/>
      <c r="O39" s="113" t="b">
        <f>AND(AND(E39:N39),OR(Table11[[#This Row],[Oral]:[Vag Tab]]))</f>
        <v>0</v>
      </c>
      <c r="P39" s="114" t="s">
        <v>560</v>
      </c>
    </row>
    <row r="40" spans="1:16">
      <c r="A40" t="b">
        <f t="shared" si="0"/>
        <v>0</v>
      </c>
      <c r="B40" s="17"/>
      <c r="C40" s="20" t="b">
        <f>C4</f>
        <v>0</v>
      </c>
      <c r="D40" s="17"/>
      <c r="E40" s="17"/>
      <c r="F40" s="20" t="b">
        <f>F2</f>
        <v>1</v>
      </c>
      <c r="G40" s="17"/>
      <c r="H40" s="17"/>
      <c r="I40" s="20" t="b">
        <f>I37</f>
        <v>0</v>
      </c>
      <c r="J40" s="17"/>
      <c r="K40" s="17"/>
      <c r="L40" s="17"/>
      <c r="M40" s="17"/>
      <c r="N40" s="17"/>
      <c r="O40" s="113" t="b">
        <f>AND(AND(E40:N40),OR(Table11[[#This Row],[Oral]:[Vag Tab]]))</f>
        <v>0</v>
      </c>
      <c r="P40" s="114" t="s">
        <v>561</v>
      </c>
    </row>
    <row r="41" spans="1:16">
      <c r="A41" t="b">
        <f t="shared" si="0"/>
        <v>0</v>
      </c>
      <c r="B41" s="17"/>
      <c r="C41" s="20" t="b">
        <f>C4</f>
        <v>0</v>
      </c>
      <c r="D41" s="17"/>
      <c r="E41" s="17"/>
      <c r="F41" s="20" t="b">
        <f>F2</f>
        <v>1</v>
      </c>
      <c r="G41" s="17"/>
      <c r="H41" s="17"/>
      <c r="I41" s="20" t="b">
        <f>I37</f>
        <v>0</v>
      </c>
      <c r="J41" s="17"/>
      <c r="K41" s="17"/>
      <c r="L41" s="17"/>
      <c r="M41" s="17"/>
      <c r="N41" s="17"/>
      <c r="O41" s="113" t="b">
        <f>AND(AND(E41:N41),OR(Table11[[#This Row],[Oral]:[Vag Tab]]))</f>
        <v>0</v>
      </c>
      <c r="P41" s="114" t="s">
        <v>562</v>
      </c>
    </row>
    <row r="42" spans="1:16">
      <c r="A42" t="b">
        <f t="shared" si="0"/>
        <v>0</v>
      </c>
      <c r="B42" s="17"/>
      <c r="C42" s="20" t="b">
        <f>C4</f>
        <v>0</v>
      </c>
      <c r="D42" s="17"/>
      <c r="E42" s="17"/>
      <c r="F42" s="20" t="b">
        <f>F2</f>
        <v>1</v>
      </c>
      <c r="G42" s="17"/>
      <c r="H42" s="17"/>
      <c r="I42" s="20" t="b">
        <f>I37</f>
        <v>0</v>
      </c>
      <c r="J42" s="17"/>
      <c r="K42" s="17"/>
      <c r="L42" s="17"/>
      <c r="M42" s="17"/>
      <c r="N42" s="17"/>
      <c r="O42" s="113" t="b">
        <f>AND(AND(E42:N42),OR(Table11[[#This Row],[Oral]:[Vag Tab]]))</f>
        <v>0</v>
      </c>
      <c r="P42" s="114" t="s">
        <v>563</v>
      </c>
    </row>
    <row r="43" spans="1:16">
      <c r="A43" t="b">
        <f t="shared" si="0"/>
        <v>0</v>
      </c>
      <c r="B43" s="17"/>
      <c r="C43" s="20" t="b">
        <f>C4</f>
        <v>0</v>
      </c>
      <c r="D43" s="17"/>
      <c r="E43" s="17"/>
      <c r="F43" s="20" t="b">
        <f>F2</f>
        <v>1</v>
      </c>
      <c r="G43" s="17"/>
      <c r="H43" s="17"/>
      <c r="I43" s="20" t="b">
        <f>I37</f>
        <v>0</v>
      </c>
      <c r="J43" s="17"/>
      <c r="K43" s="17"/>
      <c r="L43" s="17"/>
      <c r="M43" s="17"/>
      <c r="N43" s="17"/>
      <c r="O43" s="113" t="b">
        <f>AND(AND(E43:N43),OR(Table11[[#This Row],[Oral]:[Vag Tab]]))</f>
        <v>0</v>
      </c>
      <c r="P43" s="114" t="s">
        <v>564</v>
      </c>
    </row>
    <row r="44" spans="1:16">
      <c r="A44" t="b">
        <f t="shared" si="0"/>
        <v>0</v>
      </c>
      <c r="B44" s="17"/>
      <c r="C44" s="20" t="b">
        <f>C4</f>
        <v>0</v>
      </c>
      <c r="D44" s="17"/>
      <c r="E44" s="17"/>
      <c r="F44" s="20" t="b">
        <f>F2</f>
        <v>1</v>
      </c>
      <c r="G44" s="17"/>
      <c r="H44" s="17"/>
      <c r="I44" s="20" t="b">
        <f>I37</f>
        <v>0</v>
      </c>
      <c r="J44" s="17"/>
      <c r="K44" s="17"/>
      <c r="L44" s="17"/>
      <c r="M44" s="17"/>
      <c r="N44" s="17"/>
      <c r="O44" s="113" t="b">
        <f>AND(AND(E44:N44),OR(Table11[[#This Row],[Oral]:[Vag Tab]]))</f>
        <v>0</v>
      </c>
      <c r="P44" s="114" t="s">
        <v>565</v>
      </c>
    </row>
    <row r="45" spans="1:16">
      <c r="A45" t="b">
        <f t="shared" si="0"/>
        <v>0</v>
      </c>
      <c r="B45" s="17"/>
      <c r="C45" s="20" t="b">
        <f>C4</f>
        <v>0</v>
      </c>
      <c r="D45" s="17"/>
      <c r="E45" s="17"/>
      <c r="F45" s="20" t="b">
        <f>F2</f>
        <v>1</v>
      </c>
      <c r="G45" s="17"/>
      <c r="H45" s="17"/>
      <c r="I45" s="20" t="b">
        <f>I37</f>
        <v>0</v>
      </c>
      <c r="J45" s="17"/>
      <c r="K45" s="17"/>
      <c r="L45" s="17"/>
      <c r="M45" s="17"/>
      <c r="N45" s="17"/>
      <c r="O45" s="113" t="b">
        <f>AND(AND(E45:N45),OR(Table11[[#This Row],[Oral]:[Vag Tab]]))</f>
        <v>0</v>
      </c>
      <c r="P45" s="114" t="s">
        <v>566</v>
      </c>
    </row>
    <row r="46" spans="1:16">
      <c r="A46" s="16" t="b">
        <f t="shared" si="0"/>
        <v>0</v>
      </c>
      <c r="B46" s="16"/>
      <c r="C46" s="16"/>
      <c r="D46" s="16"/>
      <c r="E46" s="16"/>
      <c r="F46" s="16"/>
      <c r="G46" s="16"/>
      <c r="H46" s="16"/>
      <c r="I46" s="16"/>
      <c r="J46" s="16"/>
      <c r="K46" s="16"/>
      <c r="L46" s="16"/>
      <c r="M46" s="16"/>
      <c r="N46" s="16"/>
      <c r="O46" s="154"/>
      <c r="P46" s="74"/>
    </row>
    <row r="47" spans="1:16">
      <c r="A47" t="b">
        <f t="shared" si="0"/>
        <v>0</v>
      </c>
      <c r="B47" s="17"/>
      <c r="C47" s="20" t="b">
        <f>C4</f>
        <v>0</v>
      </c>
      <c r="D47" s="17"/>
      <c r="E47" s="17"/>
      <c r="F47" s="20" t="b">
        <f>F2</f>
        <v>1</v>
      </c>
      <c r="G47" s="17"/>
      <c r="H47" s="17"/>
      <c r="I47" s="20" t="b">
        <f>I37</f>
        <v>0</v>
      </c>
      <c r="J47" s="17"/>
      <c r="K47" s="17"/>
      <c r="L47" s="17"/>
      <c r="M47" s="17"/>
      <c r="N47" s="17"/>
      <c r="O47" s="113" t="b">
        <f>AND(AND(E47:N47),OR(Table11[[#This Row],[Oral]:[Vag Tab]]))</f>
        <v>0</v>
      </c>
      <c r="P47" s="114" t="s">
        <v>567</v>
      </c>
    </row>
    <row r="48" spans="1:16">
      <c r="A48" t="b">
        <f t="shared" si="0"/>
        <v>0</v>
      </c>
      <c r="B48" s="17"/>
      <c r="C48" s="20" t="b">
        <f>C4</f>
        <v>0</v>
      </c>
      <c r="D48" s="17"/>
      <c r="E48" s="17"/>
      <c r="F48" s="20" t="b">
        <f>F2</f>
        <v>1</v>
      </c>
      <c r="G48" s="17"/>
      <c r="H48" s="17"/>
      <c r="I48" s="20" t="b">
        <f>I37</f>
        <v>0</v>
      </c>
      <c r="J48" s="17"/>
      <c r="K48" s="17"/>
      <c r="L48" s="17"/>
      <c r="M48" s="17"/>
      <c r="N48" s="17"/>
      <c r="O48" s="113" t="b">
        <f>AND(AND(E48:N48),OR(Table11[[#This Row],[Oral]:[Vag Tab]]))</f>
        <v>0</v>
      </c>
      <c r="P48" s="114" t="s">
        <v>568</v>
      </c>
    </row>
    <row r="49" spans="1:17">
      <c r="A49" t="b">
        <f t="shared" si="0"/>
        <v>0</v>
      </c>
      <c r="B49" s="17"/>
      <c r="C49" s="20" t="b">
        <f>C4</f>
        <v>0</v>
      </c>
      <c r="D49" s="17"/>
      <c r="E49" s="17"/>
      <c r="F49" s="20" t="b">
        <f>F2</f>
        <v>1</v>
      </c>
      <c r="G49" s="17"/>
      <c r="H49" s="17"/>
      <c r="I49" s="20" t="b">
        <f>I37</f>
        <v>0</v>
      </c>
      <c r="J49" s="17"/>
      <c r="K49" s="17"/>
      <c r="L49" s="17"/>
      <c r="M49" s="17"/>
      <c r="N49" s="17"/>
      <c r="O49" s="113" t="b">
        <f>AND(AND(E49:N49),OR(Table11[[#This Row],[Oral]:[Vag Tab]]))</f>
        <v>0</v>
      </c>
      <c r="P49" s="114" t="s">
        <v>569</v>
      </c>
    </row>
    <row r="50" spans="1:17">
      <c r="A50" t="b">
        <f t="shared" si="0"/>
        <v>0</v>
      </c>
      <c r="B50" s="17"/>
      <c r="C50" s="20" t="b">
        <f>C4</f>
        <v>0</v>
      </c>
      <c r="D50" s="17"/>
      <c r="E50" s="17"/>
      <c r="F50" s="20" t="b">
        <f>F2</f>
        <v>1</v>
      </c>
      <c r="G50" s="17"/>
      <c r="H50" s="17"/>
      <c r="I50" s="20" t="b">
        <f>I37</f>
        <v>0</v>
      </c>
      <c r="J50" s="17"/>
      <c r="K50" s="17"/>
      <c r="L50" s="17"/>
      <c r="M50" s="17"/>
      <c r="N50" s="17"/>
      <c r="O50" s="113" t="b">
        <f>AND(AND(E50:N50),OR(Table11[[#This Row],[Oral]:[Vag Tab]]))</f>
        <v>0</v>
      </c>
      <c r="P50" s="114" t="s">
        <v>570</v>
      </c>
    </row>
    <row r="51" spans="1:17">
      <c r="A51" t="b">
        <f t="shared" si="0"/>
        <v>0</v>
      </c>
      <c r="B51" s="17"/>
      <c r="C51" s="20" t="b">
        <f>C4</f>
        <v>0</v>
      </c>
      <c r="D51" s="17"/>
      <c r="E51" s="17"/>
      <c r="F51" s="20" t="b">
        <f>F2</f>
        <v>1</v>
      </c>
      <c r="G51" s="17"/>
      <c r="H51" s="17"/>
      <c r="I51" s="20" t="b">
        <f>I37</f>
        <v>0</v>
      </c>
      <c r="J51" s="17"/>
      <c r="K51" s="17"/>
      <c r="L51" s="17"/>
      <c r="M51" s="17"/>
      <c r="N51" s="17"/>
      <c r="O51" s="113" t="b">
        <f>AND(AND(E51:N51),OR(Table11[[#This Row],[Oral]:[Vag Tab]]))</f>
        <v>0</v>
      </c>
      <c r="P51" s="114" t="s">
        <v>572</v>
      </c>
    </row>
    <row r="52" spans="1:17">
      <c r="A52" t="b">
        <f t="shared" si="0"/>
        <v>0</v>
      </c>
      <c r="B52" s="17"/>
      <c r="C52" s="20" t="b">
        <f>C4</f>
        <v>0</v>
      </c>
      <c r="D52" s="17"/>
      <c r="E52" s="17"/>
      <c r="F52" s="20" t="b">
        <f>F2</f>
        <v>1</v>
      </c>
      <c r="G52" s="17"/>
      <c r="H52" s="17"/>
      <c r="I52" s="20" t="b">
        <f>I37</f>
        <v>0</v>
      </c>
      <c r="J52" s="17"/>
      <c r="K52" s="17"/>
      <c r="L52" s="17"/>
      <c r="M52" s="17"/>
      <c r="N52" s="17"/>
      <c r="O52" s="113" t="b">
        <f>AND(AND(E52:N52),OR(Table11[[#This Row],[Oral]:[Vag Tab]]))</f>
        <v>0</v>
      </c>
      <c r="P52" s="114" t="s">
        <v>573</v>
      </c>
    </row>
    <row r="53" spans="1:17">
      <c r="A53" t="b">
        <f t="shared" si="0"/>
        <v>0</v>
      </c>
      <c r="B53" s="17"/>
      <c r="C53" s="20" t="b">
        <f>C4</f>
        <v>0</v>
      </c>
      <c r="D53" s="17"/>
      <c r="E53" s="17"/>
      <c r="F53" s="20" t="b">
        <f>F2</f>
        <v>1</v>
      </c>
      <c r="G53" s="17"/>
      <c r="H53" s="17"/>
      <c r="I53" s="20" t="b">
        <f>I37</f>
        <v>0</v>
      </c>
      <c r="J53" s="17"/>
      <c r="K53" s="17"/>
      <c r="L53" s="17"/>
      <c r="M53" s="17"/>
      <c r="N53" s="17"/>
      <c r="O53" s="113" t="b">
        <f>AND(AND(E53:N53),OR(Table11[[#This Row],[Oral]:[Vag Tab]]))</f>
        <v>0</v>
      </c>
      <c r="P53" s="114" t="s">
        <v>571</v>
      </c>
    </row>
    <row r="54" spans="1:17">
      <c r="A54" s="16" t="b">
        <f t="shared" si="0"/>
        <v>0</v>
      </c>
      <c r="B54" s="16"/>
      <c r="C54" s="16"/>
      <c r="D54" s="16"/>
      <c r="E54" s="16"/>
      <c r="F54" s="16"/>
      <c r="G54" s="16"/>
      <c r="H54" s="16"/>
      <c r="I54" s="16"/>
      <c r="J54" s="16"/>
      <c r="K54" s="16"/>
      <c r="L54" s="16"/>
      <c r="M54" s="16"/>
      <c r="N54" s="16"/>
      <c r="O54" s="154"/>
      <c r="P54" s="27"/>
    </row>
    <row r="55" spans="1:17">
      <c r="A55" t="b">
        <f t="shared" si="0"/>
        <v>0</v>
      </c>
      <c r="B55" s="17"/>
      <c r="C55" s="20" t="b">
        <f>C4</f>
        <v>0</v>
      </c>
      <c r="D55" s="17"/>
      <c r="E55" s="17"/>
      <c r="F55" s="20" t="b">
        <f>F2</f>
        <v>1</v>
      </c>
      <c r="G55" s="17"/>
      <c r="H55" s="20" t="b">
        <f>H4</f>
        <v>0</v>
      </c>
      <c r="I55" s="17"/>
      <c r="J55" s="17"/>
      <c r="K55" s="17"/>
      <c r="L55" s="17"/>
      <c r="M55" s="17"/>
      <c r="N55" s="17"/>
      <c r="O55" s="113" t="b">
        <f>AND(AND(E55:N55),OR(Table11[[#This Row],[Oral]:[Vag Tab]]))</f>
        <v>0</v>
      </c>
      <c r="P55" s="114" t="s">
        <v>574</v>
      </c>
    </row>
    <row r="56" spans="1:17">
      <c r="A56" t="b">
        <f t="shared" si="0"/>
        <v>0</v>
      </c>
      <c r="B56" s="17"/>
      <c r="C56" s="20" t="b">
        <f>C4</f>
        <v>0</v>
      </c>
      <c r="D56" s="17"/>
      <c r="E56" s="17"/>
      <c r="F56" s="20" t="b">
        <f>F2</f>
        <v>1</v>
      </c>
      <c r="G56" s="17"/>
      <c r="H56" s="19"/>
      <c r="I56" s="20" t="b">
        <f>I37</f>
        <v>0</v>
      </c>
      <c r="J56" s="17"/>
      <c r="K56" s="17"/>
      <c r="L56" s="17"/>
      <c r="M56" s="17"/>
      <c r="N56" s="17"/>
      <c r="O56" s="113" t="b">
        <f>AND(AND(E56:N56),OR(Table11[[#This Row],[Oral]:[Vag Tab]]))</f>
        <v>0</v>
      </c>
      <c r="P56" s="114" t="s">
        <v>575</v>
      </c>
    </row>
    <row r="57" spans="1:17">
      <c r="A57" t="b">
        <f t="shared" si="0"/>
        <v>0</v>
      </c>
      <c r="B57" s="17"/>
      <c r="C57" s="20" t="b">
        <f>C4</f>
        <v>0</v>
      </c>
      <c r="D57" s="17"/>
      <c r="E57" s="17"/>
      <c r="F57" s="20" t="b">
        <f>F2</f>
        <v>1</v>
      </c>
      <c r="G57" s="17"/>
      <c r="H57" s="67" t="b">
        <f>H4</f>
        <v>0</v>
      </c>
      <c r="I57" s="17"/>
      <c r="J57" s="17"/>
      <c r="K57" s="17"/>
      <c r="L57" s="17"/>
      <c r="M57" s="17"/>
      <c r="N57" s="17"/>
      <c r="O57" s="113" t="b">
        <f>AND(AND(E57:N57),OR(Table11[[#This Row],[Oral]:[Vag Tab]]))</f>
        <v>0</v>
      </c>
      <c r="P57" s="114" t="s">
        <v>576</v>
      </c>
    </row>
    <row r="58" spans="1:17">
      <c r="A58" s="16" t="b">
        <f t="shared" si="0"/>
        <v>0</v>
      </c>
      <c r="B58" s="16"/>
      <c r="C58" s="16"/>
      <c r="D58" s="16"/>
      <c r="E58" s="16"/>
      <c r="F58" s="16"/>
      <c r="G58" s="16"/>
      <c r="H58" s="18"/>
      <c r="I58" s="16"/>
      <c r="J58" s="16"/>
      <c r="K58" s="16"/>
      <c r="L58" s="16"/>
      <c r="M58" s="16"/>
      <c r="N58" s="16"/>
      <c r="O58" s="154"/>
      <c r="P58" s="74"/>
    </row>
    <row r="59" spans="1:17">
      <c r="A59" t="b">
        <f t="shared" si="0"/>
        <v>0</v>
      </c>
      <c r="B59" s="17"/>
      <c r="C59" s="20" t="b">
        <f>C4</f>
        <v>0</v>
      </c>
      <c r="D59" s="17"/>
      <c r="E59" s="17"/>
      <c r="F59" s="20" t="b">
        <f>F2</f>
        <v>1</v>
      </c>
      <c r="G59" s="17"/>
      <c r="H59" s="20" t="b">
        <f>H4</f>
        <v>0</v>
      </c>
      <c r="I59" s="17"/>
      <c r="J59" s="17"/>
      <c r="K59" s="17"/>
      <c r="L59" s="17"/>
      <c r="M59" s="17"/>
      <c r="N59" s="17"/>
      <c r="O59" s="113" t="b">
        <f>AND(AND(E59:N59),OR(Table11[[#This Row],[Oral]:[Vag Tab]]))</f>
        <v>0</v>
      </c>
      <c r="P59" s="117" t="s">
        <v>557</v>
      </c>
    </row>
    <row r="60" spans="1:17">
      <c r="A60" s="16" t="b">
        <f t="shared" si="0"/>
        <v>0</v>
      </c>
      <c r="B60" s="16"/>
      <c r="C60" s="16"/>
      <c r="D60" s="16"/>
      <c r="E60" s="16"/>
      <c r="F60" s="16"/>
      <c r="G60" s="16"/>
      <c r="H60" s="16"/>
      <c r="I60" s="16"/>
      <c r="J60" s="16"/>
      <c r="K60" s="16"/>
      <c r="L60" s="16"/>
      <c r="M60" s="16"/>
      <c r="N60" s="16"/>
      <c r="O60" s="154"/>
      <c r="P60" s="27"/>
    </row>
    <row r="61" spans="1:17">
      <c r="A61" t="b">
        <f t="shared" si="0"/>
        <v>0</v>
      </c>
      <c r="B61" s="17"/>
      <c r="C61" s="17"/>
      <c r="D61" s="20" t="b">
        <f>D2</f>
        <v>0</v>
      </c>
      <c r="E61" s="17"/>
      <c r="F61" s="20" t="b">
        <f>F2</f>
        <v>1</v>
      </c>
      <c r="G61" s="17"/>
      <c r="H61" s="17"/>
      <c r="I61" s="17"/>
      <c r="J61" s="20" t="b">
        <f>J2</f>
        <v>0</v>
      </c>
      <c r="K61" s="17"/>
      <c r="L61" s="17"/>
      <c r="M61" s="17"/>
      <c r="N61" s="17"/>
      <c r="O61" s="113" t="b">
        <f>AND(AND(E61:N61),OR(Table11[[#This Row],[Oral]:[Vag Tab]]))</f>
        <v>0</v>
      </c>
      <c r="P61" s="114" t="s">
        <v>712</v>
      </c>
    </row>
    <row r="62" spans="1:17">
      <c r="A62" s="16" t="b">
        <f>IF(O62,P62)</f>
        <v>0</v>
      </c>
      <c r="B62" s="16"/>
      <c r="C62" s="16"/>
      <c r="D62" s="16"/>
      <c r="E62" s="16"/>
      <c r="F62" s="16"/>
      <c r="G62" s="16"/>
      <c r="H62" s="16"/>
      <c r="I62" s="16"/>
      <c r="J62" s="16"/>
      <c r="K62" s="16"/>
      <c r="L62" s="16"/>
      <c r="M62" s="16"/>
      <c r="N62" s="16"/>
      <c r="O62" s="154"/>
      <c r="P62" s="27"/>
    </row>
    <row r="63" spans="1:17">
      <c r="A63" t="b">
        <f>IF(O63,P63)</f>
        <v>0</v>
      </c>
      <c r="B63" s="17"/>
      <c r="C63" s="17"/>
      <c r="D63" s="20" t="b">
        <f>D2</f>
        <v>0</v>
      </c>
      <c r="E63" s="17"/>
      <c r="F63" s="20" t="b">
        <f>F2</f>
        <v>1</v>
      </c>
      <c r="G63" s="17"/>
      <c r="H63" s="17"/>
      <c r="I63" s="17"/>
      <c r="J63" s="17"/>
      <c r="K63" s="20" t="b">
        <f>K22</f>
        <v>0</v>
      </c>
      <c r="L63" s="17"/>
      <c r="M63" s="17"/>
      <c r="N63" s="17"/>
      <c r="O63" s="113" t="b">
        <f>AND(AND(E63:N63),OR(Table11[[#This Row],[Oral]:[Vag Tab]]))</f>
        <v>0</v>
      </c>
      <c r="P63" s="145" t="s">
        <v>1343</v>
      </c>
      <c r="Q63" t="s">
        <v>1344</v>
      </c>
    </row>
    <row r="64" spans="1:17">
      <c r="A64" s="16" t="b">
        <f>IF(O64,P64)</f>
        <v>0</v>
      </c>
      <c r="B64" s="16"/>
      <c r="C64" s="16"/>
      <c r="D64" s="16"/>
      <c r="E64" s="16"/>
      <c r="F64" s="16"/>
      <c r="G64" s="16"/>
      <c r="H64" s="16"/>
      <c r="I64" s="16"/>
      <c r="J64" s="16"/>
      <c r="K64" s="16"/>
      <c r="L64" s="16"/>
      <c r="M64" s="16"/>
      <c r="N64" s="16"/>
      <c r="O64" s="154"/>
      <c r="P64" s="154"/>
    </row>
    <row r="65" spans="1:17">
      <c r="A65" t="b">
        <f>IF(O65,P65)</f>
        <v>0</v>
      </c>
      <c r="B65" s="20" t="b">
        <f>B25</f>
        <v>0</v>
      </c>
      <c r="C65" s="17"/>
      <c r="D65" s="17"/>
      <c r="E65" s="17"/>
      <c r="F65" s="20" t="b">
        <f>F2</f>
        <v>1</v>
      </c>
      <c r="G65" s="17"/>
      <c r="H65" s="17"/>
      <c r="I65" s="17"/>
      <c r="J65" s="17"/>
      <c r="K65" s="17"/>
      <c r="L65" s="20" t="b">
        <f>AND('Vaginal Criteria'!B4,'Vaginal Criteria'!B12)</f>
        <v>0</v>
      </c>
      <c r="M65" s="17"/>
      <c r="N65" s="17"/>
      <c r="O65" s="113" t="b">
        <f>AND(AND(E65:N65),OR(Table11[[#This Row],[Oral]:[Vag Tab]]))</f>
        <v>0</v>
      </c>
      <c r="P65" s="29" t="s">
        <v>1345</v>
      </c>
    </row>
    <row r="66" spans="1:17">
      <c r="A66" s="16" t="b">
        <f t="shared" ref="A66:A68" si="2">IF(O66,P66)</f>
        <v>0</v>
      </c>
      <c r="B66" s="16"/>
      <c r="C66" s="16"/>
      <c r="D66" s="16"/>
      <c r="E66" s="16"/>
      <c r="F66" s="16"/>
      <c r="G66" s="16"/>
      <c r="H66" s="16"/>
      <c r="I66" s="16"/>
      <c r="J66" s="16"/>
      <c r="K66" s="16"/>
      <c r="L66" s="16"/>
      <c r="M66" s="16"/>
      <c r="N66" s="16"/>
      <c r="O66" s="154"/>
      <c r="P66" s="154"/>
      <c r="Q66" t="s">
        <v>1347</v>
      </c>
    </row>
    <row r="67" spans="1:17">
      <c r="A67" t="e">
        <f t="shared" si="2"/>
        <v>#VALUE!</v>
      </c>
      <c r="O67" s="113" t="e">
        <f>AND(G67:N67)</f>
        <v>#VALUE!</v>
      </c>
    </row>
    <row r="68" spans="1:17">
      <c r="A68" t="e">
        <f t="shared" si="2"/>
        <v>#VALUE!</v>
      </c>
      <c r="O68" s="113" t="e">
        <f>AND(G68:N68)</f>
        <v>#VALUE!</v>
      </c>
    </row>
  </sheetData>
  <hyperlinks>
    <hyperlink ref="P2" r:id="rId1" xr:uid="{00000000-0004-0000-1000-000000000000}"/>
    <hyperlink ref="P4" r:id="rId2" xr:uid="{00000000-0004-0000-1000-000001000000}"/>
    <hyperlink ref="P5" r:id="rId3" display="https://www.vagisil.com/vagistat-3-day-yeast-infection-treatment" xr:uid="{00000000-0004-0000-1000-000002000000}"/>
    <hyperlink ref="P12" r:id="rId4" xr:uid="{00000000-0004-0000-1000-000003000000}"/>
    <hyperlink ref="P13" r:id="rId5" xr:uid="{00000000-0004-0000-1000-000004000000}"/>
    <hyperlink ref="P14:P17" r:id="rId6" display="MONISTAT® 3-DAY TREATMENT COMBINATION PACK WITH OVULE®" xr:uid="{00000000-0004-0000-1000-000005000000}"/>
    <hyperlink ref="P18:P19" r:id="rId7" display="MONISTAT® 7-DAY TREATMENT COMBINATION PACK" xr:uid="{00000000-0004-0000-1000-000006000000}"/>
    <hyperlink ref="P22" r:id="rId8" xr:uid="{00000000-0004-0000-1000-000007000000}"/>
    <hyperlink ref="P23" r:id="rId9" xr:uid="{00000000-0004-0000-1000-000008000000}"/>
    <hyperlink ref="P24" r:id="rId10" xr:uid="{00000000-0004-0000-1000-000009000000}"/>
    <hyperlink ref="P25" r:id="rId11" xr:uid="{00000000-0004-0000-1000-00000A000000}"/>
    <hyperlink ref="P26" r:id="rId12" xr:uid="{00000000-0004-0000-1000-00000B000000}"/>
    <hyperlink ref="P27" r:id="rId13" xr:uid="{00000000-0004-0000-1000-00000C000000}"/>
    <hyperlink ref="P28" r:id="rId14" xr:uid="{00000000-0004-0000-1000-00000D000000}"/>
    <hyperlink ref="P29" r:id="rId15" xr:uid="{00000000-0004-0000-1000-00000E000000}"/>
    <hyperlink ref="P30" r:id="rId16" xr:uid="{00000000-0004-0000-1000-00000F000000}"/>
    <hyperlink ref="P31" r:id="rId17" xr:uid="{00000000-0004-0000-1000-000010000000}"/>
    <hyperlink ref="P33" r:id="rId18" xr:uid="{00000000-0004-0000-1000-000011000000}"/>
    <hyperlink ref="P34" r:id="rId19" xr:uid="{00000000-0004-0000-1000-000012000000}"/>
    <hyperlink ref="P35" r:id="rId20" xr:uid="{00000000-0004-0000-1000-000013000000}"/>
    <hyperlink ref="P37" r:id="rId21" display="https://www.k-y.ca/en/products/comfort-lubrication/k-y-jelly-personal-lubricant/" xr:uid="{00000000-0004-0000-1000-000014000000}"/>
    <hyperlink ref="P38" r:id="rId22" display="https://www.k-y.ca/en/products/comfort-lubrication/k-y-silk-e-vaginal-moisturizer-and-personal-lubricant/" xr:uid="{00000000-0004-0000-1000-000015000000}"/>
    <hyperlink ref="P39" r:id="rId23" display="https://www.k-y.ca/en/products/comfort-lubrication/k-y-gentle-sensitive-jelly-personal-lubricant/" xr:uid="{00000000-0004-0000-1000-000016000000}"/>
    <hyperlink ref="P40" r:id="rId24" display="https://www.k-y.ca/en/products/comfort-lubrication/k-y-liquid-personal-lubricant/" xr:uid="{00000000-0004-0000-1000-000017000000}"/>
    <hyperlink ref="P41" r:id="rId25" display="https://www.k-y.ca/en/products/comfort-lubrication/k-y-sensual-silk-personal-lubricant/" xr:uid="{00000000-0004-0000-1000-000018000000}"/>
    <hyperlink ref="P42" r:id="rId26" display="https://www.k-y.ca/en/products/sensation-warming/k-y-touch-2-in-1-warming-oil-and-personal-lubricant/" xr:uid="{00000000-0004-0000-1000-000019000000}"/>
    <hyperlink ref="P43" r:id="rId27" display="https://www.k-y.ca/en/products/sensation-warming/k-y-warming-liquid-personal-lubricant/" xr:uid="{00000000-0004-0000-1000-00001A000000}"/>
    <hyperlink ref="P44" r:id="rId28" display="https://www.k-y.ca/en/products/sensation-warming/k-y-warming-jelly-personal-lubricant/" xr:uid="{00000000-0004-0000-1000-00001B000000}"/>
    <hyperlink ref="P45" r:id="rId29" display="https://www.k-y.ca/en/products/bold-beyond/k-y-yours-mine-couples-lubricants/" xr:uid="{00000000-0004-0000-1000-00001C000000}"/>
    <hyperlink ref="P47" r:id="rId30" display="https://astroglide.com/products/astroglide-liquid" xr:uid="{00000000-0004-0000-1000-00001D000000}"/>
    <hyperlink ref="P48" r:id="rId31" xr:uid="{00000000-0004-0000-1000-00001E000000}"/>
    <hyperlink ref="P49" r:id="rId32" xr:uid="{00000000-0004-0000-1000-00001F000000}"/>
    <hyperlink ref="P50" r:id="rId33" display="https://astroglide.com/products/glycerin-and-paraben-free" xr:uid="{00000000-0004-0000-1000-000020000000}"/>
    <hyperlink ref="P53" r:id="rId34" display="https://astroglide.com/products/astroglide-x-silicone-gel" xr:uid="{00000000-0004-0000-1000-000021000000}"/>
    <hyperlink ref="P51" r:id="rId35" display="https://astroglide.com/products/astroglide-warming-liquid" xr:uid="{00000000-0004-0000-1000-000022000000}"/>
    <hyperlink ref="P52" r:id="rId36" xr:uid="{00000000-0004-0000-1000-000023000000}"/>
    <hyperlink ref="P55" r:id="rId37" xr:uid="{00000000-0004-0000-1000-000024000000}"/>
    <hyperlink ref="P56" r:id="rId38" xr:uid="{00000000-0004-0000-1000-000025000000}"/>
    <hyperlink ref="P57" r:id="rId39" xr:uid="{00000000-0004-0000-1000-000026000000}"/>
    <hyperlink ref="P59" r:id="rId40" xr:uid="{00000000-0004-0000-1000-000027000000}"/>
    <hyperlink ref="P20" r:id="rId41" display="Monistat Care" xr:uid="{00000000-0004-0000-1000-000028000000}"/>
    <hyperlink ref="P6" r:id="rId42" display="ODOR BLOCK® DAILY INTIMATE WASH" xr:uid="{00000000-0004-0000-1000-000029000000}"/>
    <hyperlink ref="P7" r:id="rId43" xr:uid="{00000000-0004-0000-1000-00002A000000}"/>
    <hyperlink ref="P8" r:id="rId44" xr:uid="{00000000-0004-0000-1000-00002B000000}"/>
    <hyperlink ref="P9" r:id="rId45" xr:uid="{00000000-0004-0000-1000-00002C000000}"/>
    <hyperlink ref="P10" r:id="rId46" xr:uid="{00000000-0004-0000-1000-00002D000000}"/>
    <hyperlink ref="P61" r:id="rId47" xr:uid="{00000000-0004-0000-1000-00002E000000}"/>
    <hyperlink ref="P63" r:id="rId48" xr:uid="{00000000-0004-0000-1000-00002F000000}"/>
    <hyperlink ref="P65" r:id="rId49" xr:uid="{00000000-0004-0000-1000-000030000000}"/>
  </hyperlinks>
  <pageMargins left="0.7" right="0.7" top="0.75" bottom="0.75" header="0.3" footer="0.3"/>
  <pageSetup orientation="portrait" r:id="rId50"/>
  <tableParts count="1">
    <tablePart r:id="rId5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31"/>
  <sheetViews>
    <sheetView workbookViewId="0">
      <selection activeCell="A37" sqref="A37"/>
    </sheetView>
  </sheetViews>
  <sheetFormatPr defaultRowHeight="15"/>
  <cols>
    <col min="1" max="1" width="77.5703125" customWidth="1"/>
    <col min="3" max="4" width="9.140625" style="87"/>
    <col min="5" max="5" width="18.7109375" customWidth="1"/>
  </cols>
  <sheetData>
    <row r="1" spans="1:7" ht="15.75" thickTop="1">
      <c r="A1" s="83" t="s">
        <v>15</v>
      </c>
      <c r="B1" s="7" t="s">
        <v>18</v>
      </c>
      <c r="E1" s="8" t="s">
        <v>19</v>
      </c>
    </row>
    <row r="2" spans="1:7" ht="15.75" thickBot="1">
      <c r="B2" s="4"/>
      <c r="E2" s="4"/>
    </row>
    <row r="3" spans="1:7" ht="15.75" thickBot="1">
      <c r="A3" s="158" t="s">
        <v>12</v>
      </c>
      <c r="B3" s="33" t="b">
        <v>0</v>
      </c>
      <c r="C3" s="87" t="b">
        <f>NOT(B3)</f>
        <v>1</v>
      </c>
      <c r="D3" s="87" t="b">
        <f>AND(C11,B19,B28,B4,OR(B3:C3))</f>
        <v>0</v>
      </c>
      <c r="E3" s="4" t="b">
        <f>IF(D3,random!K7)</f>
        <v>0</v>
      </c>
    </row>
    <row r="4" spans="1:7" ht="15.75" thickBot="1">
      <c r="A4" s="158" t="s">
        <v>13</v>
      </c>
      <c r="B4" s="33" t="b">
        <v>0</v>
      </c>
      <c r="C4" s="87" t="b">
        <f t="shared" ref="C4:C14" si="0">NOT(B4)</f>
        <v>1</v>
      </c>
      <c r="D4" s="87" t="b">
        <f>AND(C8,B28,OR(B3:C4),OR(B18:B19))</f>
        <v>0</v>
      </c>
      <c r="E4" s="4" t="b">
        <f>IF(D4,random!K8)</f>
        <v>0</v>
      </c>
    </row>
    <row r="5" spans="1:7" ht="15.75" thickBot="1">
      <c r="A5" s="161" t="s">
        <v>457</v>
      </c>
      <c r="B5" s="33" t="b">
        <v>0</v>
      </c>
      <c r="C5" s="87" t="b">
        <f t="shared" si="0"/>
        <v>1</v>
      </c>
      <c r="D5" s="87" t="b">
        <f>AND(B19,B31,B29,OR(B3:C4))</f>
        <v>0</v>
      </c>
      <c r="E5" s="4" t="b">
        <f>IF(D5,random!K9)</f>
        <v>0</v>
      </c>
    </row>
    <row r="6" spans="1:7" ht="15.75" thickBot="1">
      <c r="A6" s="161" t="s">
        <v>23</v>
      </c>
      <c r="B6" s="33" t="b">
        <v>0</v>
      </c>
      <c r="C6" s="87" t="b">
        <f t="shared" si="0"/>
        <v>1</v>
      </c>
      <c r="D6" s="87" t="b">
        <f>AND(B19,B27,C3,OR(B4:C4))</f>
        <v>0</v>
      </c>
      <c r="E6" s="4" t="b">
        <f>IF(D6,random!K10)</f>
        <v>0</v>
      </c>
    </row>
    <row r="7" spans="1:7" ht="15.75" thickBot="1">
      <c r="A7" s="161" t="s">
        <v>387</v>
      </c>
      <c r="B7" s="33" t="b">
        <v>0</v>
      </c>
      <c r="C7" s="87" t="b">
        <f t="shared" si="0"/>
        <v>1</v>
      </c>
      <c r="D7" s="87" t="b">
        <f>AND(C3,B27,B19,OR(B4:C4))</f>
        <v>0</v>
      </c>
      <c r="E7" s="4" t="b">
        <f>IF(D7,random!K11)</f>
        <v>0</v>
      </c>
    </row>
    <row r="8" spans="1:7" ht="15.75" thickBot="1">
      <c r="A8" s="161" t="s">
        <v>587</v>
      </c>
      <c r="B8" s="33" t="b">
        <v>0</v>
      </c>
      <c r="C8" s="87" t="b">
        <f t="shared" si="0"/>
        <v>1</v>
      </c>
      <c r="D8" s="87" t="b">
        <f>AND(C3,C11,B20,B27,OR(B4:C4))</f>
        <v>0</v>
      </c>
      <c r="E8" s="4" t="b">
        <f>IF(D8,random!K12)</f>
        <v>0</v>
      </c>
    </row>
    <row r="9" spans="1:7" ht="15.75" thickBot="1">
      <c r="A9" s="158" t="s">
        <v>385</v>
      </c>
      <c r="B9" s="33" t="b">
        <v>0</v>
      </c>
      <c r="C9" s="87" t="b">
        <f t="shared" si="0"/>
        <v>1</v>
      </c>
      <c r="D9" s="87" t="b">
        <f>AND(C9,C5,C6,B20,B27,OR(B3:C4))</f>
        <v>0</v>
      </c>
      <c r="E9" s="4" t="b">
        <f>IF(D9,random!K13)</f>
        <v>0</v>
      </c>
    </row>
    <row r="10" spans="1:7" ht="15.75" thickBot="1">
      <c r="A10" s="161" t="s">
        <v>17</v>
      </c>
      <c r="B10" s="33" t="b">
        <v>0</v>
      </c>
      <c r="C10" s="87" t="b">
        <f t="shared" si="0"/>
        <v>1</v>
      </c>
      <c r="D10" s="87" t="b">
        <f>AND(C11,OR(B21,B19,B22,B27,B28))</f>
        <v>0</v>
      </c>
      <c r="E10" s="137" t="b">
        <f>IF(D10,random!K14)</f>
        <v>0</v>
      </c>
    </row>
    <row r="11" spans="1:7" ht="15.75" thickBot="1">
      <c r="A11" s="158" t="s">
        <v>1152</v>
      </c>
      <c r="B11" s="33" t="b">
        <v>0</v>
      </c>
      <c r="C11" s="87" t="b">
        <f t="shared" si="0"/>
        <v>1</v>
      </c>
      <c r="D11" s="87" t="b">
        <f>AND(C3,B4,B18,OR(B27,B28))</f>
        <v>0</v>
      </c>
      <c r="E11" s="4" t="b">
        <f>IF(D11,random!K15)</f>
        <v>0</v>
      </c>
      <c r="G11" s="2"/>
    </row>
    <row r="12" spans="1:7" ht="15.75" thickBot="1">
      <c r="A12" s="158" t="s">
        <v>591</v>
      </c>
      <c r="B12" s="33" t="b">
        <v>0</v>
      </c>
      <c r="C12" s="87" t="b">
        <f t="shared" si="0"/>
        <v>1</v>
      </c>
      <c r="D12" s="87" t="b">
        <f>AND(C11,B21,B29,OR(B3:C4))</f>
        <v>0</v>
      </c>
      <c r="E12" s="4" t="b">
        <f>IF(D12,random!K16)</f>
        <v>0</v>
      </c>
      <c r="G12" s="2"/>
    </row>
    <row r="13" spans="1:7" ht="15.75" thickBot="1">
      <c r="A13" s="158" t="s">
        <v>1939</v>
      </c>
      <c r="B13" s="33" t="b">
        <v>0</v>
      </c>
      <c r="E13" s="4" t="b">
        <f>IF(D14,random!K17)</f>
        <v>0</v>
      </c>
      <c r="G13" s="2"/>
    </row>
    <row r="14" spans="1:7" ht="15.75" thickBot="1">
      <c r="A14" s="158" t="s">
        <v>1934</v>
      </c>
      <c r="B14" s="33" t="b">
        <v>0</v>
      </c>
      <c r="C14" s="87" t="b">
        <f t="shared" si="0"/>
        <v>1</v>
      </c>
      <c r="D14" s="87" t="b">
        <f>AND(B4,B21,B27,OR(B3:C3))</f>
        <v>0</v>
      </c>
      <c r="E14" s="4" t="b">
        <f>IF(D15,random!K18)</f>
        <v>0</v>
      </c>
      <c r="G14" s="2"/>
    </row>
    <row r="15" spans="1:7" ht="15.75" thickBot="1">
      <c r="A15" s="78"/>
      <c r="B15" s="79"/>
      <c r="D15" s="87" t="b">
        <f>AND(B21,B27,B4,OR(B3:C3))</f>
        <v>0</v>
      </c>
      <c r="E15" s="4" t="b">
        <f>IF(D16,random!K19)</f>
        <v>0</v>
      </c>
      <c r="G15" s="2"/>
    </row>
    <row r="16" spans="1:7" ht="15.75" thickTop="1">
      <c r="A16" s="82" t="s">
        <v>14</v>
      </c>
      <c r="B16" s="7" t="s">
        <v>18</v>
      </c>
      <c r="D16" s="87" t="b">
        <f>AND(B4,B23,B27,OR(B3:C3))</f>
        <v>0</v>
      </c>
      <c r="E16" s="4" t="b">
        <f>IF(D18,random!K22)</f>
        <v>0</v>
      </c>
      <c r="G16" s="2"/>
    </row>
    <row r="17" spans="1:7" ht="15.75" thickBot="1">
      <c r="A17" s="81"/>
      <c r="B17" s="6"/>
      <c r="D17" s="87" t="e">
        <f>AND(B4,#REF!,OR(B3:C3))</f>
        <v>#REF!</v>
      </c>
      <c r="E17" s="4" t="b">
        <f>IF(D19,random!K23)</f>
        <v>0</v>
      </c>
      <c r="G17" s="2"/>
    </row>
    <row r="18" spans="1:7" ht="16.5" thickTop="1" thickBot="1">
      <c r="A18" s="1" t="s">
        <v>469</v>
      </c>
      <c r="B18" s="33" t="b">
        <v>0</v>
      </c>
      <c r="C18" s="216" t="b">
        <f>NOT(B18)</f>
        <v>1</v>
      </c>
      <c r="D18" s="87" t="b">
        <f>AND(C3,B4,B19)</f>
        <v>0</v>
      </c>
      <c r="E18" s="4" t="b">
        <f>IF(D20,random!K24)</f>
        <v>0</v>
      </c>
    </row>
    <row r="19" spans="1:7" ht="15.75" thickBot="1">
      <c r="A19" s="1" t="s">
        <v>470</v>
      </c>
      <c r="B19" s="33" t="b">
        <v>0</v>
      </c>
      <c r="C19" s="216" t="b">
        <f t="shared" ref="C19:C23" si="1">NOT(B19)</f>
        <v>1</v>
      </c>
      <c r="D19" s="87" t="b">
        <f>AND(C3,B19,OR(B4:C4))</f>
        <v>0</v>
      </c>
      <c r="E19" s="137" t="b">
        <f>IF(D21,random!K25)</f>
        <v>0</v>
      </c>
    </row>
    <row r="20" spans="1:7" ht="15.75" thickBot="1">
      <c r="A20" s="1" t="s">
        <v>471</v>
      </c>
      <c r="B20" s="33" t="b">
        <v>0</v>
      </c>
      <c r="C20" s="216" t="b">
        <f t="shared" si="1"/>
        <v>1</v>
      </c>
      <c r="D20" s="87" t="b">
        <f>AND(C12,B27,OR(B18,B23,B3:C4))</f>
        <v>0</v>
      </c>
      <c r="E20" s="48" t="b">
        <f>IF(D22,random!K26)</f>
        <v>0</v>
      </c>
    </row>
    <row r="21" spans="1:7" ht="15.75" thickBot="1">
      <c r="A21" s="1" t="s">
        <v>472</v>
      </c>
      <c r="B21" s="33" t="b">
        <v>0</v>
      </c>
      <c r="C21" s="216" t="b">
        <f t="shared" si="1"/>
        <v>1</v>
      </c>
      <c r="D21" s="87" t="b">
        <f>AND(C7,C3,OR(B27:B28,B18,B20,B21))</f>
        <v>0</v>
      </c>
    </row>
    <row r="22" spans="1:7" ht="15.75" thickBot="1">
      <c r="A22" s="1" t="s">
        <v>585</v>
      </c>
      <c r="B22" s="33" t="b">
        <v>0</v>
      </c>
      <c r="C22" s="216" t="b">
        <f t="shared" si="1"/>
        <v>1</v>
      </c>
      <c r="D22" s="87" t="b">
        <f>AND(B18,B21,B23,OR(B3:C4))</f>
        <v>0</v>
      </c>
    </row>
    <row r="23" spans="1:7" ht="15.75" thickBot="1">
      <c r="A23" s="1" t="s">
        <v>588</v>
      </c>
      <c r="B23" s="33" t="b">
        <v>0</v>
      </c>
      <c r="C23" s="216" t="b">
        <f t="shared" si="1"/>
        <v>1</v>
      </c>
    </row>
    <row r="24" spans="1:7" ht="15.75" thickBot="1"/>
    <row r="25" spans="1:7" ht="15.75" thickTop="1">
      <c r="A25" s="82" t="s">
        <v>586</v>
      </c>
      <c r="B25" s="7" t="s">
        <v>18</v>
      </c>
    </row>
    <row r="26" spans="1:7" ht="15.75" thickBot="1">
      <c r="A26" s="84"/>
      <c r="B26" s="47"/>
    </row>
    <row r="27" spans="1:7" ht="16.5" thickTop="1" thickBot="1">
      <c r="A27" s="175" t="s">
        <v>796</v>
      </c>
      <c r="B27" s="80" t="b">
        <v>0</v>
      </c>
      <c r="C27" s="87" t="b">
        <f>NOT(B27)</f>
        <v>1</v>
      </c>
    </row>
    <row r="28" spans="1:7" ht="15.75" thickBot="1">
      <c r="A28" s="172" t="s">
        <v>406</v>
      </c>
      <c r="B28" s="33" t="b">
        <v>0</v>
      </c>
      <c r="C28" s="87" t="b">
        <f t="shared" ref="C28:C31" si="2">NOT(B28)</f>
        <v>1</v>
      </c>
    </row>
    <row r="29" spans="1:7" ht="15.75" thickBot="1">
      <c r="A29" s="165" t="s">
        <v>407</v>
      </c>
      <c r="B29" s="33" t="b">
        <v>0</v>
      </c>
      <c r="C29" s="87" t="b">
        <f t="shared" si="2"/>
        <v>1</v>
      </c>
    </row>
    <row r="30" spans="1:7" ht="15.75" thickBot="1">
      <c r="A30" s="165" t="s">
        <v>803</v>
      </c>
      <c r="B30" s="33" t="b">
        <v>0</v>
      </c>
      <c r="C30" s="87" t="b">
        <f t="shared" si="2"/>
        <v>1</v>
      </c>
    </row>
    <row r="31" spans="1:7" ht="15.75" thickBot="1">
      <c r="A31" s="172" t="s">
        <v>797</v>
      </c>
      <c r="B31" s="33" t="b">
        <v>0</v>
      </c>
      <c r="C31" s="87" t="b">
        <f t="shared" si="2"/>
        <v>1</v>
      </c>
    </row>
  </sheetData>
  <dataValidations xWindow="638" yWindow="582" count="9">
    <dataValidation allowBlank="1" showInputMessage="1" showErrorMessage="1" prompt="Consult your physician if unsure" sqref="A3 A9" xr:uid="{00000000-0002-0000-1100-000000000000}"/>
    <dataValidation allowBlank="1" sqref="A15:A17 A25" xr:uid="{00000000-0002-0000-1100-000001000000}"/>
    <dataValidation allowBlank="1" showInputMessage="1" showErrorMessage="1" prompt="Consult your pharmacist if unsure." sqref="A5:A7 A27" xr:uid="{00000000-0002-0000-1100-000002000000}"/>
    <dataValidation allowBlank="1" showInputMessage="1" showErrorMessage="1" prompt="Consult your pharmacist if unsure._x000a_" sqref="A28:A31" xr:uid="{00000000-0002-0000-1100-000003000000}"/>
    <dataValidation allowBlank="1" showInputMessage="1" showErrorMessage="1" prompt="Consult a physician if unsure." sqref="A18:A19" xr:uid="{00000000-0002-0000-1100-000004000000}"/>
    <dataValidation allowBlank="1" showInputMessage="1" showErrorMessage="1" prompt="Consult your pharmacist if unsure" sqref="A10" xr:uid="{00000000-0002-0000-1100-000005000000}"/>
    <dataValidation allowBlank="1" showInputMessage="1" showErrorMessage="1" prompt="Consult your physician if unsure." sqref="A8 A11:A14" xr:uid="{00000000-0002-0000-1100-000006000000}"/>
    <dataValidation allowBlank="1" showInputMessage="1" showErrorMessage="1" prompt="Consult your pharmacist if unsure " sqref="A4" xr:uid="{00000000-0002-0000-1100-000007000000}"/>
    <dataValidation allowBlank="1" showInputMessage="1" showErrorMessage="1" prompt="Consult a physician if unsure._x000a_" sqref="A20:A23" xr:uid="{00000000-0002-0000-1100-000008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638" yWindow="582" count="20">
        <x14:dataValidation type="list" showInputMessage="1" showErrorMessage="1" error="Please answer as Yes or No" prompt="Some products should be avoided if you have immune supression or are taking immunosuppressive medications." xr:uid="{00000000-0002-0000-1100-000009000000}">
          <x14:formula1>
            <xm:f>random!$A$2:$A$3</xm:f>
          </x14:formula1>
          <xm:sqref>B12</xm:sqref>
        </x14:dataValidation>
        <x14:dataValidation type="list" showInputMessage="1" showErrorMessage="1" error="Please answer as Yes or No" prompt="Consult a physician for nausea/vomitting lasting more than 3 days, of unknown cause, lasting more than 6hrs in a child, significant weight loss, dehydration symptoms, fever or abdominal pain, head trauma, altered consciousness or blood in vomitus." xr:uid="{00000000-0002-0000-1100-00000A000000}">
          <x14:formula1>
            <xm:f>random!$A$2:$A$3</xm:f>
          </x14:formula1>
          <xm:sqref>B20</xm:sqref>
        </x14:dataValidation>
        <x14:dataValidation type="list" showInputMessage="1" showErrorMessage="1" error="Please answer as Yes or No" prompt="Dehydration symptoms include increased thirst, decreased urination, weakness, light-headedness, dry mouth/tongue/skin, few/no tears when crying, sunken eyes, grayish skin, sunken frontanel in enfants and/or decreased skin turgor. Consult a physician." xr:uid="{00000000-0002-0000-1100-00000B000000}">
          <x14:formula1>
            <xm:f>random!$A$2:$A$3</xm:f>
          </x14:formula1>
          <xm:sqref>B22</xm:sqref>
        </x14:dataValidation>
        <x14:dataValidation type="list" showDropDown="1" error="Please answer as Yes or No" xr:uid="{00000000-0002-0000-1100-00000C000000}">
          <x14:formula1>
            <xm:f>random!$A$2:$A$3</xm:f>
          </x14:formula1>
          <xm:sqref>B15:B17 B25</xm:sqref>
        </x14:dataValidation>
        <x14:dataValidation type="list" showInputMessage="1" showErrorMessage="1" error="Please answer as Yes or No" prompt="Anticholinergic and CNS depressants are medications that cause or enhance drowsiness. Avoid use with dimenhydrinate. Consult your pharmacist if unsure." xr:uid="{00000000-0002-0000-1100-00000D000000}">
          <x14:formula1>
            <xm:f>random!$A$2:$A$3</xm:f>
          </x14:formula1>
          <xm:sqref>B6</xm:sqref>
        </x14:dataValidation>
        <x14:dataValidation type="list" showInputMessage="1" showErrorMessage="1" error="Please answer as Yes or No" prompt="Alcohol may enhance the sedative effects of some medications." xr:uid="{00000000-0002-0000-1100-00000E000000}">
          <x14:formula1>
            <xm:f>random!$A$2:$A$3</xm:f>
          </x14:formula1>
          <xm:sqref>B5</xm:sqref>
        </x14:dataValidation>
        <x14:dataValidation type="list" showInputMessage="1" showErrorMessage="1" error="Please answer as Yes or No" prompt="Consult a physician for child &lt;2 yrs old, constipation &gt;2 weeks, absence of bowel movement &gt;7 days. Constipation treatments may reduce/slow absorption/bioavailability of some medications." xr:uid="{00000000-0002-0000-1100-00000F000000}">
          <x14:formula1>
            <xm:f>random!$A$2:$A$3</xm:f>
          </x14:formula1>
          <xm:sqref>B19</xm:sqref>
        </x14:dataValidation>
        <x14:dataValidation type="list" showInputMessage="1" showErrorMessage="1" error="Please answer as Yes or No" prompt="Avoid use of bulk forming agents if taking opioids, have GI obstruction or inadequate hydration due to increased risk of fecal impaction." xr:uid="{00000000-0002-0000-1100-000010000000}">
          <x14:formula1>
            <xm:f>random!$A$2:$A$3</xm:f>
          </x14:formula1>
          <xm:sqref>B8</xm:sqref>
        </x14:dataValidation>
        <x14:dataValidation type="list" showInputMessage="1" showErrorMessage="1" error="Please answer as Yes or No" prompt="Consult your physician for worsening/persistent/chronic diarrhea or severe diarrhea (more than 6 times/day for more than 48 hrs). Consult your physician for diarrhea in a child less than 2 yrs old." xr:uid="{00000000-0002-0000-1100-000011000000}">
          <x14:formula1>
            <xm:f>random!$A$2:$A$3</xm:f>
          </x14:formula1>
          <xm:sqref>B18</xm:sqref>
        </x14:dataValidation>
        <x14:dataValidation type="list" showInputMessage="1" showErrorMessage="1" error="Please answer as Yes or No" prompt="Blood thinners include warfarin, aspirin, clopidogrel, dipyridamole, ticlopidine, ticagrelor, dabigatran, apixaban, rivaroxaban, dalteparin, etc. Bismuth may increase risk of bleeding. Counsult your pharmacist for further information." xr:uid="{00000000-0002-0000-1100-000012000000}">
          <x14:formula1>
            <xm:f>random!$A$2:$A$3</xm:f>
          </x14:formula1>
          <xm:sqref>B7</xm:sqref>
        </x14:dataValidation>
        <x14:dataValidation type="list" showInputMessage="1" showErrorMessage="1" error="Please answer as Yes or No" prompt="Consult your physician in presence of chest pain, choking or difficult/painful swallowing. Consult your physician for moderate to severe, frequent or persistent heartburn (remain after 14 days or incompletely relieved by medication).  " xr:uid="{00000000-0002-0000-1100-000013000000}">
          <x14:formula1>
            <xm:f>random!$A$2:$A$3</xm:f>
          </x14:formula1>
          <xm:sqref>B21</xm:sqref>
        </x14:dataValidation>
        <x14:dataValidation type="list" showInputMessage="1" showErrorMessage="1" error="Please answer as Yes or No" prompt="Avoid use of magnesium or aluminum salts due to toxicity risk in presence of kidney disease." xr:uid="{00000000-0002-0000-1100-000014000000}">
          <x14:formula1>
            <xm:f>random!$A$2:$A$3</xm:f>
          </x14:formula1>
          <xm:sqref>B11</xm:sqref>
        </x14:dataValidation>
        <x14:dataValidation type="list" showInputMessage="1" showErrorMessage="1" error="Please answer as Yes or No" prompt="Consult your physician for sudden change in flatulence with moderate to severe abdominal pain, nausea, vomitting, fever or chills. Patients with diabetes, celiac, severe symptoms of gastrointestinal disease should consult their physician. " xr:uid="{00000000-0002-0000-1100-000015000000}">
          <x14:formula1>
            <xm:f>random!$A$2:$A$3</xm:f>
          </x14:formula1>
          <xm:sqref>B23</xm:sqref>
        </x14:dataValidation>
        <x14:dataValidation type="list" showInputMessage="1" showErrorMessage="1" error="Please answer as Yes or No" prompt="MAOIs include safinamide, linezolid, procarbazine, amphetamines (ADHD meds), methylene blue, rasagiline, moclobemide, selegiline, phenelzine and tranylcypromine. Consult your pharmacist if unsure." xr:uid="{00000000-0002-0000-1100-000016000000}">
          <x14:formula1>
            <xm:f>random!$A$2:$A$3</xm:f>
          </x14:formula1>
          <xm:sqref>B10</xm:sqref>
        </x14:dataValidation>
        <x14:dataValidation type="list" showInputMessage="1" showErrorMessage="1" error="Please answer as Yes or No" prompt="Some medications may worsen hypertension, glaucoma, hyperthyroidism and seizures. Avoid use if you have these conditions. Gravol may worsen glaucoma and prostatic hypertrophy." xr:uid="{00000000-0002-0000-1100-000017000000}">
          <x14:formula1>
            <xm:f>random!$A$2:$A$3</xm:f>
          </x14:formula1>
          <xm:sqref>B9</xm:sqref>
        </x14:dataValidation>
        <x14:dataValidation type="list" showInputMessage="1" showErrorMessage="1" error="Please answer as Yes or No" prompt="Consult your pharmacist if unsure." xr:uid="{00000000-0002-0000-1100-000018000000}">
          <x14:formula1>
            <xm:f>random!$A$2:$A$3</xm:f>
          </x14:formula1>
          <xm:sqref>B27:B31</xm:sqref>
        </x14:dataValidation>
        <x14:dataValidation type="list" showInputMessage="1" showErrorMessage="1" error="Please answer as Yes or No" prompt="Use of antacids containing magnesium trisilicate and/or famotidine should be avoided in pregnancy." xr:uid="{00000000-0002-0000-1100-000019000000}">
          <x14:formula1>
            <xm:f>random!$A$2:$A$3</xm:f>
          </x14:formula1>
          <xm:sqref>B3</xm:sqref>
        </x14:dataValidation>
        <x14:dataValidation type="list" showInputMessage="1" showErrorMessage="1" error="Please answer as Yes or No" prompt="Children with flu like symptoms or chicken pox should avoid pepto-bismol due to risk of Reye syndrome" xr:uid="{00000000-0002-0000-1100-00001A000000}">
          <x14:formula1>
            <xm:f>random!$A$2:$A$3</xm:f>
          </x14:formula1>
          <xm:sqref>B4</xm:sqref>
        </x14:dataValidation>
        <x14:dataValidation type="list" showInputMessage="1" showErrorMessage="1" error="Please answer as Yes or No" prompt="Some products may contain sugar or worsen blood glucose and should be avoided by diabetics." xr:uid="{00000000-0002-0000-1100-00001B000000}">
          <x14:formula1>
            <xm:f>random!$A$2:$A$3</xm:f>
          </x14:formula1>
          <xm:sqref>B14</xm:sqref>
        </x14:dataValidation>
        <x14:dataValidation type="list" showInputMessage="1" showErrorMessage="1" error="Please answer as Yes or No" prompt="Some products may help digest lactose and reduce lactose intolerance symptoms." xr:uid="{00000000-0002-0000-1100-00001C000000}">
          <x14:formula1>
            <xm:f>random!$A$2:$A$3</xm:f>
          </x14:formula1>
          <xm:sqref>B13</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129"/>
  <sheetViews>
    <sheetView topLeftCell="K4" workbookViewId="0">
      <selection activeCell="AE2" sqref="AE2"/>
    </sheetView>
  </sheetViews>
  <sheetFormatPr defaultRowHeight="15"/>
  <cols>
    <col min="1" max="1" width="67.140625" customWidth="1"/>
    <col min="2" max="3" width="10.28515625" customWidth="1"/>
    <col min="4" max="5" width="9.140625" customWidth="1"/>
    <col min="6" max="9" width="9.5703125" customWidth="1"/>
    <col min="10" max="10" width="10.7109375" customWidth="1"/>
    <col min="11" max="11" width="6.85546875" customWidth="1"/>
    <col min="12" max="14" width="11" customWidth="1"/>
    <col min="15" max="15" width="8.28515625" customWidth="1"/>
    <col min="16" max="16" width="9" customWidth="1"/>
    <col min="17" max="20" width="11" customWidth="1"/>
    <col min="21" max="21" width="11.28515625" customWidth="1"/>
    <col min="22" max="22" width="11" customWidth="1"/>
    <col min="23" max="24" width="7.42578125" customWidth="1"/>
    <col min="25" max="25" width="12" customWidth="1"/>
    <col min="26" max="26" width="9.28515625" customWidth="1"/>
    <col min="27" max="31" width="12" customWidth="1"/>
    <col min="32" max="32" width="73.140625" customWidth="1"/>
  </cols>
  <sheetData>
    <row r="1" spans="1:32">
      <c r="A1" s="70" t="s">
        <v>1248</v>
      </c>
      <c r="B1" s="124" t="s">
        <v>1903</v>
      </c>
      <c r="C1" s="124" t="s">
        <v>1938</v>
      </c>
      <c r="D1" s="124" t="s">
        <v>1716</v>
      </c>
      <c r="E1" s="124" t="s">
        <v>915</v>
      </c>
      <c r="F1" s="124" t="s">
        <v>1896</v>
      </c>
      <c r="G1" s="124" t="s">
        <v>1471</v>
      </c>
      <c r="H1" s="124" t="s">
        <v>1931</v>
      </c>
      <c r="I1" s="124" t="s">
        <v>1932</v>
      </c>
      <c r="J1" s="124" t="s">
        <v>1933</v>
      </c>
      <c r="K1" t="s">
        <v>373</v>
      </c>
      <c r="L1" t="s">
        <v>520</v>
      </c>
      <c r="M1" t="s">
        <v>374</v>
      </c>
      <c r="N1" t="s">
        <v>375</v>
      </c>
      <c r="O1" t="s">
        <v>376</v>
      </c>
      <c r="P1" t="s">
        <v>418</v>
      </c>
      <c r="Q1" t="s">
        <v>428</v>
      </c>
      <c r="R1" s="204" t="s">
        <v>1937</v>
      </c>
      <c r="S1" s="204" t="s">
        <v>1936</v>
      </c>
      <c r="T1" s="204" t="s">
        <v>1935</v>
      </c>
      <c r="U1" t="s">
        <v>377</v>
      </c>
      <c r="V1" t="s">
        <v>378</v>
      </c>
      <c r="W1" t="s">
        <v>477</v>
      </c>
      <c r="X1" t="s">
        <v>379</v>
      </c>
      <c r="Y1" t="s">
        <v>380</v>
      </c>
      <c r="Z1" s="204" t="s">
        <v>514</v>
      </c>
      <c r="AA1" t="s">
        <v>492</v>
      </c>
      <c r="AB1" t="s">
        <v>493</v>
      </c>
      <c r="AC1" s="204" t="s">
        <v>304</v>
      </c>
      <c r="AD1" t="s">
        <v>401</v>
      </c>
      <c r="AE1" t="s">
        <v>381</v>
      </c>
      <c r="AF1" t="s">
        <v>382</v>
      </c>
    </row>
    <row r="2" spans="1:32">
      <c r="A2" t="b">
        <f>IF(Table8[[#This Row],[Column12]],Table8[[#This Row],[Column13]])</f>
        <v>0</v>
      </c>
      <c r="B2" s="17"/>
      <c r="C2" s="20" t="b">
        <f>AND('GastroIntestinal Criteria'!C3)</f>
        <v>1</v>
      </c>
      <c r="D2" s="20" t="b">
        <f>AND('GastroIntestinal Criteria'!B4)</f>
        <v>0</v>
      </c>
      <c r="E2" s="17"/>
      <c r="F2" s="20" t="b">
        <f>AND('GastroIntestinal Criteria'!B27,'GastroIntestinal Criteria'!C28,'GastroIntestinal Criteria'!C31)</f>
        <v>0</v>
      </c>
      <c r="G2" s="17"/>
      <c r="H2" s="17"/>
      <c r="I2" s="20" t="b">
        <f>AND('GastroIntestinal Criteria'!B29,'GastroIntestinal Criteria'!C30)</f>
        <v>0</v>
      </c>
      <c r="J2" s="17"/>
      <c r="K2" s="17"/>
      <c r="L2" s="17"/>
      <c r="M2" s="17"/>
      <c r="N2" s="17"/>
      <c r="O2" s="17"/>
      <c r="P2" s="17"/>
      <c r="Q2" s="17"/>
      <c r="R2" s="17"/>
      <c r="S2" s="17"/>
      <c r="T2" s="17"/>
      <c r="U2" s="20" t="b">
        <f>AND('GastroIntestinal Criteria'!B18,'GastroIntestinal Criteria'!C19)</f>
        <v>0</v>
      </c>
      <c r="V2" s="17"/>
      <c r="W2" s="17"/>
      <c r="X2" s="17"/>
      <c r="Y2" s="17"/>
      <c r="Z2" s="17"/>
      <c r="AA2" s="17"/>
      <c r="AB2" s="17"/>
      <c r="AC2" s="17"/>
      <c r="AD2" s="17"/>
      <c r="AE2" t="b">
        <f>AND(Table8[[#This Row],[Pregnant]:[Bismuth]])</f>
        <v>0</v>
      </c>
      <c r="AF2" s="11" t="s">
        <v>402</v>
      </c>
    </row>
    <row r="3" spans="1:32">
      <c r="A3" t="b">
        <f>IF(Table8[[#This Row],[Column12]],Table8[[#This Row],[Column13]])</f>
        <v>0</v>
      </c>
      <c r="B3" s="17"/>
      <c r="C3" s="20" t="b">
        <f>C2</f>
        <v>1</v>
      </c>
      <c r="D3" s="20" t="b">
        <f>D2</f>
        <v>0</v>
      </c>
      <c r="E3" s="17"/>
      <c r="F3" s="17"/>
      <c r="G3" s="20" t="b">
        <f>AND('GastroIntestinal Criteria'!B28,'GastroIntestinal Criteria'!C27,'GastroIntestinal Criteria'!C31)</f>
        <v>0</v>
      </c>
      <c r="H3" s="17"/>
      <c r="I3" s="20" t="b">
        <f>I2</f>
        <v>0</v>
      </c>
      <c r="J3" s="17"/>
      <c r="K3" s="17"/>
      <c r="L3" s="17"/>
      <c r="M3" s="17"/>
      <c r="N3" s="17"/>
      <c r="O3" s="17"/>
      <c r="P3" s="17"/>
      <c r="Q3" s="17"/>
      <c r="R3" s="17"/>
      <c r="S3" s="17"/>
      <c r="T3" s="17"/>
      <c r="U3" s="20" t="b">
        <f>U2</f>
        <v>0</v>
      </c>
      <c r="V3" s="17"/>
      <c r="W3" s="17"/>
      <c r="X3" s="17"/>
      <c r="Y3" s="17"/>
      <c r="Z3" s="17"/>
      <c r="AA3" s="17"/>
      <c r="AB3" s="17"/>
      <c r="AC3" s="17"/>
      <c r="AD3" s="17"/>
      <c r="AE3" t="b">
        <f>AND(Table8[[#This Row],[Pregnant]:[Bismuth]])</f>
        <v>0</v>
      </c>
      <c r="AF3" s="11" t="s">
        <v>403</v>
      </c>
    </row>
    <row r="4" spans="1:32">
      <c r="A4" t="b">
        <f>IF(Table8[[#This Row],[Column12]],Table8[[#This Row],[Column13]])</f>
        <v>0</v>
      </c>
      <c r="B4" s="17"/>
      <c r="C4" s="20" t="b">
        <f>C2</f>
        <v>1</v>
      </c>
      <c r="D4" s="20" t="b">
        <f>D2</f>
        <v>0</v>
      </c>
      <c r="E4" s="17"/>
      <c r="F4" s="20" t="b">
        <f>F2</f>
        <v>0</v>
      </c>
      <c r="G4" s="17"/>
      <c r="H4" s="17"/>
      <c r="I4" s="20" t="b">
        <f>I2</f>
        <v>0</v>
      </c>
      <c r="J4" s="17"/>
      <c r="K4" s="17"/>
      <c r="L4" s="17"/>
      <c r="M4" s="17"/>
      <c r="N4" s="17"/>
      <c r="O4" s="17"/>
      <c r="P4" s="17"/>
      <c r="Q4" s="17"/>
      <c r="R4" s="17"/>
      <c r="S4" s="17"/>
      <c r="T4" s="17"/>
      <c r="U4" s="20" t="b">
        <f>U2</f>
        <v>0</v>
      </c>
      <c r="V4" s="17"/>
      <c r="W4" s="17"/>
      <c r="X4" s="17"/>
      <c r="Y4" s="17"/>
      <c r="Z4" s="17"/>
      <c r="AA4" s="17"/>
      <c r="AB4" s="17"/>
      <c r="AC4" s="17"/>
      <c r="AD4" s="17"/>
      <c r="AE4" t="b">
        <f>AND(Table8[[#This Row],[Pregnant]:[Bismuth]])</f>
        <v>0</v>
      </c>
      <c r="AF4" s="11" t="s">
        <v>404</v>
      </c>
    </row>
    <row r="5" spans="1:32">
      <c r="A5" t="b">
        <f>IF(Table8[[#This Row],[Column12]],Table8[[#This Row],[Column13]])</f>
        <v>0</v>
      </c>
      <c r="B5" s="17"/>
      <c r="C5" s="20" t="b">
        <f>C2</f>
        <v>1</v>
      </c>
      <c r="D5" s="20" t="b">
        <f>D2</f>
        <v>0</v>
      </c>
      <c r="E5" s="17"/>
      <c r="F5" s="20" t="b">
        <f>F2</f>
        <v>0</v>
      </c>
      <c r="G5" s="17"/>
      <c r="H5" s="17"/>
      <c r="I5" s="20" t="b">
        <f>I2</f>
        <v>0</v>
      </c>
      <c r="J5" s="17"/>
      <c r="K5" s="17"/>
      <c r="L5" s="17"/>
      <c r="M5" s="17"/>
      <c r="N5" s="17"/>
      <c r="O5" s="17"/>
      <c r="P5" s="17"/>
      <c r="Q5" s="17"/>
      <c r="R5" s="17"/>
      <c r="S5" s="17"/>
      <c r="T5" s="17"/>
      <c r="U5" s="20" t="b">
        <f>U2</f>
        <v>0</v>
      </c>
      <c r="V5" s="17"/>
      <c r="W5" s="17"/>
      <c r="X5" s="17"/>
      <c r="Y5" s="20" t="b">
        <f>AND('GastroIntestinal Criteria'!B23,'GastroIntestinal Criteria'!C22)</f>
        <v>0</v>
      </c>
      <c r="Z5" s="17"/>
      <c r="AA5" s="17"/>
      <c r="AB5" s="17"/>
      <c r="AC5" s="17"/>
      <c r="AD5" s="17"/>
      <c r="AE5" t="b">
        <f>AND(Table8[[#This Row],[Pregnant]:[Bismuth]])</f>
        <v>0</v>
      </c>
      <c r="AF5" s="11" t="s">
        <v>405</v>
      </c>
    </row>
    <row r="6" spans="1:32">
      <c r="A6" s="16" t="b">
        <f>IF(Table8[[#This Row],[Column12]],Table8[[#This Row],[Column13]])</f>
        <v>0</v>
      </c>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row>
    <row r="7" spans="1:32">
      <c r="A7" t="b">
        <f>IF(Table8[[#This Row],[Column12]],Table8[[#This Row],[Column13]])</f>
        <v>0</v>
      </c>
      <c r="B7" s="20" t="b">
        <f>OR('GastroIntestinal Criteria'!B3:C3)</f>
        <v>1</v>
      </c>
      <c r="C7" s="17"/>
      <c r="D7" s="20" t="b">
        <f>D2</f>
        <v>0</v>
      </c>
      <c r="E7" s="17"/>
      <c r="F7" s="17"/>
      <c r="G7" s="20" t="b">
        <f>G3</f>
        <v>0</v>
      </c>
      <c r="H7" s="17"/>
      <c r="I7" s="17"/>
      <c r="J7" s="20" t="b">
        <f>AND('GastroIntestinal Criteria'!B30,'GastroIntestinal Criteria'!C29)</f>
        <v>0</v>
      </c>
      <c r="K7" s="20" t="b">
        <f>AND('GastroIntestinal Criteria'!C11,'GastroIntestinal Criteria'!B19,'GastroIntestinal Criteria'!C18,'GastroIntestinal Criteria'!C20,'GastroIntestinal Criteria'!C22)</f>
        <v>0</v>
      </c>
      <c r="L7" s="17"/>
      <c r="M7" s="17"/>
      <c r="N7" s="17"/>
      <c r="O7" s="17"/>
      <c r="P7" s="17"/>
      <c r="Q7" s="17"/>
      <c r="R7" s="17"/>
      <c r="S7" s="17"/>
      <c r="T7" s="17"/>
      <c r="U7" s="17"/>
      <c r="V7" s="17"/>
      <c r="W7" s="17"/>
      <c r="X7" s="17"/>
      <c r="Y7" s="17"/>
      <c r="Z7" s="17"/>
      <c r="AA7" s="17"/>
      <c r="AB7" s="17"/>
      <c r="AC7" s="17"/>
      <c r="AD7" s="17"/>
      <c r="AE7" t="b">
        <f>AND(Table8[[#This Row],[Pregnant]:[Bismuth]])</f>
        <v>0</v>
      </c>
      <c r="AF7" s="11" t="s">
        <v>408</v>
      </c>
    </row>
    <row r="8" spans="1:32">
      <c r="A8" s="16" t="b">
        <f>IF(Table8[[#This Row],[Column12]],Table8[[#This Row],[Column13]])</f>
        <v>0</v>
      </c>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row>
    <row r="9" spans="1:32">
      <c r="A9" t="b">
        <f>IF(Table8[[#This Row],[Column12]],Table8[[#This Row],[Column13]])</f>
        <v>0</v>
      </c>
      <c r="B9" s="20" t="b">
        <f>B7</f>
        <v>1</v>
      </c>
      <c r="C9" s="17"/>
      <c r="D9" s="17"/>
      <c r="E9" s="20" t="b">
        <f>OR('GastroIntestinal Criteria'!B4:C4)</f>
        <v>1</v>
      </c>
      <c r="F9" s="17"/>
      <c r="G9" s="20" t="b">
        <f>G3</f>
        <v>0</v>
      </c>
      <c r="H9" s="17"/>
      <c r="I9" s="17"/>
      <c r="J9" s="20" t="b">
        <f>J7</f>
        <v>0</v>
      </c>
      <c r="K9" s="17"/>
      <c r="L9" s="20" t="b">
        <f>AND('GastroIntestinal Criteria'!C8,OR('GastroIntestinal Criteria'!B18:B19),'GastroIntestinal Criteria'!C20:C22)</f>
        <v>0</v>
      </c>
      <c r="M9" s="17"/>
      <c r="N9" s="17"/>
      <c r="O9" s="17"/>
      <c r="P9" s="17"/>
      <c r="Q9" s="17"/>
      <c r="R9" s="17"/>
      <c r="S9" s="17"/>
      <c r="T9" s="17"/>
      <c r="U9" s="17"/>
      <c r="V9" s="17"/>
      <c r="W9" s="17"/>
      <c r="X9" s="17"/>
      <c r="Y9" s="17"/>
      <c r="Z9" s="17"/>
      <c r="AA9" s="17"/>
      <c r="AB9" s="17"/>
      <c r="AC9" s="17"/>
      <c r="AD9" s="17"/>
      <c r="AE9" t="b">
        <f>AND(Table8[[#This Row],[Pregnant]:[Bismuth]])</f>
        <v>0</v>
      </c>
      <c r="AF9" s="29" t="s">
        <v>411</v>
      </c>
    </row>
    <row r="10" spans="1:32">
      <c r="A10" t="b">
        <f>IF(Table8[[#This Row],[Column12]],Table8[[#This Row],[Column13]])</f>
        <v>0</v>
      </c>
      <c r="B10" s="20" t="b">
        <f>B7</f>
        <v>1</v>
      </c>
      <c r="C10" s="17"/>
      <c r="D10" s="17"/>
      <c r="E10" s="20" t="b">
        <f>E9</f>
        <v>1</v>
      </c>
      <c r="F10" s="17"/>
      <c r="G10" s="20" t="b">
        <f>G3</f>
        <v>0</v>
      </c>
      <c r="H10" s="17"/>
      <c r="I10" s="17"/>
      <c r="J10" s="20" t="b">
        <f>J7</f>
        <v>0</v>
      </c>
      <c r="K10" s="17"/>
      <c r="L10" s="20" t="b">
        <f>L9</f>
        <v>0</v>
      </c>
      <c r="M10" s="17"/>
      <c r="N10" s="17"/>
      <c r="O10" s="17"/>
      <c r="P10" s="17"/>
      <c r="Q10" s="17"/>
      <c r="R10" s="17"/>
      <c r="S10" s="17"/>
      <c r="T10" s="17"/>
      <c r="U10" s="17"/>
      <c r="V10" s="17"/>
      <c r="W10" s="17"/>
      <c r="X10" s="17"/>
      <c r="Y10" s="17"/>
      <c r="Z10" s="17"/>
      <c r="AA10" s="17"/>
      <c r="AB10" s="17"/>
      <c r="AC10" s="17"/>
      <c r="AD10" s="17"/>
      <c r="AE10" t="b">
        <f>AND(Table8[[#This Row],[Pregnant]:[Bismuth]])</f>
        <v>0</v>
      </c>
      <c r="AF10" s="29" t="s">
        <v>412</v>
      </c>
    </row>
    <row r="11" spans="1:32">
      <c r="A11" t="b">
        <f>IF(Table8[[#This Row],[Column12]],Table8[[#This Row],[Column13]])</f>
        <v>0</v>
      </c>
      <c r="B11" s="20" t="b">
        <f>B7</f>
        <v>1</v>
      </c>
      <c r="C11" s="17"/>
      <c r="D11" s="17"/>
      <c r="E11" s="20" t="b">
        <f>E9</f>
        <v>1</v>
      </c>
      <c r="F11" s="20" t="b">
        <f>F2</f>
        <v>0</v>
      </c>
      <c r="G11" s="17"/>
      <c r="H11" s="17"/>
      <c r="I11" s="17"/>
      <c r="J11" s="20" t="b">
        <f>J7</f>
        <v>0</v>
      </c>
      <c r="K11" s="17"/>
      <c r="L11" s="20" t="b">
        <f>L9</f>
        <v>0</v>
      </c>
      <c r="M11" s="17"/>
      <c r="N11" s="17"/>
      <c r="O11" s="17"/>
      <c r="P11" s="17"/>
      <c r="Q11" s="17"/>
      <c r="R11" s="17"/>
      <c r="S11" s="17"/>
      <c r="T11" s="17"/>
      <c r="U11" s="17"/>
      <c r="V11" s="17"/>
      <c r="W11" s="17"/>
      <c r="X11" s="17"/>
      <c r="Y11" s="17"/>
      <c r="Z11" s="17"/>
      <c r="AA11" s="17"/>
      <c r="AB11" s="17"/>
      <c r="AC11" s="17"/>
      <c r="AD11" s="17"/>
      <c r="AE11" t="b">
        <f>AND(Table8[[#This Row],[Pregnant]:[Bismuth]])</f>
        <v>0</v>
      </c>
      <c r="AF11" s="29" t="s">
        <v>409</v>
      </c>
    </row>
    <row r="12" spans="1:32">
      <c r="A12" t="b">
        <f>IF(Table8[[#This Row],[Column12]],Table8[[#This Row],[Column13]])</f>
        <v>0</v>
      </c>
      <c r="B12" s="20" t="b">
        <f>B7</f>
        <v>1</v>
      </c>
      <c r="C12" s="17"/>
      <c r="D12" s="17"/>
      <c r="E12" s="20" t="b">
        <f>E9</f>
        <v>1</v>
      </c>
      <c r="F12" s="17"/>
      <c r="G12" s="20" t="b">
        <f>G3</f>
        <v>0</v>
      </c>
      <c r="H12" s="17"/>
      <c r="I12" s="17"/>
      <c r="J12" s="20" t="b">
        <f>J7</f>
        <v>0</v>
      </c>
      <c r="K12" s="17"/>
      <c r="L12" s="20" t="b">
        <f>L9</f>
        <v>0</v>
      </c>
      <c r="M12" s="17"/>
      <c r="N12" s="17"/>
      <c r="O12" s="17"/>
      <c r="P12" s="17"/>
      <c r="Q12" s="17"/>
      <c r="R12" s="17"/>
      <c r="S12" s="17"/>
      <c r="T12" s="17"/>
      <c r="U12" s="17"/>
      <c r="V12" s="17"/>
      <c r="W12" s="17"/>
      <c r="X12" s="17"/>
      <c r="Y12" s="17"/>
      <c r="Z12" s="17"/>
      <c r="AA12" s="17"/>
      <c r="AB12" s="17"/>
      <c r="AC12" s="17"/>
      <c r="AD12" s="17"/>
      <c r="AE12" t="b">
        <f>AND(Table8[[#This Row],[Pregnant]:[Bismuth]])</f>
        <v>0</v>
      </c>
      <c r="AF12" s="29" t="s">
        <v>413</v>
      </c>
    </row>
    <row r="13" spans="1:32">
      <c r="A13" t="b">
        <f>IF(Table8[[#This Row],[Column12]],Table8[[#This Row],[Column13]])</f>
        <v>0</v>
      </c>
      <c r="B13" s="20" t="b">
        <f>B7</f>
        <v>1</v>
      </c>
      <c r="C13" s="17"/>
      <c r="D13" s="17"/>
      <c r="E13" s="20" t="b">
        <f>E9</f>
        <v>1</v>
      </c>
      <c r="F13" s="17"/>
      <c r="G13" s="20" t="b">
        <f>G3</f>
        <v>0</v>
      </c>
      <c r="H13" s="17"/>
      <c r="I13" s="17"/>
      <c r="J13" s="20" t="b">
        <f>J7</f>
        <v>0</v>
      </c>
      <c r="K13" s="17"/>
      <c r="L13" s="20" t="b">
        <f>L9</f>
        <v>0</v>
      </c>
      <c r="M13" s="17"/>
      <c r="N13" s="17"/>
      <c r="O13" s="17"/>
      <c r="P13" s="17"/>
      <c r="Q13" s="17"/>
      <c r="R13" s="17"/>
      <c r="S13" s="17"/>
      <c r="T13" s="17"/>
      <c r="U13" s="17"/>
      <c r="V13" s="17"/>
      <c r="W13" s="17"/>
      <c r="X13" s="17"/>
      <c r="Y13" s="17"/>
      <c r="Z13" s="17"/>
      <c r="AA13" s="17"/>
      <c r="AB13" s="17"/>
      <c r="AC13" s="17"/>
      <c r="AD13" s="17"/>
      <c r="AE13" t="b">
        <f>AND(Table8[[#This Row],[Pregnant]:[Bismuth]])</f>
        <v>0</v>
      </c>
      <c r="AF13" s="29" t="s">
        <v>414</v>
      </c>
    </row>
    <row r="14" spans="1:32">
      <c r="A14" t="b">
        <f>IF(Table8[[#This Row],[Column12]],Table8[[#This Row],[Column13]])</f>
        <v>0</v>
      </c>
      <c r="B14" s="20" t="b">
        <f>B7</f>
        <v>1</v>
      </c>
      <c r="C14" s="17"/>
      <c r="D14" s="17"/>
      <c r="E14" s="20" t="b">
        <f>E9</f>
        <v>1</v>
      </c>
      <c r="F14" s="17"/>
      <c r="G14" s="20" t="b">
        <f>G3</f>
        <v>0</v>
      </c>
      <c r="H14" s="17"/>
      <c r="I14" s="17"/>
      <c r="J14" s="20" t="b">
        <f>J7</f>
        <v>0</v>
      </c>
      <c r="K14" s="17"/>
      <c r="L14" s="20" t="b">
        <f>L9</f>
        <v>0</v>
      </c>
      <c r="M14" s="17"/>
      <c r="N14" s="17"/>
      <c r="O14" s="17"/>
      <c r="P14" s="17"/>
      <c r="Q14" s="17"/>
      <c r="R14" s="17"/>
      <c r="S14" s="17"/>
      <c r="T14" s="17"/>
      <c r="U14" s="17"/>
      <c r="V14" s="17"/>
      <c r="W14" s="17"/>
      <c r="X14" s="17"/>
      <c r="Y14" s="17"/>
      <c r="Z14" s="17"/>
      <c r="AA14" s="17"/>
      <c r="AB14" s="17"/>
      <c r="AC14" s="17"/>
      <c r="AD14" s="17"/>
      <c r="AE14" t="b">
        <f>AND(Table8[[#This Row],[Pregnant]:[Bismuth]])</f>
        <v>0</v>
      </c>
      <c r="AF14" s="29" t="s">
        <v>415</v>
      </c>
    </row>
    <row r="15" spans="1:32">
      <c r="A15" t="b">
        <f>IF(Table8[[#This Row],[Column12]],Table8[[#This Row],[Column13]])</f>
        <v>0</v>
      </c>
      <c r="B15" s="20" t="b">
        <f>B7</f>
        <v>1</v>
      </c>
      <c r="C15" s="17"/>
      <c r="D15" s="17"/>
      <c r="E15" s="20" t="b">
        <f>E9</f>
        <v>1</v>
      </c>
      <c r="F15" s="17"/>
      <c r="G15" s="20" t="b">
        <f>G3</f>
        <v>0</v>
      </c>
      <c r="H15" s="17"/>
      <c r="I15" s="17"/>
      <c r="J15" s="20" t="b">
        <f>J7</f>
        <v>0</v>
      </c>
      <c r="K15" s="17"/>
      <c r="L15" s="20" t="b">
        <f>L9</f>
        <v>0</v>
      </c>
      <c r="M15" s="17"/>
      <c r="N15" s="17"/>
      <c r="O15" s="17"/>
      <c r="P15" s="17"/>
      <c r="Q15" s="17"/>
      <c r="R15" s="17"/>
      <c r="S15" s="17"/>
      <c r="T15" s="17"/>
      <c r="U15" s="17"/>
      <c r="V15" s="17"/>
      <c r="W15" s="17"/>
      <c r="X15" s="17"/>
      <c r="Y15" s="17"/>
      <c r="Z15" s="17"/>
      <c r="AA15" s="17"/>
      <c r="AB15" s="17"/>
      <c r="AC15" s="17"/>
      <c r="AD15" s="17"/>
      <c r="AE15" t="b">
        <f>AND(Table8[[#This Row],[Pregnant]:[Bismuth]])</f>
        <v>0</v>
      </c>
      <c r="AF15" s="29" t="s">
        <v>416</v>
      </c>
    </row>
    <row r="16" spans="1:32">
      <c r="A16" t="b">
        <f>IF(Table8[[#This Row],[Column12]],Table8[[#This Row],[Column13]])</f>
        <v>0</v>
      </c>
      <c r="B16" s="20" t="b">
        <f>B7</f>
        <v>1</v>
      </c>
      <c r="C16" s="17"/>
      <c r="D16" s="17"/>
      <c r="E16" s="20" t="b">
        <f>E9</f>
        <v>1</v>
      </c>
      <c r="F16" s="17"/>
      <c r="G16" s="20" t="b">
        <f>G3</f>
        <v>0</v>
      </c>
      <c r="H16" s="17"/>
      <c r="I16" s="17"/>
      <c r="J16" s="20" t="b">
        <f>J7</f>
        <v>0</v>
      </c>
      <c r="K16" s="17"/>
      <c r="L16" s="20" t="b">
        <f>L9</f>
        <v>0</v>
      </c>
      <c r="M16" s="17"/>
      <c r="N16" s="17"/>
      <c r="O16" s="17"/>
      <c r="P16" s="17"/>
      <c r="Q16" s="17"/>
      <c r="R16" s="17"/>
      <c r="S16" s="17"/>
      <c r="T16" s="17"/>
      <c r="U16" s="17"/>
      <c r="V16" s="17"/>
      <c r="W16" s="17"/>
      <c r="X16" s="17"/>
      <c r="Y16" s="17"/>
      <c r="Z16" s="17"/>
      <c r="AA16" s="17"/>
      <c r="AB16" s="17"/>
      <c r="AC16" s="17"/>
      <c r="AD16" s="17"/>
      <c r="AE16" t="b">
        <f>AND(Table8[[#This Row],[Pregnant]:[Bismuth]])</f>
        <v>0</v>
      </c>
      <c r="AF16" s="29" t="s">
        <v>417</v>
      </c>
    </row>
    <row r="17" spans="1:32">
      <c r="A17" t="b">
        <f>IF(Table8[[#This Row],[Column12]],Table8[[#This Row],[Column13]])</f>
        <v>0</v>
      </c>
      <c r="B17" s="20" t="b">
        <f>B7</f>
        <v>1</v>
      </c>
      <c r="C17" s="17"/>
      <c r="D17" s="17"/>
      <c r="E17" s="20" t="b">
        <f>E9</f>
        <v>1</v>
      </c>
      <c r="F17" s="20" t="b">
        <f>F2</f>
        <v>0</v>
      </c>
      <c r="G17" s="17"/>
      <c r="H17" s="17"/>
      <c r="I17" s="17"/>
      <c r="J17" s="20" t="b">
        <f>J7</f>
        <v>0</v>
      </c>
      <c r="K17" s="17"/>
      <c r="L17" s="20" t="b">
        <f>L9</f>
        <v>0</v>
      </c>
      <c r="M17" s="17"/>
      <c r="N17" s="17"/>
      <c r="O17" s="17"/>
      <c r="P17" s="17"/>
      <c r="Q17" s="17"/>
      <c r="R17" s="17"/>
      <c r="S17" s="17"/>
      <c r="T17" s="17"/>
      <c r="U17" s="17"/>
      <c r="V17" s="17"/>
      <c r="W17" s="17"/>
      <c r="X17" s="17"/>
      <c r="Y17" s="17"/>
      <c r="Z17" s="17"/>
      <c r="AA17" s="17"/>
      <c r="AB17" s="17"/>
      <c r="AC17" s="17"/>
      <c r="AD17" s="17"/>
      <c r="AE17" t="b">
        <f>AND(Table8[[#This Row],[Pregnant]:[Bismuth]])</f>
        <v>0</v>
      </c>
      <c r="AF17" s="29" t="s">
        <v>410</v>
      </c>
    </row>
    <row r="18" spans="1:32">
      <c r="A18" s="16" t="b">
        <f>IF(Table8[[#This Row],[Column12]],Table8[[#This Row],[Column13]])</f>
        <v>0</v>
      </c>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row>
    <row r="19" spans="1:32">
      <c r="A19" t="b">
        <f>IF(Table8[[#This Row],[Column12]],Table8[[#This Row],[Column13]])</f>
        <v>0</v>
      </c>
      <c r="B19" s="17"/>
      <c r="C19" s="20" t="b">
        <f>C2</f>
        <v>1</v>
      </c>
      <c r="D19" s="17"/>
      <c r="E19" s="20" t="b">
        <f>E9</f>
        <v>1</v>
      </c>
      <c r="F19" s="20" t="b">
        <f>F2</f>
        <v>0</v>
      </c>
      <c r="G19" s="17"/>
      <c r="H19" s="17"/>
      <c r="I19" s="17"/>
      <c r="J19" s="20" t="b">
        <f>J7</f>
        <v>0</v>
      </c>
      <c r="K19" s="17"/>
      <c r="L19" s="17"/>
      <c r="M19" s="17"/>
      <c r="N19" s="17"/>
      <c r="O19" s="20" t="b">
        <f>AND('GastroIntestinal Criteria'!B19,'GastroIntestinal Criteria'!C18,'GastroIntestinal Criteria'!C20:C22)</f>
        <v>0</v>
      </c>
      <c r="P19" s="17"/>
      <c r="Q19" s="17"/>
      <c r="R19" s="17"/>
      <c r="S19" s="17"/>
      <c r="T19" s="17"/>
      <c r="U19" s="17"/>
      <c r="V19" s="17"/>
      <c r="W19" s="17"/>
      <c r="X19" s="17"/>
      <c r="Y19" s="17"/>
      <c r="Z19" s="17"/>
      <c r="AA19" s="17"/>
      <c r="AB19" s="17"/>
      <c r="AC19" s="17"/>
      <c r="AD19" s="17"/>
      <c r="AE19" t="b">
        <f>AND(Table8[[#This Row],[Pregnant]:[Bismuth]])</f>
        <v>0</v>
      </c>
      <c r="AF19" s="29" t="s">
        <v>419</v>
      </c>
    </row>
    <row r="20" spans="1:32">
      <c r="A20" t="b">
        <f>IF(Table8[[#This Row],[Column12]],Table8[[#This Row],[Column13]])</f>
        <v>0</v>
      </c>
      <c r="B20" s="17"/>
      <c r="C20" s="20" t="b">
        <f>C2</f>
        <v>1</v>
      </c>
      <c r="D20" s="17"/>
      <c r="E20" s="20" t="b">
        <f>E9</f>
        <v>1</v>
      </c>
      <c r="F20" s="20" t="b">
        <f>F2</f>
        <v>0</v>
      </c>
      <c r="G20" s="17"/>
      <c r="H20" s="17"/>
      <c r="I20" s="17"/>
      <c r="J20" s="20" t="b">
        <f>J7</f>
        <v>0</v>
      </c>
      <c r="K20" s="17"/>
      <c r="L20" s="17"/>
      <c r="M20" s="17"/>
      <c r="N20" s="20" t="b">
        <f>AND('GastroIntestinal Criteria'!B19,'GastroIntestinal Criteria'!C18,'GastroIntestinal Criteria'!C20:C22)</f>
        <v>0</v>
      </c>
      <c r="O20" s="20" t="b">
        <f>O19</f>
        <v>0</v>
      </c>
      <c r="P20" s="17"/>
      <c r="Q20" s="17"/>
      <c r="R20" s="17"/>
      <c r="S20" s="17"/>
      <c r="T20" s="17"/>
      <c r="U20" s="17"/>
      <c r="V20" s="17"/>
      <c r="W20" s="17"/>
      <c r="X20" s="17"/>
      <c r="Y20" s="17"/>
      <c r="Z20" s="17"/>
      <c r="AA20" s="17"/>
      <c r="AB20" s="17"/>
      <c r="AC20" s="17"/>
      <c r="AD20" s="17"/>
      <c r="AE20" t="b">
        <f>AND(Table8[[#This Row],[Pregnant]:[Bismuth]])</f>
        <v>0</v>
      </c>
      <c r="AF20" s="29" t="s">
        <v>420</v>
      </c>
    </row>
    <row r="21" spans="1:32">
      <c r="A21" t="b">
        <f>IF(Table8[[#This Row],[Column12]],Table8[[#This Row],[Column13]])</f>
        <v>0</v>
      </c>
      <c r="B21" s="17"/>
      <c r="C21" s="20" t="b">
        <f>C2</f>
        <v>1</v>
      </c>
      <c r="D21" s="17"/>
      <c r="E21" s="20" t="b">
        <f>E9</f>
        <v>1</v>
      </c>
      <c r="F21" s="20" t="b">
        <f>F2</f>
        <v>0</v>
      </c>
      <c r="G21" s="17"/>
      <c r="H21" s="17"/>
      <c r="I21" s="17"/>
      <c r="J21" s="20" t="b">
        <f>J7</f>
        <v>0</v>
      </c>
      <c r="K21" s="17"/>
      <c r="L21" s="17"/>
      <c r="M21" s="17"/>
      <c r="N21" s="17"/>
      <c r="O21" s="20" t="b">
        <f>O19</f>
        <v>0</v>
      </c>
      <c r="P21" s="17"/>
      <c r="Q21" s="17"/>
      <c r="R21" s="17"/>
      <c r="S21" s="17"/>
      <c r="T21" s="17"/>
      <c r="U21" s="17"/>
      <c r="V21" s="17"/>
      <c r="W21" s="17"/>
      <c r="X21" s="17"/>
      <c r="Y21" s="17"/>
      <c r="Z21" s="17"/>
      <c r="AA21" s="17"/>
      <c r="AB21" s="17"/>
      <c r="AC21" s="17"/>
      <c r="AD21" s="17"/>
      <c r="AE21" t="b">
        <f>AND(Table8[[#This Row],[Pregnant]:[Bismuth]])</f>
        <v>0</v>
      </c>
      <c r="AF21" s="29" t="s">
        <v>421</v>
      </c>
    </row>
    <row r="22" spans="1:32">
      <c r="A22" t="b">
        <f>IF(Table8[[#This Row],[Column12]],Table8[[#This Row],[Column13]])</f>
        <v>0</v>
      </c>
      <c r="B22" s="17"/>
      <c r="C22" s="20" t="b">
        <f>C2</f>
        <v>1</v>
      </c>
      <c r="D22" s="17"/>
      <c r="E22" s="20" t="b">
        <f>E9</f>
        <v>1</v>
      </c>
      <c r="F22" s="20" t="b">
        <f>F2</f>
        <v>0</v>
      </c>
      <c r="G22" s="17"/>
      <c r="H22" s="17"/>
      <c r="I22" s="17"/>
      <c r="J22" s="20" t="b">
        <f>J7</f>
        <v>0</v>
      </c>
      <c r="K22" s="17"/>
      <c r="L22" s="17"/>
      <c r="M22" s="17"/>
      <c r="N22" s="17"/>
      <c r="O22" s="20" t="b">
        <f>O19</f>
        <v>0</v>
      </c>
      <c r="P22" s="17"/>
      <c r="Q22" s="17"/>
      <c r="R22" s="17"/>
      <c r="S22" s="17"/>
      <c r="T22" s="17"/>
      <c r="U22" s="17"/>
      <c r="V22" s="17"/>
      <c r="W22" s="17"/>
      <c r="X22" s="17"/>
      <c r="Y22" s="17"/>
      <c r="Z22" s="17"/>
      <c r="AA22" s="17"/>
      <c r="AB22" s="17"/>
      <c r="AC22" s="17"/>
      <c r="AD22" s="17"/>
      <c r="AE22" t="b">
        <f>AND(Table8[[#This Row],[Pregnant]:[Bismuth]])</f>
        <v>0</v>
      </c>
      <c r="AF22" s="29" t="s">
        <v>422</v>
      </c>
    </row>
    <row r="23" spans="1:32">
      <c r="A23" t="b">
        <f>IF(Table8[[#This Row],[Column12]],Table8[[#This Row],[Column13]])</f>
        <v>0</v>
      </c>
      <c r="B23" s="17"/>
      <c r="C23" s="20" t="b">
        <f>C2</f>
        <v>1</v>
      </c>
      <c r="D23" s="17"/>
      <c r="E23" s="20" t="b">
        <f>E9</f>
        <v>1</v>
      </c>
      <c r="F23" s="17"/>
      <c r="G23" s="20" t="b">
        <f>G3</f>
        <v>0</v>
      </c>
      <c r="H23" s="17"/>
      <c r="I23" s="17"/>
      <c r="J23" s="20" t="b">
        <f>J7</f>
        <v>0</v>
      </c>
      <c r="K23" s="17"/>
      <c r="L23" s="17"/>
      <c r="M23" s="17"/>
      <c r="N23" s="17"/>
      <c r="O23" s="20" t="b">
        <f>O19</f>
        <v>0</v>
      </c>
      <c r="P23" s="17"/>
      <c r="Q23" s="17"/>
      <c r="R23" s="17"/>
      <c r="S23" s="17"/>
      <c r="T23" s="17"/>
      <c r="U23" s="17"/>
      <c r="V23" s="17"/>
      <c r="W23" s="17"/>
      <c r="X23" s="17"/>
      <c r="Y23" s="17"/>
      <c r="Z23" s="17"/>
      <c r="AA23" s="17"/>
      <c r="AB23" s="17"/>
      <c r="AC23" s="17"/>
      <c r="AD23" s="17"/>
      <c r="AE23" t="b">
        <f>AND(Table8[[#This Row],[Pregnant]:[Bismuth]])</f>
        <v>0</v>
      </c>
      <c r="AF23" s="29" t="s">
        <v>423</v>
      </c>
    </row>
    <row r="24" spans="1:32">
      <c r="A24" t="b">
        <f>IF(Table8[[#This Row],[Column12]],Table8[[#This Row],[Column13]])</f>
        <v>0</v>
      </c>
      <c r="B24" s="17"/>
      <c r="C24" s="20" t="b">
        <f>C2</f>
        <v>1</v>
      </c>
      <c r="D24" s="17"/>
      <c r="E24" s="20" t="b">
        <f>E9</f>
        <v>1</v>
      </c>
      <c r="F24" s="20" t="b">
        <f>F2</f>
        <v>0</v>
      </c>
      <c r="G24" s="17"/>
      <c r="H24" s="17"/>
      <c r="I24" s="20" t="b">
        <f>I2</f>
        <v>0</v>
      </c>
      <c r="J24" s="17"/>
      <c r="K24" s="17"/>
      <c r="L24" s="17"/>
      <c r="M24" s="17"/>
      <c r="N24" s="17"/>
      <c r="O24" s="17"/>
      <c r="P24" s="20" t="b">
        <f>AND('GastroIntestinal Criteria'!B20,'GastroIntestinal Criteria'!C11,'GastroIntestinal Criteria'!C18:C19,'GastroIntestinal Criteria'!C21:C22)</f>
        <v>0</v>
      </c>
      <c r="Q24" s="17"/>
      <c r="R24" s="17"/>
      <c r="S24" s="17"/>
      <c r="T24" s="17"/>
      <c r="U24" s="17"/>
      <c r="V24" s="17"/>
      <c r="W24" s="17"/>
      <c r="X24" s="17"/>
      <c r="Y24" s="17"/>
      <c r="Z24" s="17"/>
      <c r="AA24" s="17"/>
      <c r="AB24" s="17"/>
      <c r="AC24" s="17"/>
      <c r="AD24" s="17"/>
      <c r="AE24" t="b">
        <f>AND(Table8[[#This Row],[Pregnant]:[Bismuth]])</f>
        <v>0</v>
      </c>
      <c r="AF24" s="29" t="s">
        <v>424</v>
      </c>
    </row>
    <row r="25" spans="1:32">
      <c r="A25" s="16" t="b">
        <f>IF(Table8[[#This Row],[Column12]],Table8[[#This Row],[Column13]])</f>
        <v>0</v>
      </c>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row>
    <row r="26" spans="1:32">
      <c r="A26" t="b">
        <f>IF(Table8[[#This Row],[Column12]],Table8[[#This Row],[Column13]])</f>
        <v>0</v>
      </c>
      <c r="B26" s="17"/>
      <c r="C26" s="20" t="b">
        <f>C2</f>
        <v>1</v>
      </c>
      <c r="D26" s="17"/>
      <c r="E26" s="20" t="b">
        <f>E9</f>
        <v>1</v>
      </c>
      <c r="F26" s="20" t="b">
        <f>F2</f>
        <v>0</v>
      </c>
      <c r="G26" s="17"/>
      <c r="H26" s="17"/>
      <c r="I26" s="17"/>
      <c r="J26" s="20" t="b">
        <f>J7</f>
        <v>0</v>
      </c>
      <c r="K26" s="17"/>
      <c r="L26" s="17"/>
      <c r="M26" s="17"/>
      <c r="N26" s="20" t="b">
        <f>N20</f>
        <v>0</v>
      </c>
      <c r="O26" s="17"/>
      <c r="P26" s="17"/>
      <c r="Q26" s="17"/>
      <c r="R26" s="17"/>
      <c r="S26" s="17"/>
      <c r="T26" s="17"/>
      <c r="U26" s="17"/>
      <c r="V26" s="17"/>
      <c r="W26" s="17"/>
      <c r="X26" s="17"/>
      <c r="Y26" s="17"/>
      <c r="Z26" s="17"/>
      <c r="AA26" s="17"/>
      <c r="AB26" s="17"/>
      <c r="AC26" s="17"/>
      <c r="AD26" s="17"/>
      <c r="AE26" t="b">
        <f>AND(Table8[[#This Row],[Pregnant]:[Bismuth]])</f>
        <v>0</v>
      </c>
      <c r="AF26" s="29" t="s">
        <v>425</v>
      </c>
    </row>
    <row r="27" spans="1:32">
      <c r="A27" t="b">
        <f>IF(Table8[[#This Row],[Column12]],Table8[[#This Row],[Column13]])</f>
        <v>0</v>
      </c>
      <c r="B27" s="17"/>
      <c r="C27" s="20" t="b">
        <f>C2</f>
        <v>1</v>
      </c>
      <c r="D27" s="17"/>
      <c r="E27" s="20" t="b">
        <f>E9</f>
        <v>1</v>
      </c>
      <c r="F27" s="20" t="b">
        <f>F2</f>
        <v>0</v>
      </c>
      <c r="G27" s="17"/>
      <c r="H27" s="17"/>
      <c r="I27" s="17"/>
      <c r="J27" s="20" t="b">
        <f>J7</f>
        <v>0</v>
      </c>
      <c r="K27" s="17"/>
      <c r="L27" s="17"/>
      <c r="M27" s="17"/>
      <c r="N27" s="20" t="b">
        <f>N20</f>
        <v>0</v>
      </c>
      <c r="O27" s="17"/>
      <c r="P27" s="17"/>
      <c r="Q27" s="17"/>
      <c r="R27" s="17"/>
      <c r="S27" s="17"/>
      <c r="T27" s="17"/>
      <c r="U27" s="17"/>
      <c r="V27" s="17"/>
      <c r="W27" s="17"/>
      <c r="X27" s="17"/>
      <c r="Y27" s="17"/>
      <c r="Z27" s="17"/>
      <c r="AA27" s="17"/>
      <c r="AB27" s="17"/>
      <c r="AC27" s="17"/>
      <c r="AD27" s="17"/>
      <c r="AE27" t="b">
        <f>AND(Table8[[#This Row],[Pregnant]:[Bismuth]])</f>
        <v>0</v>
      </c>
      <c r="AF27" s="29" t="s">
        <v>426</v>
      </c>
    </row>
    <row r="28" spans="1:32">
      <c r="A28" t="b">
        <f>IF(Table8[[#This Row],[Column12]],Table8[[#This Row],[Column13]])</f>
        <v>0</v>
      </c>
      <c r="B28" s="17"/>
      <c r="C28" s="20" t="b">
        <f>C2</f>
        <v>1</v>
      </c>
      <c r="D28" s="17"/>
      <c r="E28" s="20" t="b">
        <f>E9</f>
        <v>1</v>
      </c>
      <c r="F28" s="20" t="b">
        <f>F2</f>
        <v>0</v>
      </c>
      <c r="G28" s="17"/>
      <c r="H28" s="17"/>
      <c r="I28" s="17"/>
      <c r="J28" s="20" t="b">
        <f>J7</f>
        <v>0</v>
      </c>
      <c r="K28" s="17"/>
      <c r="L28" s="17"/>
      <c r="M28" s="17"/>
      <c r="N28" s="20" t="b">
        <f>N20</f>
        <v>0</v>
      </c>
      <c r="O28" s="20" t="b">
        <f>O19</f>
        <v>0</v>
      </c>
      <c r="P28" s="17"/>
      <c r="Q28" s="17"/>
      <c r="R28" s="17"/>
      <c r="S28" s="17"/>
      <c r="T28" s="17"/>
      <c r="U28" s="17"/>
      <c r="V28" s="17"/>
      <c r="W28" s="17"/>
      <c r="X28" s="17"/>
      <c r="Y28" s="17"/>
      <c r="Z28" s="17"/>
      <c r="AA28" s="17"/>
      <c r="AB28" s="17"/>
      <c r="AC28" s="17"/>
      <c r="AD28" s="17"/>
      <c r="AE28" t="b">
        <f>AND(Table8[[#This Row],[Pregnant]:[Bismuth]])</f>
        <v>0</v>
      </c>
      <c r="AF28" s="29" t="s">
        <v>427</v>
      </c>
    </row>
    <row r="29" spans="1:32">
      <c r="A29" s="16" t="b">
        <f>IF(Table8[[#This Row],[Column12]],Table8[[#This Row],[Column13]])</f>
        <v>0</v>
      </c>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row>
    <row r="30" spans="1:32">
      <c r="A30" t="b">
        <f>IF(Table8[[#This Row],[Column12]],Table8[[#This Row],[Column13]])</f>
        <v>0</v>
      </c>
      <c r="B30" s="20" t="b">
        <f>B7</f>
        <v>1</v>
      </c>
      <c r="C30" s="17"/>
      <c r="D30" s="17"/>
      <c r="E30" s="20" t="b">
        <f>E9</f>
        <v>1</v>
      </c>
      <c r="F30" s="20" t="b">
        <f>F2</f>
        <v>0</v>
      </c>
      <c r="G30" s="17"/>
      <c r="H30" s="17"/>
      <c r="I30" s="20" t="b">
        <f>I2</f>
        <v>0</v>
      </c>
      <c r="J30" s="17"/>
      <c r="K30" s="17"/>
      <c r="L30" s="17"/>
      <c r="M30" s="17"/>
      <c r="N30" s="17"/>
      <c r="O30" s="17"/>
      <c r="P30" s="17"/>
      <c r="Q30" s="20" t="b">
        <f>AND('GastroIntestinal Criteria'!C5:C6,'GastroIntestinal Criteria'!C9,'GastroIntestinal Criteria'!B20,'GastroIntestinal Criteria'!C18:C19,'GastroIntestinal Criteria'!C21:C22)</f>
        <v>0</v>
      </c>
      <c r="R30" s="17"/>
      <c r="S30" s="17"/>
      <c r="T30" s="17"/>
      <c r="U30" s="17"/>
      <c r="V30" s="17"/>
      <c r="W30" s="17"/>
      <c r="X30" s="17"/>
      <c r="Y30" s="17"/>
      <c r="Z30" s="17"/>
      <c r="AA30" s="17"/>
      <c r="AB30" s="17"/>
      <c r="AC30" s="17"/>
      <c r="AD30" s="17"/>
      <c r="AE30" t="b">
        <f>AND(Table8[[#This Row],[Pregnant]:[Bismuth]])</f>
        <v>0</v>
      </c>
      <c r="AF30" s="29" t="s">
        <v>429</v>
      </c>
    </row>
    <row r="31" spans="1:32">
      <c r="A31" t="b">
        <f>IF(Table8[[#This Row],[Column12]],Table8[[#This Row],[Column13]])</f>
        <v>0</v>
      </c>
      <c r="B31" s="20" t="b">
        <f>B7</f>
        <v>1</v>
      </c>
      <c r="C31" s="17"/>
      <c r="D31" s="17"/>
      <c r="E31" s="20" t="b">
        <f>E9</f>
        <v>1</v>
      </c>
      <c r="F31" s="20" t="b">
        <f>F2</f>
        <v>0</v>
      </c>
      <c r="G31" s="17"/>
      <c r="H31" s="17"/>
      <c r="I31" s="20" t="b">
        <f>I2</f>
        <v>0</v>
      </c>
      <c r="J31" s="17"/>
      <c r="K31" s="17"/>
      <c r="L31" s="17"/>
      <c r="M31" s="17"/>
      <c r="N31" s="17"/>
      <c r="O31" s="17"/>
      <c r="P31" s="17"/>
      <c r="Q31" s="20" t="b">
        <f>Q30</f>
        <v>0</v>
      </c>
      <c r="R31" s="17"/>
      <c r="S31" s="17"/>
      <c r="T31" s="17"/>
      <c r="U31" s="17"/>
      <c r="V31" s="17"/>
      <c r="W31" s="17"/>
      <c r="X31" s="17"/>
      <c r="Y31" s="17"/>
      <c r="Z31" s="17"/>
      <c r="AA31" s="17"/>
      <c r="AB31" s="17"/>
      <c r="AC31" s="17"/>
      <c r="AD31" s="17"/>
      <c r="AE31" t="b">
        <f>AND(Table8[[#This Row],[Pregnant]:[Bismuth]])</f>
        <v>0</v>
      </c>
      <c r="AF31" s="29" t="s">
        <v>432</v>
      </c>
    </row>
    <row r="32" spans="1:32">
      <c r="A32" t="b">
        <f>IF(Table8[[#This Row],[Column12]],Table8[[#This Row],[Column13]])</f>
        <v>0</v>
      </c>
      <c r="B32" s="20" t="b">
        <f>B7</f>
        <v>1</v>
      </c>
      <c r="C32" s="17"/>
      <c r="D32" s="17"/>
      <c r="E32" s="20" t="b">
        <f>E9</f>
        <v>1</v>
      </c>
      <c r="F32" s="20" t="b">
        <f>F2</f>
        <v>0</v>
      </c>
      <c r="G32" s="17"/>
      <c r="H32" s="17"/>
      <c r="I32" s="20" t="b">
        <f>I2</f>
        <v>0</v>
      </c>
      <c r="J32" s="17"/>
      <c r="K32" s="17"/>
      <c r="L32" s="17"/>
      <c r="M32" s="17"/>
      <c r="N32" s="17"/>
      <c r="O32" s="17"/>
      <c r="P32" s="17"/>
      <c r="Q32" s="20" t="b">
        <f>Q30</f>
        <v>0</v>
      </c>
      <c r="R32" s="17"/>
      <c r="S32" s="17"/>
      <c r="T32" s="17"/>
      <c r="U32" s="17"/>
      <c r="V32" s="17"/>
      <c r="W32" s="17"/>
      <c r="X32" s="17"/>
      <c r="Y32" s="17"/>
      <c r="Z32" s="17"/>
      <c r="AA32" s="17"/>
      <c r="AB32" s="17"/>
      <c r="AC32" s="17"/>
      <c r="AD32" s="17"/>
      <c r="AE32" t="b">
        <f>AND(Table8[[#This Row],[Pregnant]:[Bismuth]])</f>
        <v>0</v>
      </c>
      <c r="AF32" s="29" t="s">
        <v>430</v>
      </c>
    </row>
    <row r="33" spans="1:32">
      <c r="A33" t="b">
        <f>IF(Table8[[#This Row],[Column12]],Table8[[#This Row],[Column13]])</f>
        <v>0</v>
      </c>
      <c r="B33" s="20" t="b">
        <f>B7</f>
        <v>1</v>
      </c>
      <c r="C33" s="17"/>
      <c r="D33" s="17"/>
      <c r="E33" s="20" t="b">
        <f>E9</f>
        <v>1</v>
      </c>
      <c r="F33" s="20" t="b">
        <f>F2</f>
        <v>0</v>
      </c>
      <c r="G33" s="17"/>
      <c r="H33" s="17"/>
      <c r="I33" s="20" t="b">
        <f>I2</f>
        <v>0</v>
      </c>
      <c r="J33" s="17"/>
      <c r="K33" s="17"/>
      <c r="L33" s="17"/>
      <c r="M33" s="17"/>
      <c r="N33" s="17"/>
      <c r="O33" s="17"/>
      <c r="P33" s="17"/>
      <c r="Q33" s="20" t="b">
        <f>Q30</f>
        <v>0</v>
      </c>
      <c r="R33" s="17"/>
      <c r="S33" s="17"/>
      <c r="T33" s="17"/>
      <c r="U33" s="17"/>
      <c r="V33" s="17"/>
      <c r="W33" s="17"/>
      <c r="X33" s="17"/>
      <c r="Y33" s="17"/>
      <c r="Z33" s="17"/>
      <c r="AA33" s="17"/>
      <c r="AB33" s="17"/>
      <c r="AC33" s="17"/>
      <c r="AD33" s="17"/>
      <c r="AE33" t="b">
        <f>AND(Table8[[#This Row],[Pregnant]:[Bismuth]])</f>
        <v>0</v>
      </c>
      <c r="AF33" s="29" t="s">
        <v>433</v>
      </c>
    </row>
    <row r="34" spans="1:32">
      <c r="A34" t="b">
        <f>IF(Table8[[#This Row],[Column12]],Table8[[#This Row],[Column13]])</f>
        <v>0</v>
      </c>
      <c r="B34" s="20" t="b">
        <f>B7</f>
        <v>1</v>
      </c>
      <c r="C34" s="17"/>
      <c r="D34" s="17"/>
      <c r="E34" s="20" t="b">
        <f>E9</f>
        <v>1</v>
      </c>
      <c r="F34" s="17"/>
      <c r="G34" s="17"/>
      <c r="H34" s="20" t="b">
        <f>AND('GastroIntestinal Criteria'!B31,'GastroIntestinal Criteria'!C27:C28)</f>
        <v>0</v>
      </c>
      <c r="I34" s="20" t="b">
        <f>I2</f>
        <v>0</v>
      </c>
      <c r="J34" s="17"/>
      <c r="K34" s="17"/>
      <c r="L34" s="17"/>
      <c r="M34" s="17"/>
      <c r="N34" s="17"/>
      <c r="O34" s="17"/>
      <c r="P34" s="17"/>
      <c r="Q34" s="20" t="b">
        <f>Q30</f>
        <v>0</v>
      </c>
      <c r="R34" s="17"/>
      <c r="S34" s="17"/>
      <c r="T34" s="17"/>
      <c r="U34" s="17"/>
      <c r="V34" s="17"/>
      <c r="W34" s="17"/>
      <c r="X34" s="17"/>
      <c r="Y34" s="17"/>
      <c r="Z34" s="17"/>
      <c r="AA34" s="17"/>
      <c r="AB34" s="17"/>
      <c r="AC34" s="17"/>
      <c r="AD34" s="17"/>
      <c r="AE34" t="b">
        <f>AND(Table8[[#This Row],[Pregnant]:[Bismuth]])</f>
        <v>0</v>
      </c>
      <c r="AF34" s="29" t="s">
        <v>431</v>
      </c>
    </row>
    <row r="35" spans="1:32">
      <c r="A35" t="b">
        <f>IF(Table8[[#This Row],[Column12]],Table8[[#This Row],[Column13]])</f>
        <v>0</v>
      </c>
      <c r="B35" s="20" t="b">
        <f>B7</f>
        <v>1</v>
      </c>
      <c r="C35" s="17"/>
      <c r="D35" s="17"/>
      <c r="E35" s="20" t="b">
        <f>E9</f>
        <v>1</v>
      </c>
      <c r="F35" s="20" t="b">
        <f>F2</f>
        <v>0</v>
      </c>
      <c r="G35" s="17"/>
      <c r="H35" s="17"/>
      <c r="I35" s="20" t="b">
        <f>I2</f>
        <v>0</v>
      </c>
      <c r="J35" s="17"/>
      <c r="K35" s="17"/>
      <c r="L35" s="17"/>
      <c r="M35" s="17"/>
      <c r="N35" s="17"/>
      <c r="O35" s="17"/>
      <c r="P35" s="17"/>
      <c r="Q35" s="20" t="b">
        <f>Q30</f>
        <v>0</v>
      </c>
      <c r="R35" s="17"/>
      <c r="S35" s="17"/>
      <c r="T35" s="17"/>
      <c r="U35" s="17"/>
      <c r="V35" s="17"/>
      <c r="W35" s="17"/>
      <c r="X35" s="17"/>
      <c r="Y35" s="17"/>
      <c r="Z35" s="17"/>
      <c r="AA35" s="17"/>
      <c r="AB35" s="17"/>
      <c r="AC35" s="17"/>
      <c r="AD35" s="17"/>
      <c r="AE35" t="b">
        <f>AND(Table8[[#This Row],[Pregnant]:[Bismuth]])</f>
        <v>0</v>
      </c>
      <c r="AF35" s="29" t="s">
        <v>434</v>
      </c>
    </row>
    <row r="36" spans="1:32">
      <c r="A36" t="b">
        <f>IF(Table8[[#This Row],[Column12]],Table8[[#This Row],[Column13]])</f>
        <v>0</v>
      </c>
      <c r="B36" s="20" t="b">
        <f>B7</f>
        <v>1</v>
      </c>
      <c r="C36" s="17"/>
      <c r="D36" s="17"/>
      <c r="E36" s="20" t="b">
        <f>E9</f>
        <v>1</v>
      </c>
      <c r="F36" s="17"/>
      <c r="G36" s="20" t="b">
        <f>G3</f>
        <v>0</v>
      </c>
      <c r="H36" s="17"/>
      <c r="I36" s="20" t="b">
        <f>I2</f>
        <v>0</v>
      </c>
      <c r="J36" s="17"/>
      <c r="K36" s="17"/>
      <c r="L36" s="17"/>
      <c r="M36" s="17"/>
      <c r="N36" s="17"/>
      <c r="O36" s="17"/>
      <c r="P36" s="17"/>
      <c r="Q36" s="20" t="b">
        <f>Q30</f>
        <v>0</v>
      </c>
      <c r="R36" s="17"/>
      <c r="S36" s="17"/>
      <c r="T36" s="17"/>
      <c r="U36" s="17"/>
      <c r="V36" s="17"/>
      <c r="W36" s="17"/>
      <c r="X36" s="17"/>
      <c r="Y36" s="17"/>
      <c r="Z36" s="17"/>
      <c r="AA36" s="17"/>
      <c r="AB36" s="17"/>
      <c r="AC36" s="17"/>
      <c r="AD36" s="17"/>
      <c r="AE36" t="b">
        <f>AND(Table8[[#This Row],[Pregnant]:[Bismuth]])</f>
        <v>0</v>
      </c>
      <c r="AF36" s="29" t="s">
        <v>435</v>
      </c>
    </row>
    <row r="37" spans="1:32">
      <c r="A37" t="b">
        <f>IF(Table8[[#This Row],[Column12]],Table8[[#This Row],[Column13]])</f>
        <v>0</v>
      </c>
      <c r="B37" s="20" t="b">
        <f>B7</f>
        <v>1</v>
      </c>
      <c r="C37" s="17"/>
      <c r="D37" s="17"/>
      <c r="E37" s="20" t="b">
        <f>E9</f>
        <v>1</v>
      </c>
      <c r="F37" s="17"/>
      <c r="G37" s="17"/>
      <c r="H37" s="20" t="b">
        <f>H34</f>
        <v>0</v>
      </c>
      <c r="I37" s="20" t="b">
        <f>I2</f>
        <v>0</v>
      </c>
      <c r="J37" s="17"/>
      <c r="K37" s="17"/>
      <c r="L37" s="17"/>
      <c r="M37" s="17"/>
      <c r="N37" s="17"/>
      <c r="O37" s="17"/>
      <c r="P37" s="17"/>
      <c r="Q37" s="20" t="b">
        <f>Q30</f>
        <v>0</v>
      </c>
      <c r="R37" s="17"/>
      <c r="S37" s="17"/>
      <c r="T37" s="17"/>
      <c r="U37" s="17"/>
      <c r="V37" s="17"/>
      <c r="W37" s="17"/>
      <c r="X37" s="17"/>
      <c r="Y37" s="17"/>
      <c r="Z37" s="17"/>
      <c r="AA37" s="17"/>
      <c r="AB37" s="17"/>
      <c r="AC37" s="17"/>
      <c r="AD37" s="17"/>
      <c r="AE37" t="b">
        <f>AND(Table8[[#This Row],[Pregnant]:[Bismuth]])</f>
        <v>0</v>
      </c>
      <c r="AF37" s="29" t="s">
        <v>436</v>
      </c>
    </row>
    <row r="38" spans="1:32">
      <c r="A38" t="b">
        <f>IF(Table8[[#This Row],[Column12]],Table8[[#This Row],[Column13]])</f>
        <v>0</v>
      </c>
      <c r="B38" s="17"/>
      <c r="C38" s="20" t="b">
        <f>C2</f>
        <v>1</v>
      </c>
      <c r="D38" s="17"/>
      <c r="E38" s="20" t="b">
        <f>E9</f>
        <v>1</v>
      </c>
      <c r="F38" s="20" t="b">
        <f>F2</f>
        <v>0</v>
      </c>
      <c r="G38" s="17"/>
      <c r="H38" s="17"/>
      <c r="I38" s="20" t="b">
        <f>I2</f>
        <v>0</v>
      </c>
      <c r="J38" s="17"/>
      <c r="K38" s="17"/>
      <c r="L38" s="17"/>
      <c r="M38" s="17"/>
      <c r="N38" s="17"/>
      <c r="O38" s="17"/>
      <c r="P38" s="20" t="b">
        <f>P24</f>
        <v>0</v>
      </c>
      <c r="Q38" s="17"/>
      <c r="R38" s="17"/>
      <c r="S38" s="17"/>
      <c r="T38" s="17"/>
      <c r="U38" s="17"/>
      <c r="V38" s="17"/>
      <c r="W38" s="17"/>
      <c r="X38" s="17"/>
      <c r="Y38" s="17"/>
      <c r="Z38" s="17"/>
      <c r="AA38" s="17"/>
      <c r="AB38" s="17"/>
      <c r="AC38" s="17"/>
      <c r="AD38" s="17"/>
      <c r="AE38" t="b">
        <f>AND(Table8[[#This Row],[Pregnant]:[Bismuth]])</f>
        <v>0</v>
      </c>
      <c r="AF38" s="29" t="s">
        <v>437</v>
      </c>
    </row>
    <row r="39" spans="1:32">
      <c r="A39" t="b">
        <f>IF(Table8[[#This Row],[Column12]],Table8[[#This Row],[Column13]])</f>
        <v>0</v>
      </c>
      <c r="B39" s="17"/>
      <c r="C39" s="20" t="b">
        <f>C2</f>
        <v>1</v>
      </c>
      <c r="D39" s="17"/>
      <c r="E39" s="20" t="b">
        <f>E9</f>
        <v>1</v>
      </c>
      <c r="F39" s="20" t="b">
        <f>F2</f>
        <v>0</v>
      </c>
      <c r="G39" s="17"/>
      <c r="H39" s="17"/>
      <c r="I39" s="20" t="b">
        <f>I2</f>
        <v>0</v>
      </c>
      <c r="J39" s="17"/>
      <c r="K39" s="17"/>
      <c r="L39" s="17"/>
      <c r="M39" s="17"/>
      <c r="N39" s="17"/>
      <c r="O39" s="17"/>
      <c r="P39" s="20" t="b">
        <f>P24</f>
        <v>0</v>
      </c>
      <c r="Q39" s="17"/>
      <c r="R39" s="17"/>
      <c r="S39" s="17"/>
      <c r="T39" s="17"/>
      <c r="U39" s="17"/>
      <c r="V39" s="17"/>
      <c r="W39" s="17"/>
      <c r="X39" s="17"/>
      <c r="Y39" s="17"/>
      <c r="Z39" s="17"/>
      <c r="AA39" s="17"/>
      <c r="AB39" s="17"/>
      <c r="AC39" s="17"/>
      <c r="AD39" s="17"/>
      <c r="AE39" t="b">
        <f>AND(Table8[[#This Row],[Pregnant]:[Bismuth]])</f>
        <v>0</v>
      </c>
      <c r="AF39" s="29" t="s">
        <v>438</v>
      </c>
    </row>
    <row r="40" spans="1:32">
      <c r="A40" t="b">
        <f>IF(Table8[[#This Row],[Column12]],Table8[[#This Row],[Column13]])</f>
        <v>0</v>
      </c>
      <c r="B40" s="17"/>
      <c r="C40" s="20" t="b">
        <f>C2</f>
        <v>1</v>
      </c>
      <c r="D40" s="17"/>
      <c r="E40" s="20" t="b">
        <f>E9</f>
        <v>1</v>
      </c>
      <c r="F40" s="20" t="b">
        <f>F2</f>
        <v>0</v>
      </c>
      <c r="G40" s="17"/>
      <c r="H40" s="17"/>
      <c r="I40" s="20" t="b">
        <f>I2</f>
        <v>0</v>
      </c>
      <c r="J40" s="17"/>
      <c r="K40" s="17"/>
      <c r="L40" s="17"/>
      <c r="M40" s="17"/>
      <c r="N40" s="17"/>
      <c r="O40" s="17"/>
      <c r="P40" s="20" t="b">
        <f>P24</f>
        <v>0</v>
      </c>
      <c r="Q40" s="17"/>
      <c r="R40" s="17"/>
      <c r="S40" s="17"/>
      <c r="T40" s="17"/>
      <c r="U40" s="17"/>
      <c r="V40" s="17"/>
      <c r="W40" s="17"/>
      <c r="X40" s="17"/>
      <c r="Y40" s="17"/>
      <c r="Z40" s="17"/>
      <c r="AA40" s="17"/>
      <c r="AB40" s="17"/>
      <c r="AC40" s="17"/>
      <c r="AD40" s="17"/>
      <c r="AE40" t="b">
        <f>AND(Table8[[#This Row],[Pregnant]:[Bismuth]])</f>
        <v>0</v>
      </c>
      <c r="AF40" s="29" t="s">
        <v>439</v>
      </c>
    </row>
    <row r="41" spans="1:32">
      <c r="A41" s="16" t="b">
        <f>IF(Table8[[#This Row],[Column12]],Table8[[#This Row],[Column13]])</f>
        <v>0</v>
      </c>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40"/>
    </row>
    <row r="42" spans="1:32">
      <c r="A42" t="b">
        <f>IF(Table8[[#This Row],[Column12]],Table8[[#This Row],[Column13]])</f>
        <v>0</v>
      </c>
      <c r="B42" s="17"/>
      <c r="C42" s="20" t="b">
        <f>C2</f>
        <v>1</v>
      </c>
      <c r="D42" s="20" t="b">
        <f>D2</f>
        <v>0</v>
      </c>
      <c r="E42" s="17"/>
      <c r="F42" s="17"/>
      <c r="G42" s="20" t="b">
        <f>G3</f>
        <v>0</v>
      </c>
      <c r="H42" s="17"/>
      <c r="I42" s="20" t="b">
        <f>I2</f>
        <v>0</v>
      </c>
      <c r="J42" s="17"/>
      <c r="K42" s="17"/>
      <c r="L42" s="17"/>
      <c r="M42" s="17"/>
      <c r="N42" s="17"/>
      <c r="O42" s="17"/>
      <c r="P42" s="17"/>
      <c r="Q42" s="17"/>
      <c r="R42" s="17"/>
      <c r="S42" s="17"/>
      <c r="T42" s="20" t="b">
        <f>AND('GastroIntestinal Criteria'!C11,'GastroIntestinal Criteria'!B21,'GastroIntestinal Criteria'!C19,'GastroIntestinal Criteria'!C22)</f>
        <v>0</v>
      </c>
      <c r="U42" s="17"/>
      <c r="V42" s="17"/>
      <c r="W42" s="17"/>
      <c r="X42" s="17"/>
      <c r="Y42" s="17"/>
      <c r="Z42" s="17"/>
      <c r="AA42" s="17"/>
      <c r="AB42" s="17"/>
      <c r="AC42" s="17"/>
      <c r="AD42" s="17"/>
      <c r="AE42" t="b">
        <f>AND(Table8[[#This Row],[Pregnant]:[Bismuth]])</f>
        <v>0</v>
      </c>
      <c r="AF42" s="29" t="s">
        <v>440</v>
      </c>
    </row>
    <row r="43" spans="1:32">
      <c r="A43" t="b">
        <f>IF(Table8[[#This Row],[Column12]],Table8[[#This Row],[Column13]])</f>
        <v>0</v>
      </c>
      <c r="B43" s="17"/>
      <c r="C43" s="20" t="b">
        <f>C2</f>
        <v>1</v>
      </c>
      <c r="D43" s="20" t="b">
        <f>D2</f>
        <v>0</v>
      </c>
      <c r="E43" s="17"/>
      <c r="F43" s="17"/>
      <c r="G43" s="20" t="b">
        <f>G3</f>
        <v>0</v>
      </c>
      <c r="H43" s="17"/>
      <c r="I43" s="20" t="b">
        <f>I2</f>
        <v>0</v>
      </c>
      <c r="J43" s="17"/>
      <c r="K43" s="17"/>
      <c r="L43" s="17"/>
      <c r="M43" s="17"/>
      <c r="N43" s="17"/>
      <c r="O43" s="17"/>
      <c r="P43" s="17"/>
      <c r="Q43" s="17"/>
      <c r="R43" s="17"/>
      <c r="S43" s="17"/>
      <c r="T43" s="20" t="b">
        <f>T42</f>
        <v>0</v>
      </c>
      <c r="U43" s="17"/>
      <c r="V43" s="17"/>
      <c r="W43" s="17"/>
      <c r="X43" s="17"/>
      <c r="Y43" s="17"/>
      <c r="Z43" s="17"/>
      <c r="AA43" s="17"/>
      <c r="AB43" s="17"/>
      <c r="AC43" s="17"/>
      <c r="AD43" s="17"/>
      <c r="AE43" t="b">
        <f>AND(Table8[[#This Row],[Pregnant]:[Bismuth]])</f>
        <v>0</v>
      </c>
      <c r="AF43" s="29" t="s">
        <v>441</v>
      </c>
    </row>
    <row r="44" spans="1:32">
      <c r="A44" s="16" t="b">
        <f>IF(Table8[[#This Row],[Column12]],Table8[[#This Row],[Column13]])</f>
        <v>0</v>
      </c>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row>
    <row r="45" spans="1:32">
      <c r="A45" t="b">
        <f>IF(Table8[[#This Row],[Column12]],Table8[[#This Row],[Column13]])</f>
        <v>0</v>
      </c>
      <c r="B45" s="20" t="b">
        <f>B7</f>
        <v>1</v>
      </c>
      <c r="C45" s="17"/>
      <c r="D45" s="20" t="b">
        <f>D2</f>
        <v>0</v>
      </c>
      <c r="E45" s="17"/>
      <c r="F45" s="20" t="b">
        <f>F2</f>
        <v>0</v>
      </c>
      <c r="G45" s="17"/>
      <c r="H45" s="17"/>
      <c r="I45" s="20" t="b">
        <f>I2</f>
        <v>0</v>
      </c>
      <c r="J45" s="17"/>
      <c r="K45" s="17"/>
      <c r="L45" s="17"/>
      <c r="M45" s="17"/>
      <c r="N45" s="17"/>
      <c r="O45" s="17"/>
      <c r="P45" s="17"/>
      <c r="Q45" s="17"/>
      <c r="R45" s="17"/>
      <c r="S45" s="17"/>
      <c r="T45" s="17"/>
      <c r="U45" s="17"/>
      <c r="V45" s="17"/>
      <c r="W45" s="17"/>
      <c r="X45" s="17"/>
      <c r="Y45" s="20" t="b">
        <f>Y5</f>
        <v>0</v>
      </c>
      <c r="Z45" s="17"/>
      <c r="AA45" s="17"/>
      <c r="AB45" s="17"/>
      <c r="AC45" s="17"/>
      <c r="AD45" s="17"/>
      <c r="AE45" t="b">
        <f>AND(Table8[[#This Row],[Pregnant]:[Bismuth]])</f>
        <v>0</v>
      </c>
      <c r="AF45" s="29" t="s">
        <v>442</v>
      </c>
    </row>
    <row r="46" spans="1:32">
      <c r="A46" t="b">
        <f>IF(Table8[[#This Row],[Column12]],Table8[[#This Row],[Column13]])</f>
        <v>0</v>
      </c>
      <c r="B46" s="20" t="b">
        <f>B7</f>
        <v>1</v>
      </c>
      <c r="C46" s="17"/>
      <c r="D46" s="20" t="b">
        <f>D2</f>
        <v>0</v>
      </c>
      <c r="E46" s="17"/>
      <c r="F46" s="20" t="b">
        <f>F2</f>
        <v>0</v>
      </c>
      <c r="G46" s="17"/>
      <c r="H46" s="17"/>
      <c r="I46" s="20" t="b">
        <f>I2</f>
        <v>0</v>
      </c>
      <c r="J46" s="17"/>
      <c r="K46" s="17"/>
      <c r="L46" s="17"/>
      <c r="M46" s="17"/>
      <c r="N46" s="17"/>
      <c r="O46" s="17"/>
      <c r="P46" s="17"/>
      <c r="Q46" s="17"/>
      <c r="R46" s="17"/>
      <c r="S46" s="17"/>
      <c r="T46" s="17"/>
      <c r="U46" s="17"/>
      <c r="V46" s="17"/>
      <c r="W46" s="17"/>
      <c r="X46" s="17"/>
      <c r="Y46" s="20" t="b">
        <f>Y5</f>
        <v>0</v>
      </c>
      <c r="Z46" s="17"/>
      <c r="AA46" s="17"/>
      <c r="AB46" s="17"/>
      <c r="AC46" s="17"/>
      <c r="AD46" s="17"/>
      <c r="AE46" t="b">
        <f>AND(Table8[[#This Row],[Pregnant]:[Bismuth]])</f>
        <v>0</v>
      </c>
      <c r="AF46" s="29" t="s">
        <v>443</v>
      </c>
    </row>
    <row r="47" spans="1:32">
      <c r="A47" s="16" t="b">
        <f>IF(Table8[[#This Row],[Column12]],Table8[[#This Row],[Column13]])</f>
        <v>0</v>
      </c>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row>
    <row r="48" spans="1:32">
      <c r="A48" t="b">
        <f>IF(Table8[[#This Row],[Column12]],Table8[[#This Row],[Column13]])</f>
        <v>0</v>
      </c>
      <c r="B48" s="20" t="b">
        <f>B7</f>
        <v>1</v>
      </c>
      <c r="C48" s="17"/>
      <c r="D48" s="17"/>
      <c r="E48" s="20" t="b">
        <f>E9</f>
        <v>1</v>
      </c>
      <c r="F48" s="20" t="b">
        <f>F2</f>
        <v>0</v>
      </c>
      <c r="G48" s="17"/>
      <c r="H48" s="17"/>
      <c r="I48" s="20" t="b">
        <f>I2</f>
        <v>0</v>
      </c>
      <c r="J48" s="17"/>
      <c r="K48" s="17"/>
      <c r="L48" s="17"/>
      <c r="M48" s="17"/>
      <c r="N48" s="17"/>
      <c r="O48" s="17"/>
      <c r="P48" s="17"/>
      <c r="Q48" s="17"/>
      <c r="R48" s="17"/>
      <c r="S48" s="17"/>
      <c r="T48" s="17"/>
      <c r="U48" s="17"/>
      <c r="V48" s="20" t="b">
        <f>AND('GastroIntestinal Criteria'!C11,'GastroIntestinal Criteria'!B21,'GastroIntestinal Criteria'!C19,'GastroIntestinal Criteria'!C22)</f>
        <v>0</v>
      </c>
      <c r="W48" s="17"/>
      <c r="X48" s="17"/>
      <c r="Y48" s="17"/>
      <c r="Z48" s="17"/>
      <c r="AA48" s="17"/>
      <c r="AB48" s="17"/>
      <c r="AC48" s="17"/>
      <c r="AD48" s="17"/>
      <c r="AE48" t="b">
        <f>AND(Table8[[#This Row],[Pregnant]:[Bismuth]])</f>
        <v>0</v>
      </c>
      <c r="AF48" s="11" t="s">
        <v>444</v>
      </c>
    </row>
    <row r="49" spans="1:32">
      <c r="A49" t="b">
        <f>IF(Table8[[#This Row],[Column12]],Table8[[#This Row],[Column13]])</f>
        <v>0</v>
      </c>
      <c r="B49" s="20" t="b">
        <f>B7</f>
        <v>1</v>
      </c>
      <c r="C49" s="17"/>
      <c r="D49" s="17"/>
      <c r="E49" s="20" t="b">
        <f>E9</f>
        <v>1</v>
      </c>
      <c r="F49" s="20" t="b">
        <f>F2</f>
        <v>0</v>
      </c>
      <c r="G49" s="17"/>
      <c r="H49" s="17"/>
      <c r="I49" s="20" t="b">
        <f>I2</f>
        <v>0</v>
      </c>
      <c r="J49" s="17"/>
      <c r="K49" s="17"/>
      <c r="L49" s="17"/>
      <c r="M49" s="17"/>
      <c r="N49" s="17"/>
      <c r="O49" s="17"/>
      <c r="P49" s="17"/>
      <c r="Q49" s="17"/>
      <c r="R49" s="17"/>
      <c r="S49" s="17"/>
      <c r="T49" s="17"/>
      <c r="U49" s="17"/>
      <c r="V49" s="20" t="b">
        <f>V48</f>
        <v>0</v>
      </c>
      <c r="W49" s="17"/>
      <c r="X49" s="17"/>
      <c r="Y49" s="17"/>
      <c r="Z49" s="17"/>
      <c r="AA49" s="17"/>
      <c r="AB49" s="17"/>
      <c r="AC49" s="17"/>
      <c r="AD49" s="17"/>
      <c r="AE49" t="b">
        <f>AND(Table8[[#This Row],[Pregnant]:[Bismuth]])</f>
        <v>0</v>
      </c>
      <c r="AF49" s="11" t="s">
        <v>445</v>
      </c>
    </row>
    <row r="50" spans="1:32">
      <c r="A50" t="b">
        <f>IF(Table8[[#This Row],[Column12]],Table8[[#This Row],[Column13]])</f>
        <v>0</v>
      </c>
      <c r="B50" s="20" t="b">
        <f>B7</f>
        <v>1</v>
      </c>
      <c r="C50" s="17"/>
      <c r="D50" s="17"/>
      <c r="E50" s="20" t="b">
        <f>E9</f>
        <v>1</v>
      </c>
      <c r="F50" s="20" t="b">
        <f>F2</f>
        <v>0</v>
      </c>
      <c r="G50" s="17"/>
      <c r="H50" s="17"/>
      <c r="I50" s="20" t="b">
        <f>I2</f>
        <v>0</v>
      </c>
      <c r="J50" s="17"/>
      <c r="K50" s="17"/>
      <c r="L50" s="17"/>
      <c r="M50" s="17"/>
      <c r="N50" s="17"/>
      <c r="O50" s="17"/>
      <c r="P50" s="17"/>
      <c r="Q50" s="17"/>
      <c r="R50" s="17"/>
      <c r="S50" s="17"/>
      <c r="T50" s="17"/>
      <c r="U50" s="17"/>
      <c r="V50" s="20" t="b">
        <f>V48</f>
        <v>0</v>
      </c>
      <c r="W50" s="17"/>
      <c r="X50" s="17"/>
      <c r="Y50" s="17"/>
      <c r="Z50" s="17"/>
      <c r="AA50" s="17"/>
      <c r="AB50" s="17"/>
      <c r="AC50" s="17"/>
      <c r="AD50" s="17"/>
      <c r="AE50" t="b">
        <f>AND(Table8[[#This Row],[Pregnant]:[Bismuth]])</f>
        <v>0</v>
      </c>
      <c r="AF50" s="11" t="s">
        <v>447</v>
      </c>
    </row>
    <row r="51" spans="1:32">
      <c r="A51" t="b">
        <f>IF(Table8[[#This Row],[Column12]],Table8[[#This Row],[Column13]])</f>
        <v>0</v>
      </c>
      <c r="B51" s="20" t="b">
        <f>B7</f>
        <v>1</v>
      </c>
      <c r="C51" s="17"/>
      <c r="D51" s="17"/>
      <c r="E51" s="20" t="b">
        <f>E9</f>
        <v>1</v>
      </c>
      <c r="F51" s="20" t="b">
        <f>F2</f>
        <v>0</v>
      </c>
      <c r="G51" s="17"/>
      <c r="H51" s="17"/>
      <c r="I51" s="20" t="b">
        <f>I2</f>
        <v>0</v>
      </c>
      <c r="J51" s="17"/>
      <c r="K51" s="17"/>
      <c r="L51" s="17"/>
      <c r="M51" s="17"/>
      <c r="N51" s="17"/>
      <c r="O51" s="17"/>
      <c r="P51" s="17"/>
      <c r="Q51" s="17"/>
      <c r="R51" s="17"/>
      <c r="S51" s="17"/>
      <c r="T51" s="17"/>
      <c r="U51" s="17"/>
      <c r="V51" s="20" t="b">
        <f>V48</f>
        <v>0</v>
      </c>
      <c r="W51" s="17"/>
      <c r="X51" s="17"/>
      <c r="Y51" s="17"/>
      <c r="Z51" s="17"/>
      <c r="AA51" s="17"/>
      <c r="AB51" s="17"/>
      <c r="AC51" s="17"/>
      <c r="AD51" s="17"/>
      <c r="AE51" t="b">
        <f>AND(Table8[[#This Row],[Pregnant]:[Bismuth]])</f>
        <v>0</v>
      </c>
      <c r="AF51" s="11" t="s">
        <v>448</v>
      </c>
    </row>
    <row r="52" spans="1:32">
      <c r="A52" t="b">
        <f>IF(Table8[[#This Row],[Column12]],Table8[[#This Row],[Column13]])</f>
        <v>0</v>
      </c>
      <c r="B52" s="20" t="b">
        <f>B7</f>
        <v>1</v>
      </c>
      <c r="C52" s="17"/>
      <c r="D52" s="17"/>
      <c r="E52" s="20" t="b">
        <f>E9</f>
        <v>1</v>
      </c>
      <c r="F52" s="20" t="b">
        <f>F2</f>
        <v>0</v>
      </c>
      <c r="G52" s="17"/>
      <c r="H52" s="17"/>
      <c r="I52" s="20" t="b">
        <f>I2</f>
        <v>0</v>
      </c>
      <c r="J52" s="17"/>
      <c r="K52" s="17"/>
      <c r="L52" s="17"/>
      <c r="M52" s="17"/>
      <c r="N52" s="17"/>
      <c r="O52" s="17"/>
      <c r="P52" s="17"/>
      <c r="Q52" s="17"/>
      <c r="R52" s="17"/>
      <c r="S52" s="17"/>
      <c r="T52" s="17"/>
      <c r="U52" s="17"/>
      <c r="V52" s="20" t="b">
        <f>V48</f>
        <v>0</v>
      </c>
      <c r="W52" s="17"/>
      <c r="X52" s="17"/>
      <c r="Y52" s="17"/>
      <c r="Z52" s="17"/>
      <c r="AA52" s="17"/>
      <c r="AB52" s="17"/>
      <c r="AC52" s="17"/>
      <c r="AD52" s="17"/>
      <c r="AE52" t="b">
        <f>AND(Table8[[#This Row],[Pregnant]:[Bismuth]])</f>
        <v>0</v>
      </c>
      <c r="AF52" s="11" t="s">
        <v>446</v>
      </c>
    </row>
    <row r="53" spans="1:32">
      <c r="A53" s="16" t="b">
        <f>IF(Table8[[#This Row],[Column12]],Table8[[#This Row],[Column13]])</f>
        <v>0</v>
      </c>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row>
    <row r="54" spans="1:32">
      <c r="A54" t="b">
        <f>IF(Table8[[#This Row],[Column12]],Table8[[#This Row],[Column13]])</f>
        <v>0</v>
      </c>
      <c r="B54" s="17"/>
      <c r="C54" s="20" t="b">
        <f>C2</f>
        <v>1</v>
      </c>
      <c r="D54" s="20" t="b">
        <f>D2</f>
        <v>0</v>
      </c>
      <c r="E54" s="17"/>
      <c r="F54" s="17"/>
      <c r="G54" s="20" t="b">
        <f>G3</f>
        <v>0</v>
      </c>
      <c r="H54" s="17"/>
      <c r="I54" s="20" t="b">
        <f>I2</f>
        <v>0</v>
      </c>
      <c r="J54" s="17"/>
      <c r="K54" s="17"/>
      <c r="L54" s="17"/>
      <c r="M54" s="17"/>
      <c r="N54" s="17"/>
      <c r="O54" s="17"/>
      <c r="P54" s="17"/>
      <c r="Q54" s="17"/>
      <c r="R54" s="17"/>
      <c r="S54" s="17"/>
      <c r="T54" s="17"/>
      <c r="U54" s="17"/>
      <c r="V54" s="17"/>
      <c r="W54" s="17"/>
      <c r="X54" s="17"/>
      <c r="Y54" s="17"/>
      <c r="Z54" s="17"/>
      <c r="AA54" s="17"/>
      <c r="AB54" s="17"/>
      <c r="AC54" s="17"/>
      <c r="AD54" s="20" t="b">
        <f>AND('GastroIntestinal Criteria'!C7,OR('GastroIntestinal Criteria'!B18,'GastroIntestinal Criteria'!B20:B21),'GastroIntestinal Criteria'!C19)</f>
        <v>0</v>
      </c>
      <c r="AE54" t="b">
        <f>AND(Table8[[#This Row],[Pregnant]:[Bismuth]])</f>
        <v>0</v>
      </c>
      <c r="AF54" s="29" t="s">
        <v>460</v>
      </c>
    </row>
    <row r="55" spans="1:32">
      <c r="A55" t="b">
        <f>IF(Table8[[#This Row],[Column12]],Table8[[#This Row],[Column13]])</f>
        <v>0</v>
      </c>
      <c r="B55" s="17"/>
      <c r="C55" s="20" t="b">
        <f>C2</f>
        <v>1</v>
      </c>
      <c r="D55" s="20" t="b">
        <f>D2</f>
        <v>0</v>
      </c>
      <c r="E55" s="17"/>
      <c r="F55" s="17"/>
      <c r="G55" s="20" t="b">
        <f>G3</f>
        <v>0</v>
      </c>
      <c r="H55" s="17"/>
      <c r="I55" s="20" t="b">
        <f>I2</f>
        <v>0</v>
      </c>
      <c r="J55" s="17"/>
      <c r="K55" s="17"/>
      <c r="L55" s="17"/>
      <c r="M55" s="17"/>
      <c r="N55" s="17"/>
      <c r="O55" s="17"/>
      <c r="P55" s="17"/>
      <c r="Q55" s="17"/>
      <c r="R55" s="17"/>
      <c r="S55" s="17"/>
      <c r="T55" s="17"/>
      <c r="U55" s="17"/>
      <c r="V55" s="17"/>
      <c r="W55" s="17"/>
      <c r="X55" s="17"/>
      <c r="Y55" s="17"/>
      <c r="Z55" s="17"/>
      <c r="AA55" s="17"/>
      <c r="AB55" s="17"/>
      <c r="AC55" s="17"/>
      <c r="AD55" s="20" t="b">
        <f>AD54</f>
        <v>0</v>
      </c>
      <c r="AE55" t="b">
        <f>AND(Table8[[#This Row],[Pregnant]:[Bismuth]])</f>
        <v>0</v>
      </c>
      <c r="AF55" s="29" t="s">
        <v>461</v>
      </c>
    </row>
    <row r="56" spans="1:32">
      <c r="A56" t="b">
        <f>IF(Table8[[#This Row],[Column12]],Table8[[#This Row],[Column13]])</f>
        <v>0</v>
      </c>
      <c r="B56" s="17"/>
      <c r="C56" s="20" t="b">
        <f>C2</f>
        <v>1</v>
      </c>
      <c r="D56" s="20" t="b">
        <f>D2</f>
        <v>0</v>
      </c>
      <c r="E56" s="17"/>
      <c r="F56" s="20" t="b">
        <f>F2</f>
        <v>0</v>
      </c>
      <c r="G56" s="17"/>
      <c r="H56" s="17"/>
      <c r="I56" s="20" t="b">
        <f>I2</f>
        <v>0</v>
      </c>
      <c r="J56" s="17"/>
      <c r="K56" s="17"/>
      <c r="L56" s="17"/>
      <c r="M56" s="17"/>
      <c r="N56" s="17"/>
      <c r="O56" s="17"/>
      <c r="P56" s="17"/>
      <c r="Q56" s="17"/>
      <c r="R56" s="17"/>
      <c r="S56" s="17"/>
      <c r="T56" s="17"/>
      <c r="U56" s="17"/>
      <c r="V56" s="17"/>
      <c r="W56" s="17"/>
      <c r="X56" s="17"/>
      <c r="Y56" s="17"/>
      <c r="Z56" s="17"/>
      <c r="AA56" s="17"/>
      <c r="AB56" s="17"/>
      <c r="AC56" s="17"/>
      <c r="AD56" s="20" t="b">
        <f>AD54</f>
        <v>0</v>
      </c>
      <c r="AE56" t="b">
        <f>AND(Table8[[#This Row],[Pregnant]:[Bismuth]])</f>
        <v>0</v>
      </c>
      <c r="AF56" s="29" t="s">
        <v>462</v>
      </c>
    </row>
    <row r="57" spans="1:32">
      <c r="A57" t="b">
        <f>IF(Table8[[#This Row],[Column12]],Table8[[#This Row],[Column13]])</f>
        <v>0</v>
      </c>
      <c r="B57" s="17"/>
      <c r="C57" s="20" t="b">
        <f>C2</f>
        <v>1</v>
      </c>
      <c r="D57" s="20" t="b">
        <f>D2</f>
        <v>0</v>
      </c>
      <c r="E57" s="17"/>
      <c r="F57" s="20" t="b">
        <f>F2</f>
        <v>0</v>
      </c>
      <c r="G57" s="17"/>
      <c r="H57" s="17"/>
      <c r="I57" s="20" t="b">
        <f>I2</f>
        <v>0</v>
      </c>
      <c r="J57" s="17"/>
      <c r="K57" s="17"/>
      <c r="L57" s="17"/>
      <c r="M57" s="17"/>
      <c r="N57" s="17"/>
      <c r="O57" s="17"/>
      <c r="P57" s="17"/>
      <c r="Q57" s="17"/>
      <c r="R57" s="17"/>
      <c r="S57" s="17"/>
      <c r="T57" s="17"/>
      <c r="U57" s="17"/>
      <c r="V57" s="17"/>
      <c r="W57" s="17"/>
      <c r="X57" s="17"/>
      <c r="Y57" s="17"/>
      <c r="Z57" s="17"/>
      <c r="AA57" s="17"/>
      <c r="AB57" s="17"/>
      <c r="AC57" s="17"/>
      <c r="AD57" s="20" t="b">
        <f>AD54</f>
        <v>0</v>
      </c>
      <c r="AE57" t="b">
        <f>AND(Table8[[#This Row],[Pregnant]:[Bismuth]])</f>
        <v>0</v>
      </c>
      <c r="AF57" s="29" t="s">
        <v>463</v>
      </c>
    </row>
    <row r="58" spans="1:32">
      <c r="A58" t="b">
        <f>IF(Table8[[#This Row],[Column12]],Table8[[#This Row],[Column13]])</f>
        <v>0</v>
      </c>
      <c r="B58" s="17"/>
      <c r="C58" s="20" t="b">
        <f>C2</f>
        <v>1</v>
      </c>
      <c r="D58" s="20" t="b">
        <f>D2</f>
        <v>0</v>
      </c>
      <c r="E58" s="17"/>
      <c r="F58" s="20" t="b">
        <f>F2</f>
        <v>0</v>
      </c>
      <c r="G58" s="17"/>
      <c r="H58" s="17"/>
      <c r="I58" s="20" t="b">
        <f>I2</f>
        <v>0</v>
      </c>
      <c r="J58" s="17"/>
      <c r="K58" s="17"/>
      <c r="L58" s="17"/>
      <c r="M58" s="17"/>
      <c r="N58" s="17"/>
      <c r="O58" s="17"/>
      <c r="P58" s="17"/>
      <c r="Q58" s="17"/>
      <c r="R58" s="17"/>
      <c r="S58" s="17"/>
      <c r="T58" s="17"/>
      <c r="U58" s="17"/>
      <c r="V58" s="17"/>
      <c r="W58" s="17"/>
      <c r="X58" s="17"/>
      <c r="Y58" s="17"/>
      <c r="Z58" s="17"/>
      <c r="AA58" s="17"/>
      <c r="AB58" s="17"/>
      <c r="AC58" s="17"/>
      <c r="AD58" s="20" t="b">
        <f>AD54</f>
        <v>0</v>
      </c>
      <c r="AE58" t="b">
        <f>AND(Table8[[#This Row],[Pregnant]:[Bismuth]])</f>
        <v>0</v>
      </c>
      <c r="AF58" s="29" t="s">
        <v>464</v>
      </c>
    </row>
    <row r="59" spans="1:32">
      <c r="A59" t="b">
        <f>IF(Table8[[#This Row],[Column12]],Table8[[#This Row],[Column13]])</f>
        <v>0</v>
      </c>
      <c r="B59" s="17"/>
      <c r="C59" s="20" t="b">
        <f>C2</f>
        <v>1</v>
      </c>
      <c r="D59" s="20" t="b">
        <f>D2</f>
        <v>0</v>
      </c>
      <c r="E59" s="17"/>
      <c r="F59" s="20" t="b">
        <f>F2</f>
        <v>0</v>
      </c>
      <c r="G59" s="17"/>
      <c r="H59" s="17"/>
      <c r="I59" s="20" t="b">
        <f>I2</f>
        <v>0</v>
      </c>
      <c r="J59" s="17"/>
      <c r="K59" s="17"/>
      <c r="L59" s="17"/>
      <c r="M59" s="17"/>
      <c r="N59" s="17"/>
      <c r="O59" s="17"/>
      <c r="P59" s="17"/>
      <c r="Q59" s="17"/>
      <c r="R59" s="17"/>
      <c r="S59" s="17"/>
      <c r="T59" s="17"/>
      <c r="U59" s="17"/>
      <c r="V59" s="17"/>
      <c r="W59" s="17"/>
      <c r="X59" s="17"/>
      <c r="Y59" s="17"/>
      <c r="Z59" s="17"/>
      <c r="AA59" s="17"/>
      <c r="AB59" s="17"/>
      <c r="AC59" s="17"/>
      <c r="AD59" s="20" t="b">
        <f>AD54</f>
        <v>0</v>
      </c>
      <c r="AE59" t="b">
        <f>AND(Table8[[#This Row],[Pregnant]:[Bismuth]])</f>
        <v>0</v>
      </c>
      <c r="AF59" s="29" t="s">
        <v>465</v>
      </c>
    </row>
    <row r="60" spans="1:32">
      <c r="A60" t="b">
        <f>IF(Table8[[#This Row],[Column12]],Table8[[#This Row],[Column13]])</f>
        <v>0</v>
      </c>
      <c r="B60" s="17"/>
      <c r="C60" s="20" t="b">
        <f>C2</f>
        <v>1</v>
      </c>
      <c r="D60" s="20" t="b">
        <f>D2</f>
        <v>0</v>
      </c>
      <c r="E60" s="17"/>
      <c r="F60" s="17"/>
      <c r="G60" s="20" t="b">
        <f>G3</f>
        <v>0</v>
      </c>
      <c r="H60" s="17"/>
      <c r="I60" s="20" t="b">
        <f>I2</f>
        <v>0</v>
      </c>
      <c r="J60" s="17"/>
      <c r="K60" s="17"/>
      <c r="L60" s="17"/>
      <c r="M60" s="17"/>
      <c r="N60" s="17"/>
      <c r="O60" s="17"/>
      <c r="P60" s="17"/>
      <c r="Q60" s="17"/>
      <c r="R60" s="17"/>
      <c r="S60" s="17"/>
      <c r="T60" s="17"/>
      <c r="U60" s="17"/>
      <c r="V60" s="17"/>
      <c r="W60" s="17"/>
      <c r="X60" s="17"/>
      <c r="Y60" s="17"/>
      <c r="Z60" s="17"/>
      <c r="AA60" s="17"/>
      <c r="AB60" s="17"/>
      <c r="AC60" s="17"/>
      <c r="AD60" s="20" t="b">
        <f>AD54</f>
        <v>0</v>
      </c>
      <c r="AE60" t="b">
        <f>AND(Table8[[#This Row],[Pregnant]:[Bismuth]])</f>
        <v>0</v>
      </c>
      <c r="AF60" s="29" t="s">
        <v>466</v>
      </c>
    </row>
    <row r="61" spans="1:32">
      <c r="A61" t="b">
        <f>IF(Table8[[#This Row],[Column12]],Table8[[#This Row],[Column13]])</f>
        <v>0</v>
      </c>
      <c r="B61" s="17"/>
      <c r="C61" s="20" t="b">
        <f>C2</f>
        <v>1</v>
      </c>
      <c r="D61" s="20" t="b">
        <f>D2</f>
        <v>0</v>
      </c>
      <c r="E61" s="17"/>
      <c r="F61" s="17"/>
      <c r="G61" s="20" t="b">
        <f>G3</f>
        <v>0</v>
      </c>
      <c r="H61" s="17"/>
      <c r="I61" s="20" t="b">
        <f>I2</f>
        <v>0</v>
      </c>
      <c r="J61" s="17"/>
      <c r="K61" s="17"/>
      <c r="L61" s="17"/>
      <c r="M61" s="17"/>
      <c r="N61" s="17"/>
      <c r="O61" s="17"/>
      <c r="P61" s="17"/>
      <c r="Q61" s="17"/>
      <c r="R61" s="17"/>
      <c r="S61" s="17"/>
      <c r="T61" s="17"/>
      <c r="U61" s="17"/>
      <c r="V61" s="17"/>
      <c r="W61" s="17"/>
      <c r="X61" s="17"/>
      <c r="Y61" s="17"/>
      <c r="Z61" s="17"/>
      <c r="AA61" s="17"/>
      <c r="AB61" s="17"/>
      <c r="AC61" s="17"/>
      <c r="AD61" s="20" t="b">
        <f>AD54</f>
        <v>0</v>
      </c>
      <c r="AE61" t="b">
        <f>AND(Table8[[#This Row],[Pregnant]:[Bismuth]])</f>
        <v>0</v>
      </c>
      <c r="AF61" s="29" t="s">
        <v>467</v>
      </c>
    </row>
    <row r="62" spans="1:32">
      <c r="A62" t="b">
        <f>IF(Table8[[#This Row],[Column12]],Table8[[#This Row],[Column13]])</f>
        <v>0</v>
      </c>
      <c r="B62" s="17"/>
      <c r="C62" s="20" t="b">
        <f>C2</f>
        <v>1</v>
      </c>
      <c r="D62" s="17"/>
      <c r="E62" s="20" t="b">
        <f>E9</f>
        <v>1</v>
      </c>
      <c r="F62" s="20" t="b">
        <f>F2</f>
        <v>0</v>
      </c>
      <c r="G62" s="17"/>
      <c r="H62" s="17"/>
      <c r="I62" s="20" t="b">
        <f>I2</f>
        <v>0</v>
      </c>
      <c r="J62" s="17"/>
      <c r="K62" s="17"/>
      <c r="L62" s="17"/>
      <c r="M62" s="17"/>
      <c r="N62" s="17"/>
      <c r="O62" s="17"/>
      <c r="P62" s="17"/>
      <c r="Q62" s="17"/>
      <c r="R62" s="17"/>
      <c r="S62" s="17"/>
      <c r="T62" s="17"/>
      <c r="U62" s="17"/>
      <c r="V62" s="17"/>
      <c r="W62" s="17"/>
      <c r="X62" s="17"/>
      <c r="Y62" s="17"/>
      <c r="Z62" s="17"/>
      <c r="AA62" s="17"/>
      <c r="AB62" s="17"/>
      <c r="AC62" s="17"/>
      <c r="AD62" s="20" t="b">
        <f>AD54</f>
        <v>0</v>
      </c>
      <c r="AE62" t="b">
        <f>AND(Table8[[#This Row],[Pregnant]:[Bismuth]])</f>
        <v>0</v>
      </c>
      <c r="AF62" s="29" t="s">
        <v>468</v>
      </c>
    </row>
    <row r="63" spans="1:32">
      <c r="A63" s="16" t="b">
        <f>IF(Table8[[#This Row],[Column12]],Table8[[#This Row],[Column13]])</f>
        <v>0</v>
      </c>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row>
    <row r="64" spans="1:32">
      <c r="A64" t="b">
        <f>IF(Table8[[#This Row],[Column12]],Table8[[#This Row],[Column13]])</f>
        <v>0</v>
      </c>
      <c r="B64" s="17"/>
      <c r="C64" s="20" t="b">
        <f>C2</f>
        <v>1</v>
      </c>
      <c r="D64" s="20" t="b">
        <f>D2</f>
        <v>0</v>
      </c>
      <c r="E64" s="17"/>
      <c r="F64" s="17"/>
      <c r="G64" s="20" t="b">
        <f>G3</f>
        <v>0</v>
      </c>
      <c r="H64" s="17"/>
      <c r="I64" s="20" t="b">
        <f>I2</f>
        <v>0</v>
      </c>
      <c r="J64" s="17"/>
      <c r="K64" s="17"/>
      <c r="L64" s="17"/>
      <c r="M64" s="17"/>
      <c r="N64" s="17"/>
      <c r="O64" s="17"/>
      <c r="P64" s="17"/>
      <c r="Q64" s="17"/>
      <c r="R64" s="17"/>
      <c r="S64" s="17"/>
      <c r="T64" s="20" t="b">
        <f>T42</f>
        <v>0</v>
      </c>
      <c r="U64" s="17"/>
      <c r="V64" s="17"/>
      <c r="W64" s="17"/>
      <c r="X64" s="17"/>
      <c r="Y64" s="17"/>
      <c r="Z64" s="17"/>
      <c r="AA64" s="17"/>
      <c r="AB64" s="17"/>
      <c r="AC64" s="17"/>
      <c r="AD64" s="17"/>
      <c r="AE64" t="b">
        <f>AND(Table8[[#This Row],[Pregnant]:[Bismuth]])</f>
        <v>0</v>
      </c>
      <c r="AF64" s="11" t="s">
        <v>486</v>
      </c>
    </row>
    <row r="65" spans="1:32">
      <c r="A65" t="b">
        <f>IF(Table8[[#This Row],[Column12]],Table8[[#This Row],[Column13]])</f>
        <v>0</v>
      </c>
      <c r="B65" s="17"/>
      <c r="C65" s="20" t="b">
        <f>C2</f>
        <v>1</v>
      </c>
      <c r="D65" s="20" t="b">
        <f>D2</f>
        <v>0</v>
      </c>
      <c r="E65" s="17"/>
      <c r="F65" s="20" t="b">
        <f>F2</f>
        <v>0</v>
      </c>
      <c r="G65" s="17"/>
      <c r="H65" s="17"/>
      <c r="I65" s="20" t="b">
        <f>I2</f>
        <v>0</v>
      </c>
      <c r="J65" s="17"/>
      <c r="K65" s="17"/>
      <c r="L65" s="17"/>
      <c r="M65" s="17"/>
      <c r="N65" s="17"/>
      <c r="O65" s="17"/>
      <c r="P65" s="17"/>
      <c r="Q65" s="17"/>
      <c r="R65" s="17"/>
      <c r="S65" s="17"/>
      <c r="T65" s="20" t="b">
        <f>T42</f>
        <v>0</v>
      </c>
      <c r="U65" s="17"/>
      <c r="V65" s="17"/>
      <c r="W65" s="17"/>
      <c r="X65" s="17"/>
      <c r="Y65" s="17"/>
      <c r="Z65" s="17"/>
      <c r="AA65" s="17"/>
      <c r="AB65" s="17"/>
      <c r="AC65" s="17"/>
      <c r="AD65" s="17"/>
      <c r="AE65" t="b">
        <f>AND(Table8[[#This Row],[Pregnant]:[Bismuth]])</f>
        <v>0</v>
      </c>
      <c r="AF65" s="29" t="s">
        <v>473</v>
      </c>
    </row>
    <row r="66" spans="1:32">
      <c r="A66" s="16" t="b">
        <f>IF(Table8[[#This Row],[Column12]],Table8[[#This Row],[Column13]])</f>
        <v>0</v>
      </c>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row>
    <row r="67" spans="1:32">
      <c r="A67" t="b">
        <f>IF(Table8[[#This Row],[Column12]],Table8[[#This Row],[Column13]])</f>
        <v>0</v>
      </c>
      <c r="B67" s="20" t="b">
        <f>B7</f>
        <v>1</v>
      </c>
      <c r="C67" s="17"/>
      <c r="D67" s="20" t="b">
        <f>D2</f>
        <v>0</v>
      </c>
      <c r="E67" s="17"/>
      <c r="F67" s="20" t="b">
        <f>F2</f>
        <v>0</v>
      </c>
      <c r="G67" s="17"/>
      <c r="H67" s="17"/>
      <c r="I67" s="17"/>
      <c r="J67" s="20" t="b">
        <f>J7</f>
        <v>0</v>
      </c>
      <c r="K67" s="17"/>
      <c r="L67" s="17"/>
      <c r="M67" s="17"/>
      <c r="N67" s="17"/>
      <c r="O67" s="17"/>
      <c r="P67" s="17"/>
      <c r="Q67" s="17"/>
      <c r="R67" s="17"/>
      <c r="S67" s="17"/>
      <c r="T67" s="17"/>
      <c r="U67" s="17"/>
      <c r="V67" s="17"/>
      <c r="W67" s="20" t="b">
        <f>AND('GastroIntestinal Criteria'!B21,'GastroIntestinal Criteria'!C19,'GastroIntestinal Criteria'!C22)</f>
        <v>0</v>
      </c>
      <c r="X67" s="17"/>
      <c r="Y67" s="17"/>
      <c r="Z67" s="17"/>
      <c r="AA67" s="17"/>
      <c r="AB67" s="17"/>
      <c r="AC67" s="17"/>
      <c r="AD67" s="17"/>
      <c r="AE67" t="b">
        <f>AND(Table8[[#This Row],[Pregnant]:[Bismuth]])</f>
        <v>0</v>
      </c>
      <c r="AF67" s="28" t="s">
        <v>474</v>
      </c>
    </row>
    <row r="68" spans="1:32">
      <c r="A68" t="b">
        <f>IF(Table8[[#This Row],[Column12]],Table8[[#This Row],[Column13]])</f>
        <v>0</v>
      </c>
      <c r="B68" s="20" t="b">
        <f>B7</f>
        <v>1</v>
      </c>
      <c r="C68" s="17"/>
      <c r="D68" s="20" t="b">
        <f>D2</f>
        <v>0</v>
      </c>
      <c r="E68" s="17"/>
      <c r="F68" s="20" t="b">
        <f>F2</f>
        <v>0</v>
      </c>
      <c r="G68" s="17"/>
      <c r="H68" s="17"/>
      <c r="I68" s="17"/>
      <c r="J68" s="20" t="b">
        <f>J7</f>
        <v>0</v>
      </c>
      <c r="K68" s="17"/>
      <c r="L68" s="17"/>
      <c r="M68" s="17"/>
      <c r="N68" s="17"/>
      <c r="O68" s="17"/>
      <c r="P68" s="17"/>
      <c r="Q68" s="17"/>
      <c r="R68" s="17"/>
      <c r="S68" s="17"/>
      <c r="T68" s="17"/>
      <c r="U68" s="17"/>
      <c r="V68" s="17"/>
      <c r="W68" s="20" t="b">
        <f>W67</f>
        <v>0</v>
      </c>
      <c r="X68" s="17"/>
      <c r="Y68" s="17"/>
      <c r="Z68" s="17"/>
      <c r="AA68" s="17"/>
      <c r="AB68" s="17"/>
      <c r="AC68" s="17"/>
      <c r="AD68" s="17"/>
      <c r="AE68" t="b">
        <f>AND(Table8[[#This Row],[Pregnant]:[Bismuth]])</f>
        <v>0</v>
      </c>
      <c r="AF68" s="28" t="s">
        <v>475</v>
      </c>
    </row>
    <row r="69" spans="1:32">
      <c r="A69" t="b">
        <f>IF(Table8[[#This Row],[Column12]],Table8[[#This Row],[Column13]])</f>
        <v>0</v>
      </c>
      <c r="B69" s="20" t="b">
        <f>B7</f>
        <v>1</v>
      </c>
      <c r="C69" s="17"/>
      <c r="D69" s="20" t="b">
        <f>D2</f>
        <v>0</v>
      </c>
      <c r="E69" s="17"/>
      <c r="F69" s="20" t="b">
        <f>F2</f>
        <v>0</v>
      </c>
      <c r="G69" s="17"/>
      <c r="H69" s="17"/>
      <c r="I69" s="17"/>
      <c r="J69" s="20" t="b">
        <f>J7</f>
        <v>0</v>
      </c>
      <c r="K69" s="17"/>
      <c r="L69" s="17"/>
      <c r="M69" s="17"/>
      <c r="N69" s="17"/>
      <c r="O69" s="17"/>
      <c r="P69" s="17"/>
      <c r="Q69" s="17"/>
      <c r="R69" s="17"/>
      <c r="S69" s="17"/>
      <c r="T69" s="17"/>
      <c r="U69" s="17"/>
      <c r="V69" s="17"/>
      <c r="W69" s="20" t="b">
        <f>W67</f>
        <v>0</v>
      </c>
      <c r="X69" s="17"/>
      <c r="Y69" s="17"/>
      <c r="Z69" s="17"/>
      <c r="AA69" s="17"/>
      <c r="AB69" s="17"/>
      <c r="AC69" s="17"/>
      <c r="AD69" s="17"/>
      <c r="AE69" t="b">
        <f>AND(Table8[[#This Row],[Pregnant]:[Bismuth]])</f>
        <v>0</v>
      </c>
      <c r="AF69" s="28" t="s">
        <v>476</v>
      </c>
    </row>
    <row r="70" spans="1:32">
      <c r="A70" s="16" t="b">
        <f>IF(Table8[[#This Row],[Column12]],Table8[[#This Row],[Column13]])</f>
        <v>0</v>
      </c>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row>
    <row r="71" spans="1:32">
      <c r="A71" t="b">
        <f>IF(Table8[[#This Row],[Column12]],Table8[[#This Row],[Column13]])</f>
        <v>0</v>
      </c>
      <c r="B71" s="20" t="b">
        <f>B7</f>
        <v>1</v>
      </c>
      <c r="C71" s="17"/>
      <c r="D71" s="20" t="b">
        <f>D2</f>
        <v>0</v>
      </c>
      <c r="E71" s="17"/>
      <c r="F71" s="20" t="b">
        <f>F2</f>
        <v>0</v>
      </c>
      <c r="G71" s="17"/>
      <c r="H71" s="17"/>
      <c r="I71" s="17"/>
      <c r="J71" s="20" t="b">
        <f>J7</f>
        <v>0</v>
      </c>
      <c r="K71" s="17"/>
      <c r="L71" s="17"/>
      <c r="M71" s="17"/>
      <c r="N71" s="17"/>
      <c r="O71" s="17"/>
      <c r="P71" s="17"/>
      <c r="Q71" s="17"/>
      <c r="R71" s="17"/>
      <c r="S71" s="17"/>
      <c r="T71" s="17"/>
      <c r="U71" s="17"/>
      <c r="V71" s="17"/>
      <c r="W71" s="20" t="b">
        <f>W67</f>
        <v>0</v>
      </c>
      <c r="X71" s="17"/>
      <c r="Y71" s="17"/>
      <c r="Z71" s="17"/>
      <c r="AA71" s="17"/>
      <c r="AB71" s="17"/>
      <c r="AC71" s="17"/>
      <c r="AD71" s="17"/>
      <c r="AE71" t="b">
        <f>AND(Table8[[#This Row],[Pregnant]:[Bismuth]])</f>
        <v>0</v>
      </c>
      <c r="AF71" s="29" t="s">
        <v>478</v>
      </c>
    </row>
    <row r="72" spans="1:32">
      <c r="A72" t="b">
        <f>IF(Table8[[#This Row],[Column12]],Table8[[#This Row],[Column13]])</f>
        <v>0</v>
      </c>
      <c r="B72" s="20" t="b">
        <f>B7</f>
        <v>1</v>
      </c>
      <c r="C72" s="17"/>
      <c r="D72" s="20" t="b">
        <f>D2</f>
        <v>0</v>
      </c>
      <c r="E72" s="17"/>
      <c r="F72" s="20" t="b">
        <f>F2</f>
        <v>0</v>
      </c>
      <c r="G72" s="17"/>
      <c r="H72" s="17"/>
      <c r="I72" s="17"/>
      <c r="J72" s="20" t="b">
        <f>J7</f>
        <v>0</v>
      </c>
      <c r="K72" s="17"/>
      <c r="L72" s="17"/>
      <c r="M72" s="17"/>
      <c r="N72" s="17"/>
      <c r="O72" s="17"/>
      <c r="P72" s="17"/>
      <c r="Q72" s="17"/>
      <c r="R72" s="17"/>
      <c r="S72" s="17"/>
      <c r="T72" s="17"/>
      <c r="U72" s="17"/>
      <c r="V72" s="17"/>
      <c r="W72" s="20" t="b">
        <f>W67</f>
        <v>0</v>
      </c>
      <c r="X72" s="17"/>
      <c r="Y72" s="17"/>
      <c r="Z72" s="17"/>
      <c r="AA72" s="17"/>
      <c r="AB72" s="17"/>
      <c r="AC72" s="17"/>
      <c r="AD72" s="17"/>
      <c r="AE72" t="b">
        <f>AND(Table8[[#This Row],[Pregnant]:[Bismuth]])</f>
        <v>0</v>
      </c>
      <c r="AF72" s="29" t="s">
        <v>479</v>
      </c>
    </row>
    <row r="73" spans="1:32">
      <c r="A73" t="b">
        <f>IF(Table8[[#This Row],[Column12]],Table8[[#This Row],[Column13]])</f>
        <v>0</v>
      </c>
      <c r="B73" s="20" t="b">
        <f>B7</f>
        <v>1</v>
      </c>
      <c r="C73" s="17"/>
      <c r="D73" s="20" t="b">
        <f>D2</f>
        <v>0</v>
      </c>
      <c r="E73" s="17"/>
      <c r="F73" s="20" t="b">
        <f>F2</f>
        <v>0</v>
      </c>
      <c r="G73" s="17"/>
      <c r="H73" s="17"/>
      <c r="I73" s="17"/>
      <c r="J73" s="20" t="b">
        <f>J7</f>
        <v>0</v>
      </c>
      <c r="K73" s="17"/>
      <c r="L73" s="17"/>
      <c r="M73" s="17"/>
      <c r="N73" s="17"/>
      <c r="O73" s="17"/>
      <c r="P73" s="17"/>
      <c r="Q73" s="17"/>
      <c r="R73" s="17"/>
      <c r="S73" s="17"/>
      <c r="T73" s="17"/>
      <c r="U73" s="17"/>
      <c r="V73" s="17"/>
      <c r="W73" s="20" t="b">
        <f>W67</f>
        <v>0</v>
      </c>
      <c r="X73" s="17"/>
      <c r="Y73" s="17"/>
      <c r="Z73" s="17"/>
      <c r="AA73" s="17"/>
      <c r="AB73" s="17"/>
      <c r="AC73" s="17"/>
      <c r="AD73" s="17"/>
      <c r="AE73" t="b">
        <f>AND(Table8[[#This Row],[Pregnant]:[Bismuth]])</f>
        <v>0</v>
      </c>
      <c r="AF73" s="29" t="s">
        <v>480</v>
      </c>
    </row>
    <row r="74" spans="1:32">
      <c r="A74" s="16" t="b">
        <f>IF(Table8[[#This Row],[Column12]],Table8[[#This Row],[Column13]])</f>
        <v>0</v>
      </c>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row>
    <row r="75" spans="1:32">
      <c r="A75" t="b">
        <f>IF(Table8[[#This Row],[Column12]],Table8[[#This Row],[Column13]])</f>
        <v>0</v>
      </c>
      <c r="B75" s="20" t="b">
        <f>B7</f>
        <v>1</v>
      </c>
      <c r="C75" s="17"/>
      <c r="D75" s="20" t="b">
        <f>D2</f>
        <v>0</v>
      </c>
      <c r="E75" s="17"/>
      <c r="F75" s="20" t="b">
        <f>F2</f>
        <v>0</v>
      </c>
      <c r="G75" s="17"/>
      <c r="H75" s="17"/>
      <c r="I75" s="17"/>
      <c r="J75" s="20" t="b">
        <f>J7</f>
        <v>0</v>
      </c>
      <c r="K75" s="17"/>
      <c r="L75" s="17"/>
      <c r="M75" s="17"/>
      <c r="N75" s="17"/>
      <c r="O75" s="17"/>
      <c r="P75" s="17"/>
      <c r="Q75" s="17"/>
      <c r="R75" s="17"/>
      <c r="S75" s="17"/>
      <c r="T75" s="17"/>
      <c r="U75" s="17"/>
      <c r="V75" s="17"/>
      <c r="W75" s="17"/>
      <c r="X75" s="20" t="b">
        <f>AND('GastroIntestinal Criteria'!B21,'GastroIntestinal Criteria'!C19,'GastroIntestinal Criteria'!C22)</f>
        <v>0</v>
      </c>
      <c r="Y75" s="17"/>
      <c r="Z75" s="17"/>
      <c r="AA75" s="17"/>
      <c r="AB75" s="17"/>
      <c r="AC75" s="17"/>
      <c r="AD75" s="17"/>
      <c r="AE75" t="b">
        <f>AND(Table8[[#This Row],[Pregnant]:[Bismuth]])</f>
        <v>0</v>
      </c>
      <c r="AF75" s="29" t="s">
        <v>481</v>
      </c>
    </row>
    <row r="76" spans="1:32">
      <c r="A76" s="16" t="b">
        <f>IF(Table8[[#This Row],[Column12]],Table8[[#This Row],[Column13]])</f>
        <v>0</v>
      </c>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row>
    <row r="77" spans="1:32">
      <c r="A77" t="b">
        <f>IF(Table8[[#This Row],[Column12]],Table8[[#This Row],[Column13]])</f>
        <v>0</v>
      </c>
      <c r="B77" s="20" t="b">
        <f>B7</f>
        <v>1</v>
      </c>
      <c r="C77" s="17"/>
      <c r="D77" s="20" t="b">
        <f>D2</f>
        <v>0</v>
      </c>
      <c r="E77" s="17"/>
      <c r="F77" s="20" t="b">
        <f>F2</f>
        <v>0</v>
      </c>
      <c r="G77" s="17"/>
      <c r="H77" s="17"/>
      <c r="I77" s="17"/>
      <c r="J77" s="20" t="b">
        <f>J7</f>
        <v>0</v>
      </c>
      <c r="K77" s="17"/>
      <c r="L77" s="17"/>
      <c r="M77" s="17"/>
      <c r="N77" s="17"/>
      <c r="O77" s="17"/>
      <c r="P77" s="17"/>
      <c r="Q77" s="17"/>
      <c r="R77" s="17"/>
      <c r="S77" s="17"/>
      <c r="T77" s="17"/>
      <c r="U77" s="17"/>
      <c r="V77" s="17"/>
      <c r="W77" s="17"/>
      <c r="X77" s="20" t="b">
        <f>X75</f>
        <v>0</v>
      </c>
      <c r="Y77" s="17"/>
      <c r="Z77" s="17"/>
      <c r="AA77" s="17"/>
      <c r="AB77" s="17"/>
      <c r="AC77" s="17"/>
      <c r="AD77" s="17"/>
      <c r="AE77" t="b">
        <f>AND(Table8[[#This Row],[Pregnant]:[Bismuth]])</f>
        <v>0</v>
      </c>
      <c r="AF77" s="29" t="s">
        <v>482</v>
      </c>
    </row>
    <row r="78" spans="1:32">
      <c r="A78" s="16" t="b">
        <f>IF(Table8[[#This Row],[Column12]],Table8[[#This Row],[Column13]])</f>
        <v>0</v>
      </c>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row>
    <row r="79" spans="1:32">
      <c r="A79" t="b">
        <f>IF(Table8[[#This Row],[Column12]],Table8[[#This Row],[Column13]])</f>
        <v>0</v>
      </c>
      <c r="B79" s="20" t="b">
        <f>B7</f>
        <v>1</v>
      </c>
      <c r="C79" s="17"/>
      <c r="D79" s="17"/>
      <c r="E79" s="20" t="b">
        <f>E9</f>
        <v>1</v>
      </c>
      <c r="F79" s="20" t="b">
        <f>F2</f>
        <v>0</v>
      </c>
      <c r="G79" s="17"/>
      <c r="H79" s="17"/>
      <c r="I79" s="20" t="b">
        <f>I2</f>
        <v>0</v>
      </c>
      <c r="J79" s="17"/>
      <c r="K79" s="17"/>
      <c r="L79" s="17"/>
      <c r="M79" s="17"/>
      <c r="N79" s="17"/>
      <c r="O79" s="17"/>
      <c r="P79" s="17"/>
      <c r="Q79" s="17"/>
      <c r="R79" s="17"/>
      <c r="S79" s="17"/>
      <c r="T79" s="17"/>
      <c r="U79" s="17"/>
      <c r="V79" s="17"/>
      <c r="W79" s="17"/>
      <c r="X79" s="17"/>
      <c r="Y79" s="17"/>
      <c r="Z79" s="106" t="b">
        <f>AND('GastroIntestinal Criteria'!B13,OR('GastroIntestinal Criteria'!B18,'GastroIntestinal Criteria'!B21,'GastroIntestinal Criteria'!B23))</f>
        <v>0</v>
      </c>
      <c r="AA79" s="17"/>
      <c r="AB79" s="17"/>
      <c r="AC79" s="17"/>
      <c r="AD79" s="17"/>
      <c r="AE79" t="b">
        <f>AND(Table8[[#This Row],[Pregnant]:[Bismuth]])</f>
        <v>0</v>
      </c>
      <c r="AF79" s="11" t="s">
        <v>483</v>
      </c>
    </row>
    <row r="80" spans="1:32">
      <c r="A80" t="b">
        <f>IF(Table8[[#This Row],[Column12]],Table8[[#This Row],[Column13]])</f>
        <v>0</v>
      </c>
      <c r="B80" s="20" t="b">
        <f>B7</f>
        <v>1</v>
      </c>
      <c r="C80" s="17"/>
      <c r="D80" s="17"/>
      <c r="E80" s="20" t="b">
        <f>E9</f>
        <v>1</v>
      </c>
      <c r="F80" s="20" t="b">
        <f>F2</f>
        <v>0</v>
      </c>
      <c r="G80" s="17"/>
      <c r="H80" s="17"/>
      <c r="I80" s="20" t="b">
        <f>I2</f>
        <v>0</v>
      </c>
      <c r="J80" s="17"/>
      <c r="K80" s="17"/>
      <c r="L80" s="17"/>
      <c r="M80" s="17"/>
      <c r="N80" s="17"/>
      <c r="O80" s="17"/>
      <c r="P80" s="17"/>
      <c r="Q80" s="17"/>
      <c r="R80" s="17"/>
      <c r="S80" s="17"/>
      <c r="T80" s="17"/>
      <c r="U80" s="17"/>
      <c r="V80" s="17"/>
      <c r="W80" s="17"/>
      <c r="X80" s="17"/>
      <c r="Y80" s="17"/>
      <c r="Z80" s="20" t="b">
        <f>Z79</f>
        <v>0</v>
      </c>
      <c r="AA80" s="17"/>
      <c r="AB80" s="17"/>
      <c r="AC80" s="17"/>
      <c r="AD80" s="17"/>
      <c r="AE80" t="b">
        <f>AND(Table8[[#This Row],[Pregnant]:[Bismuth]])</f>
        <v>0</v>
      </c>
      <c r="AF80" s="11" t="s">
        <v>484</v>
      </c>
    </row>
    <row r="81" spans="1:33">
      <c r="A81" t="b">
        <f>IF(Table8[[#This Row],[Column12]],Table8[[#This Row],[Column13]])</f>
        <v>0</v>
      </c>
      <c r="B81" s="20" t="b">
        <f>B7</f>
        <v>1</v>
      </c>
      <c r="C81" s="17"/>
      <c r="D81" s="17"/>
      <c r="E81" s="20" t="b">
        <f>E9</f>
        <v>1</v>
      </c>
      <c r="F81" s="20" t="b">
        <f>F2</f>
        <v>0</v>
      </c>
      <c r="G81" s="17"/>
      <c r="H81" s="17"/>
      <c r="I81" s="20" t="b">
        <f>I2</f>
        <v>0</v>
      </c>
      <c r="J81" s="17"/>
      <c r="K81" s="17"/>
      <c r="L81" s="17"/>
      <c r="M81" s="17"/>
      <c r="N81" s="17"/>
      <c r="O81" s="17"/>
      <c r="P81" s="17"/>
      <c r="Q81" s="17"/>
      <c r="R81" s="17"/>
      <c r="S81" s="17"/>
      <c r="T81" s="17"/>
      <c r="U81" s="17"/>
      <c r="V81" s="17"/>
      <c r="W81" s="17"/>
      <c r="X81" s="17"/>
      <c r="Y81" s="17"/>
      <c r="Z81" s="20" t="b">
        <f>Z79</f>
        <v>0</v>
      </c>
      <c r="AA81" s="17"/>
      <c r="AB81" s="17"/>
      <c r="AC81" s="17"/>
      <c r="AD81" s="17"/>
      <c r="AE81" t="b">
        <f>AND(Table8[[#This Row],[Pregnant]:[Bismuth]])</f>
        <v>0</v>
      </c>
      <c r="AF81" s="11" t="s">
        <v>485</v>
      </c>
    </row>
    <row r="82" spans="1:33">
      <c r="A82" s="16" t="b">
        <f>IF(Table8[[#This Row],[Column12]],Table8[[#This Row],[Column13]])</f>
        <v>0</v>
      </c>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row>
    <row r="83" spans="1:33">
      <c r="A83" t="b">
        <f>IF(Table8[[#This Row],[Column12]],Table8[[#This Row],[Column13]])</f>
        <v>0</v>
      </c>
      <c r="B83" s="17"/>
      <c r="C83" s="20" t="b">
        <f>C2</f>
        <v>1</v>
      </c>
      <c r="D83" s="20" t="b">
        <f>D2</f>
        <v>0</v>
      </c>
      <c r="E83" s="17"/>
      <c r="F83" s="17"/>
      <c r="G83" s="17"/>
      <c r="H83" s="20" t="b">
        <f>H34</f>
        <v>0</v>
      </c>
      <c r="I83" s="20" t="b">
        <f>I2</f>
        <v>0</v>
      </c>
      <c r="J83" s="17"/>
      <c r="K83" s="17"/>
      <c r="L83" s="17"/>
      <c r="M83" s="17"/>
      <c r="N83" s="17"/>
      <c r="O83" s="17"/>
      <c r="P83" s="17"/>
      <c r="Q83" s="17"/>
      <c r="R83" s="20" t="b">
        <f>AND('GastroIntestinal Criteria'!C11,'GastroIntestinal Criteria'!B19,'GastroIntestinal Criteria'!C18,'GastroIntestinal Criteria'!C20:C22)</f>
        <v>0</v>
      </c>
      <c r="S83" s="17"/>
      <c r="T83" s="17"/>
      <c r="U83" s="17"/>
      <c r="V83" s="17"/>
      <c r="W83" s="17"/>
      <c r="X83" s="17"/>
      <c r="Y83" s="17"/>
      <c r="Z83" s="17"/>
      <c r="AA83" s="17"/>
      <c r="AB83" s="17"/>
      <c r="AC83" s="17"/>
      <c r="AD83" s="17"/>
      <c r="AE83" t="b">
        <f>AND(Table8[[#This Row],[Pregnant]:[Bismuth]])</f>
        <v>0</v>
      </c>
      <c r="AF83" s="29" t="s">
        <v>488</v>
      </c>
      <c r="AG83" t="s">
        <v>490</v>
      </c>
    </row>
    <row r="84" spans="1:33">
      <c r="A84" t="b">
        <f>IF(Table8[[#This Row],[Column12]],Table8[[#This Row],[Column13]])</f>
        <v>0</v>
      </c>
      <c r="B84" s="17"/>
      <c r="C84" s="20" t="b">
        <f>C2</f>
        <v>1</v>
      </c>
      <c r="D84" s="20" t="b">
        <f>D2</f>
        <v>0</v>
      </c>
      <c r="E84" s="17"/>
      <c r="F84" s="17"/>
      <c r="G84" s="17"/>
      <c r="H84" s="20" t="b">
        <f>H34</f>
        <v>0</v>
      </c>
      <c r="I84" s="20" t="b">
        <f>I2</f>
        <v>0</v>
      </c>
      <c r="J84" s="17"/>
      <c r="K84" s="17"/>
      <c r="L84" s="17"/>
      <c r="M84" s="17"/>
      <c r="N84" s="17"/>
      <c r="O84" s="17"/>
      <c r="P84" s="17"/>
      <c r="Q84" s="17"/>
      <c r="R84" s="20" t="b">
        <f>R83</f>
        <v>0</v>
      </c>
      <c r="S84" s="17"/>
      <c r="T84" s="17"/>
      <c r="U84" s="17"/>
      <c r="V84" s="17"/>
      <c r="W84" s="17"/>
      <c r="X84" s="17"/>
      <c r="Y84" s="17"/>
      <c r="Z84" s="17"/>
      <c r="AA84" s="17"/>
      <c r="AB84" s="17"/>
      <c r="AC84" s="17"/>
      <c r="AD84" s="17"/>
      <c r="AE84" t="b">
        <f>AND(Table8[[#This Row],[Pregnant]:[Bismuth]])</f>
        <v>0</v>
      </c>
      <c r="AF84" s="29" t="s">
        <v>489</v>
      </c>
    </row>
    <row r="85" spans="1:33">
      <c r="A85" t="b">
        <f>IF(Table8[[#This Row],[Column12]],Table8[[#This Row],[Column13]])</f>
        <v>0</v>
      </c>
      <c r="B85" s="17"/>
      <c r="C85" s="20" t="b">
        <f>C2</f>
        <v>1</v>
      </c>
      <c r="D85" s="20" t="b">
        <f>D2</f>
        <v>0</v>
      </c>
      <c r="E85" s="17"/>
      <c r="F85" s="17"/>
      <c r="G85" s="17"/>
      <c r="H85" s="20" t="b">
        <f>H34</f>
        <v>0</v>
      </c>
      <c r="I85" s="20" t="b">
        <f>I2</f>
        <v>0</v>
      </c>
      <c r="J85" s="17"/>
      <c r="K85" s="17"/>
      <c r="L85" s="17"/>
      <c r="M85" s="17"/>
      <c r="N85" s="17"/>
      <c r="O85" s="17"/>
      <c r="P85" s="17"/>
      <c r="Q85" s="17"/>
      <c r="R85" s="17"/>
      <c r="S85" s="17"/>
      <c r="T85" s="17"/>
      <c r="U85" s="17"/>
      <c r="V85" s="17"/>
      <c r="W85" s="17"/>
      <c r="X85" s="17"/>
      <c r="Y85" s="17"/>
      <c r="Z85" s="17"/>
      <c r="AA85" s="20" t="b">
        <f>AND('GastroIntestinal Criteria'!B19,'GastroIntestinal Criteria'!C18,'GastroIntestinal Criteria'!C20:C22)</f>
        <v>0</v>
      </c>
      <c r="AB85" s="17"/>
      <c r="AC85" s="17"/>
      <c r="AD85" s="17"/>
      <c r="AE85" t="b">
        <f>AND(Table8[[#This Row],[Pregnant]:[Bismuth]])</f>
        <v>0</v>
      </c>
      <c r="AF85" s="29" t="s">
        <v>491</v>
      </c>
    </row>
    <row r="86" spans="1:33">
      <c r="A86" t="b">
        <f>IF(Table8[[#This Row],[Column12]],Table8[[#This Row],[Column13]])</f>
        <v>0</v>
      </c>
      <c r="B86" s="17"/>
      <c r="C86" s="20" t="b">
        <f>C2</f>
        <v>1</v>
      </c>
      <c r="D86" s="20" t="b">
        <f>D2</f>
        <v>0</v>
      </c>
      <c r="E86" s="17"/>
      <c r="F86" s="17"/>
      <c r="G86" s="17"/>
      <c r="H86" s="20" t="b">
        <f>H34</f>
        <v>0</v>
      </c>
      <c r="I86" s="20" t="b">
        <f>I2</f>
        <v>0</v>
      </c>
      <c r="J86" s="17"/>
      <c r="K86" s="17"/>
      <c r="L86" s="17"/>
      <c r="M86" s="17"/>
      <c r="N86" s="17"/>
      <c r="O86" s="17"/>
      <c r="P86" s="17"/>
      <c r="Q86" s="17"/>
      <c r="R86" s="17"/>
      <c r="S86" s="17"/>
      <c r="T86" s="17"/>
      <c r="U86" s="17"/>
      <c r="V86" s="17"/>
      <c r="W86" s="17"/>
      <c r="X86" s="17"/>
      <c r="Y86" s="17"/>
      <c r="Z86" s="17"/>
      <c r="AA86" s="17"/>
      <c r="AB86" s="20" t="b">
        <f>AND('GastroIntestinal Criteria'!B19,'GastroIntestinal Criteria'!C18,'GastroIntestinal Criteria'!C20:C22)</f>
        <v>0</v>
      </c>
      <c r="AC86" s="17"/>
      <c r="AD86" s="17"/>
      <c r="AE86" t="b">
        <f>AND(Table8[[#This Row],[Pregnant]:[Bismuth]])</f>
        <v>0</v>
      </c>
      <c r="AF86" s="29" t="s">
        <v>494</v>
      </c>
    </row>
    <row r="87" spans="1:33">
      <c r="A87" t="b">
        <f>IF(Table8[[#This Row],[Column12]],Table8[[#This Row],[Column13]])</f>
        <v>0</v>
      </c>
      <c r="B87" s="20" t="b">
        <f>B7</f>
        <v>1</v>
      </c>
      <c r="C87" s="17"/>
      <c r="D87" s="17"/>
      <c r="E87" s="20" t="b">
        <f>E9</f>
        <v>1</v>
      </c>
      <c r="F87" s="17"/>
      <c r="G87" s="17"/>
      <c r="H87" s="20" t="b">
        <f>H34</f>
        <v>0</v>
      </c>
      <c r="I87" s="20" t="b">
        <f>I2</f>
        <v>0</v>
      </c>
      <c r="J87" s="17"/>
      <c r="K87" s="17"/>
      <c r="L87" s="17"/>
      <c r="M87" s="20" t="b">
        <f>AND('GastroIntestinal Criteria'!B19,'GastroIntestinal Criteria'!C18,'GastroIntestinal Criteria'!C20:C22)</f>
        <v>0</v>
      </c>
      <c r="N87" s="17"/>
      <c r="O87" s="17"/>
      <c r="P87" s="17"/>
      <c r="Q87" s="17"/>
      <c r="R87" s="17"/>
      <c r="S87" s="17"/>
      <c r="T87" s="17"/>
      <c r="U87" s="17"/>
      <c r="V87" s="17"/>
      <c r="W87" s="17"/>
      <c r="X87" s="17"/>
      <c r="Y87" s="17"/>
      <c r="Z87" s="17"/>
      <c r="AA87" s="17"/>
      <c r="AB87" s="17"/>
      <c r="AC87" s="17"/>
      <c r="AD87" s="17"/>
      <c r="AE87" t="b">
        <f>AND(Table8[[#This Row],[Pregnant]:[Bismuth]])</f>
        <v>0</v>
      </c>
      <c r="AF87" s="29" t="s">
        <v>495</v>
      </c>
    </row>
    <row r="88" spans="1:33">
      <c r="A88" t="b">
        <f>IF(Table8[[#This Row],[Column12]],Table8[[#This Row],[Column13]])</f>
        <v>0</v>
      </c>
      <c r="B88" s="20" t="b">
        <f>B7</f>
        <v>1</v>
      </c>
      <c r="C88" s="17"/>
      <c r="D88" s="17"/>
      <c r="E88" s="20" t="b">
        <f>E9</f>
        <v>1</v>
      </c>
      <c r="F88" s="17"/>
      <c r="G88" s="17"/>
      <c r="H88" s="20" t="b">
        <f>H34</f>
        <v>0</v>
      </c>
      <c r="I88" s="20" t="b">
        <f>I2</f>
        <v>0</v>
      </c>
      <c r="J88" s="17"/>
      <c r="K88" s="17"/>
      <c r="L88" s="17"/>
      <c r="M88" s="20" t="b">
        <f>M87</f>
        <v>0</v>
      </c>
      <c r="N88" s="17"/>
      <c r="O88" s="17"/>
      <c r="P88" s="17"/>
      <c r="Q88" s="17"/>
      <c r="R88" s="17"/>
      <c r="S88" s="17"/>
      <c r="T88" s="17"/>
      <c r="U88" s="17"/>
      <c r="V88" s="17"/>
      <c r="W88" s="17"/>
      <c r="X88" s="17"/>
      <c r="Y88" s="17"/>
      <c r="Z88" s="17"/>
      <c r="AA88" s="17"/>
      <c r="AB88" s="17"/>
      <c r="AC88" s="17"/>
      <c r="AD88" s="17"/>
      <c r="AE88" t="b">
        <f>AND(Table8[[#This Row],[Pregnant]:[Bismuth]])</f>
        <v>0</v>
      </c>
      <c r="AF88" s="29" t="s">
        <v>496</v>
      </c>
    </row>
    <row r="89" spans="1:33">
      <c r="A89" s="16" t="b">
        <f>IF(Table8[[#This Row],[Column12]],Table8[[#This Row],[Column13]])</f>
        <v>0</v>
      </c>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row>
    <row r="90" spans="1:33">
      <c r="A90" t="b">
        <f>IF(Table8[[#This Row],[Column12]],Table8[[#This Row],[Column13]])</f>
        <v>0</v>
      </c>
      <c r="B90" s="20" t="b">
        <f>B7</f>
        <v>1</v>
      </c>
      <c r="C90" s="17"/>
      <c r="D90" s="17"/>
      <c r="E90" s="20" t="b">
        <f>E9</f>
        <v>1</v>
      </c>
      <c r="F90" s="17"/>
      <c r="G90" s="17"/>
      <c r="H90" s="20" t="b">
        <f>H34</f>
        <v>0</v>
      </c>
      <c r="I90" s="20" t="b">
        <f>I2</f>
        <v>0</v>
      </c>
      <c r="J90" s="17"/>
      <c r="K90" s="17"/>
      <c r="L90" s="17"/>
      <c r="M90" s="20" t="b">
        <f>M87</f>
        <v>0</v>
      </c>
      <c r="N90" s="17"/>
      <c r="O90" s="17"/>
      <c r="P90" s="17"/>
      <c r="Q90" s="17"/>
      <c r="R90" s="17"/>
      <c r="S90" s="17"/>
      <c r="T90" s="17"/>
      <c r="U90" s="17"/>
      <c r="V90" s="17"/>
      <c r="W90" s="17"/>
      <c r="X90" s="17"/>
      <c r="Y90" s="17"/>
      <c r="Z90" s="17"/>
      <c r="AA90" s="17"/>
      <c r="AB90" s="17"/>
      <c r="AC90" s="17"/>
      <c r="AD90" s="17"/>
      <c r="AE90" t="b">
        <f>AND(Table8[[#This Row],[Pregnant]:[Bismuth]])</f>
        <v>0</v>
      </c>
      <c r="AF90" s="28" t="s">
        <v>497</v>
      </c>
    </row>
    <row r="91" spans="1:33">
      <c r="A91" t="b">
        <f>IF(Table8[[#This Row],[Column12]],Table8[[#This Row],[Column13]])</f>
        <v>0</v>
      </c>
      <c r="B91" s="20" t="b">
        <f>B7</f>
        <v>1</v>
      </c>
      <c r="C91" s="17"/>
      <c r="D91" s="17"/>
      <c r="E91" s="20" t="b">
        <f>E9</f>
        <v>1</v>
      </c>
      <c r="F91" s="20" t="b">
        <f>F2</f>
        <v>0</v>
      </c>
      <c r="G91" s="17"/>
      <c r="H91" s="17"/>
      <c r="I91" s="20" t="b">
        <f>I2</f>
        <v>0</v>
      </c>
      <c r="J91" s="17"/>
      <c r="K91" s="17"/>
      <c r="L91" s="17"/>
      <c r="M91" s="17"/>
      <c r="N91" s="17"/>
      <c r="O91" s="17"/>
      <c r="P91" s="17"/>
      <c r="Q91" s="17"/>
      <c r="R91" s="20" t="b">
        <f>R83</f>
        <v>0</v>
      </c>
      <c r="S91" s="17"/>
      <c r="T91" s="17"/>
      <c r="U91" s="17"/>
      <c r="V91" s="17"/>
      <c r="W91" s="17"/>
      <c r="X91" s="17"/>
      <c r="Y91" s="17"/>
      <c r="Z91" s="17"/>
      <c r="AA91" s="17"/>
      <c r="AB91" s="17"/>
      <c r="AC91" s="17"/>
      <c r="AD91" s="17"/>
      <c r="AE91" t="b">
        <f>AND(Table8[[#This Row],[Pregnant]:[Bismuth]])</f>
        <v>0</v>
      </c>
      <c r="AF91" s="28" t="s">
        <v>498</v>
      </c>
    </row>
    <row r="92" spans="1:33">
      <c r="A92" t="b">
        <f>IF(Table8[[#This Row],[Column12]],Table8[[#This Row],[Column13]])</f>
        <v>0</v>
      </c>
      <c r="B92" s="17"/>
      <c r="C92" s="20" t="b">
        <f>C2</f>
        <v>1</v>
      </c>
      <c r="D92" s="17"/>
      <c r="E92" s="20" t="b">
        <f>E9</f>
        <v>1</v>
      </c>
      <c r="F92" s="17"/>
      <c r="G92" s="20" t="b">
        <f>G3</f>
        <v>0</v>
      </c>
      <c r="H92" s="17"/>
      <c r="I92" s="17"/>
      <c r="J92" s="20" t="b">
        <f>J7</f>
        <v>0</v>
      </c>
      <c r="K92" s="17"/>
      <c r="L92" s="17"/>
      <c r="M92" s="17"/>
      <c r="N92" s="20" t="b">
        <f>N20</f>
        <v>0</v>
      </c>
      <c r="O92" s="17"/>
      <c r="P92" s="17"/>
      <c r="Q92" s="17"/>
      <c r="R92" s="17"/>
      <c r="S92" s="17"/>
      <c r="T92" s="17"/>
      <c r="U92" s="17"/>
      <c r="V92" s="17"/>
      <c r="W92" s="17"/>
      <c r="X92" s="17"/>
      <c r="Y92" s="17"/>
      <c r="Z92" s="17"/>
      <c r="AA92" s="17"/>
      <c r="AB92" s="17"/>
      <c r="AC92" s="17"/>
      <c r="AD92" s="17"/>
      <c r="AE92" t="b">
        <f>AND(Table8[[#This Row],[Pregnant]:[Bismuth]])</f>
        <v>0</v>
      </c>
      <c r="AF92" s="28" t="s">
        <v>499</v>
      </c>
    </row>
    <row r="93" spans="1:33">
      <c r="A93" t="b">
        <f>IF(Table8[[#This Row],[Column12]],Table8[[#This Row],[Column13]])</f>
        <v>0</v>
      </c>
      <c r="B93" s="20" t="b">
        <f>B7</f>
        <v>1</v>
      </c>
      <c r="C93" s="17"/>
      <c r="D93" s="17"/>
      <c r="E93" s="20" t="b">
        <f>E9</f>
        <v>1</v>
      </c>
      <c r="F93" s="17"/>
      <c r="G93" s="17"/>
      <c r="H93" s="20" t="b">
        <f>H34</f>
        <v>0</v>
      </c>
      <c r="I93" s="20" t="b">
        <f>I2</f>
        <v>0</v>
      </c>
      <c r="J93" s="17"/>
      <c r="K93" s="17"/>
      <c r="L93" s="17"/>
      <c r="M93" s="20" t="b">
        <f>M87</f>
        <v>0</v>
      </c>
      <c r="N93" s="17"/>
      <c r="O93" s="17"/>
      <c r="P93" s="17"/>
      <c r="Q93" s="17"/>
      <c r="R93" s="17"/>
      <c r="S93" s="17"/>
      <c r="T93" s="17"/>
      <c r="U93" s="17"/>
      <c r="V93" s="17"/>
      <c r="W93" s="17"/>
      <c r="X93" s="17"/>
      <c r="Y93" s="17"/>
      <c r="Z93" s="17"/>
      <c r="AA93" s="17"/>
      <c r="AB93" s="17"/>
      <c r="AC93" s="17"/>
      <c r="AD93" s="17"/>
      <c r="AE93" t="b">
        <f>AND(Table8[[#This Row],[Pregnant]:[Bismuth]])</f>
        <v>0</v>
      </c>
      <c r="AF93" s="28" t="s">
        <v>500</v>
      </c>
    </row>
    <row r="94" spans="1:33">
      <c r="A94" t="b">
        <f>IF(Table8[[#This Row],[Column12]],Table8[[#This Row],[Column13]])</f>
        <v>0</v>
      </c>
      <c r="B94" s="20" t="b">
        <f>B7</f>
        <v>1</v>
      </c>
      <c r="C94" s="17"/>
      <c r="D94" s="17"/>
      <c r="E94" s="20" t="b">
        <f>E9</f>
        <v>1</v>
      </c>
      <c r="F94" s="17"/>
      <c r="G94" s="17"/>
      <c r="H94" s="20" t="b">
        <f>H34</f>
        <v>0</v>
      </c>
      <c r="I94" s="20" t="b">
        <f>I2</f>
        <v>0</v>
      </c>
      <c r="J94" s="17"/>
      <c r="K94" s="17"/>
      <c r="L94" s="17"/>
      <c r="M94" s="17"/>
      <c r="N94" s="17"/>
      <c r="O94" s="17"/>
      <c r="P94" s="17"/>
      <c r="Q94" s="17"/>
      <c r="R94" s="20" t="b">
        <f>R83</f>
        <v>0</v>
      </c>
      <c r="S94" s="17"/>
      <c r="T94" s="17"/>
      <c r="U94" s="17"/>
      <c r="V94" s="17"/>
      <c r="W94" s="17"/>
      <c r="X94" s="17"/>
      <c r="Y94" s="17"/>
      <c r="Z94" s="17"/>
      <c r="AA94" s="17"/>
      <c r="AB94" s="17"/>
      <c r="AC94" s="17"/>
      <c r="AD94" s="17"/>
      <c r="AE94" t="b">
        <f>AND(Table8[[#This Row],[Pregnant]:[Bismuth]])</f>
        <v>0</v>
      </c>
      <c r="AF94" s="28" t="s">
        <v>501</v>
      </c>
    </row>
    <row r="95" spans="1:33">
      <c r="A95" t="b">
        <f>IF(Table8[[#This Row],[Column12]],Table8[[#This Row],[Column13]])</f>
        <v>0</v>
      </c>
      <c r="B95" s="20" t="b">
        <f>B7</f>
        <v>1</v>
      </c>
      <c r="C95" s="17"/>
      <c r="D95" s="17"/>
      <c r="E95" s="20" t="b">
        <f>E9</f>
        <v>1</v>
      </c>
      <c r="F95" s="20" t="b">
        <f>F2</f>
        <v>0</v>
      </c>
      <c r="G95" s="17"/>
      <c r="H95" s="17"/>
      <c r="I95" s="17"/>
      <c r="J95" s="20" t="b">
        <f>J7</f>
        <v>0</v>
      </c>
      <c r="K95" s="17"/>
      <c r="L95" s="17"/>
      <c r="M95" s="17"/>
      <c r="N95" s="17"/>
      <c r="O95" s="17"/>
      <c r="P95" s="17"/>
      <c r="Q95" s="17"/>
      <c r="R95" s="17"/>
      <c r="S95" s="17"/>
      <c r="T95" s="17"/>
      <c r="U95" s="17"/>
      <c r="V95" s="17"/>
      <c r="W95" s="17"/>
      <c r="X95" s="17"/>
      <c r="Y95" s="17"/>
      <c r="Z95" s="17"/>
      <c r="AA95" s="17"/>
      <c r="AB95" s="17"/>
      <c r="AC95" s="20" t="b">
        <f>AND('GastroIntestinal Criteria'!C12,OR('GastroIntestinal Criteria'!B18,'GastroIntestinal Criteria'!B23),'GastroIntestinal Criteria'!C19,'GastroIntestinal Criteria'!C22)</f>
        <v>0</v>
      </c>
      <c r="AD95" s="17"/>
      <c r="AE95" t="b">
        <f>AND(Table8[[#This Row],[Pregnant]:[Bismuth]])</f>
        <v>0</v>
      </c>
      <c r="AF95" s="28" t="s">
        <v>502</v>
      </c>
    </row>
    <row r="96" spans="1:33">
      <c r="A96" s="16" t="b">
        <f>IF(Table8[[#This Row],[Column12]],Table8[[#This Row],[Column13]])</f>
        <v>0</v>
      </c>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row>
    <row r="97" spans="1:33">
      <c r="A97" t="b">
        <f>IF(Table8[[#This Row],[Column12]],Table8[[#This Row],[Column13]])</f>
        <v>0</v>
      </c>
      <c r="B97" s="17"/>
      <c r="C97" s="20" t="b">
        <f>C2</f>
        <v>1</v>
      </c>
      <c r="D97" s="20" t="b">
        <f>D2</f>
        <v>0</v>
      </c>
      <c r="E97" s="17"/>
      <c r="F97" s="17"/>
      <c r="G97" s="17"/>
      <c r="H97" s="20" t="b">
        <f>H34</f>
        <v>0</v>
      </c>
      <c r="I97" s="20" t="b">
        <f>I2</f>
        <v>0</v>
      </c>
      <c r="J97" s="17"/>
      <c r="K97" s="17"/>
      <c r="L97" s="17"/>
      <c r="M97" s="17"/>
      <c r="N97" s="17"/>
      <c r="O97" s="17"/>
      <c r="P97" s="17"/>
      <c r="Q97" s="17"/>
      <c r="R97" s="17"/>
      <c r="S97" s="17"/>
      <c r="T97" s="17"/>
      <c r="U97" s="17"/>
      <c r="V97" s="17"/>
      <c r="W97" s="17"/>
      <c r="X97" s="17"/>
      <c r="Y97" s="17"/>
      <c r="Z97" s="17"/>
      <c r="AA97" s="17"/>
      <c r="AB97" s="20" t="b">
        <f>AB86</f>
        <v>0</v>
      </c>
      <c r="AC97" s="17"/>
      <c r="AD97" s="17"/>
      <c r="AE97" t="b">
        <f>AND(Table8[[#This Row],[Pregnant]:[Bismuth]])</f>
        <v>0</v>
      </c>
      <c r="AF97" s="29" t="s">
        <v>508</v>
      </c>
      <c r="AG97" t="s">
        <v>509</v>
      </c>
    </row>
    <row r="98" spans="1:33">
      <c r="A98" t="b">
        <f>IF(Table8[[#This Row],[Column12]],Table8[[#This Row],[Column13]])</f>
        <v>0</v>
      </c>
      <c r="B98" s="17"/>
      <c r="C98" s="20" t="b">
        <f>C2</f>
        <v>1</v>
      </c>
      <c r="D98" s="17"/>
      <c r="E98" s="20" t="b">
        <f>E9</f>
        <v>1</v>
      </c>
      <c r="F98" s="20" t="b">
        <f>F2</f>
        <v>0</v>
      </c>
      <c r="G98" s="17"/>
      <c r="H98" s="17"/>
      <c r="I98" s="17"/>
      <c r="J98" s="20" t="b">
        <f>J7</f>
        <v>0</v>
      </c>
      <c r="K98" s="17"/>
      <c r="L98" s="17"/>
      <c r="M98" s="17"/>
      <c r="N98" s="17"/>
      <c r="O98" s="17"/>
      <c r="P98" s="17"/>
      <c r="Q98" s="17"/>
      <c r="R98" s="17"/>
      <c r="S98" s="17"/>
      <c r="T98" s="17"/>
      <c r="U98" s="17"/>
      <c r="V98" s="17"/>
      <c r="W98" s="17"/>
      <c r="X98" s="17"/>
      <c r="Y98" s="17"/>
      <c r="Z98" s="17"/>
      <c r="AA98" s="17"/>
      <c r="AB98" s="20" t="b">
        <f>AB86</f>
        <v>0</v>
      </c>
      <c r="AC98" s="17"/>
      <c r="AD98" s="17"/>
      <c r="AE98" t="b">
        <f>AND(Table8[[#This Row],[Pregnant]:[Bismuth]])</f>
        <v>0</v>
      </c>
      <c r="AF98" s="29" t="s">
        <v>510</v>
      </c>
    </row>
    <row r="99" spans="1:33">
      <c r="A99" t="b">
        <f>IF(Table8[[#This Row],[Column12]],Table8[[#This Row],[Column13]])</f>
        <v>0</v>
      </c>
      <c r="B99" s="17"/>
      <c r="C99" s="20" t="b">
        <f>C2</f>
        <v>1</v>
      </c>
      <c r="D99" s="20" t="b">
        <f>D2</f>
        <v>0</v>
      </c>
      <c r="E99" s="17"/>
      <c r="F99" s="20" t="b">
        <f>F2</f>
        <v>0</v>
      </c>
      <c r="G99" s="17"/>
      <c r="H99" s="17"/>
      <c r="I99" s="17"/>
      <c r="J99" s="20" t="b">
        <f>J7</f>
        <v>0</v>
      </c>
      <c r="K99" s="17"/>
      <c r="L99" s="17"/>
      <c r="M99" s="17"/>
      <c r="N99" s="17"/>
      <c r="O99" s="17"/>
      <c r="P99" s="17"/>
      <c r="Q99" s="17"/>
      <c r="R99" s="17"/>
      <c r="S99" s="17"/>
      <c r="T99" s="17"/>
      <c r="U99" s="17"/>
      <c r="V99" s="17"/>
      <c r="W99" s="17"/>
      <c r="X99" s="17"/>
      <c r="Y99" s="17"/>
      <c r="Z99" s="17"/>
      <c r="AA99" s="17"/>
      <c r="AB99" s="20" t="b">
        <f>AB86</f>
        <v>0</v>
      </c>
      <c r="AC99" s="17"/>
      <c r="AD99" s="17"/>
      <c r="AE99" t="b">
        <f>AND(Table8[[#This Row],[Pregnant]:[Bismuth]])</f>
        <v>0</v>
      </c>
      <c r="AF99" s="29" t="s">
        <v>511</v>
      </c>
    </row>
    <row r="100" spans="1:33">
      <c r="A100" t="b">
        <f>IF(Table8[[#This Row],[Column12]],Table8[[#This Row],[Column13]])</f>
        <v>0</v>
      </c>
      <c r="B100" s="17"/>
      <c r="C100" s="20" t="b">
        <f>C2</f>
        <v>1</v>
      </c>
      <c r="D100" s="17"/>
      <c r="E100" s="20" t="b">
        <f>E9</f>
        <v>1</v>
      </c>
      <c r="F100" s="20" t="b">
        <f>F2</f>
        <v>0</v>
      </c>
      <c r="G100" s="17"/>
      <c r="H100" s="17"/>
      <c r="I100" s="17"/>
      <c r="J100" s="20" t="b">
        <f>J7</f>
        <v>0</v>
      </c>
      <c r="K100" s="17"/>
      <c r="L100" s="17"/>
      <c r="M100" s="17"/>
      <c r="N100" s="20" t="b">
        <f>N20</f>
        <v>0</v>
      </c>
      <c r="O100" s="17"/>
      <c r="P100" s="17"/>
      <c r="Q100" s="17"/>
      <c r="R100" s="17"/>
      <c r="S100" s="17"/>
      <c r="T100" s="17"/>
      <c r="U100" s="17"/>
      <c r="V100" s="17"/>
      <c r="W100" s="17"/>
      <c r="X100" s="17"/>
      <c r="Y100" s="17"/>
      <c r="Z100" s="17"/>
      <c r="AA100" s="17"/>
      <c r="AB100" s="17"/>
      <c r="AC100" s="17"/>
      <c r="AD100" s="17"/>
      <c r="AE100" t="b">
        <f>AND(Table8[[#This Row],[Pregnant]:[Bismuth]])</f>
        <v>0</v>
      </c>
      <c r="AF100" s="29" t="s">
        <v>512</v>
      </c>
    </row>
    <row r="101" spans="1:33">
      <c r="A101" s="16" t="b">
        <f>IF(Table8[[#This Row],[Column12]],Table8[[#This Row],[Column13]])</f>
        <v>0</v>
      </c>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row>
    <row r="102" spans="1:33">
      <c r="A102" t="b">
        <f>IF(Table8[[#This Row],[Column12]],Table8[[#This Row],[Column13]])</f>
        <v>0</v>
      </c>
      <c r="B102" s="17"/>
      <c r="C102" s="20" t="b">
        <f>C2</f>
        <v>1</v>
      </c>
      <c r="D102" s="20" t="b">
        <f>D2</f>
        <v>0</v>
      </c>
      <c r="E102" s="17"/>
      <c r="F102" s="20" t="b">
        <f>F2</f>
        <v>0</v>
      </c>
      <c r="G102" s="17"/>
      <c r="H102" s="17"/>
      <c r="I102" s="20" t="b">
        <f>I2</f>
        <v>0</v>
      </c>
      <c r="J102" s="17"/>
      <c r="K102" s="17"/>
      <c r="L102" s="17"/>
      <c r="M102" s="17"/>
      <c r="N102" s="17"/>
      <c r="O102" s="17"/>
      <c r="P102" s="17"/>
      <c r="Q102" s="17"/>
      <c r="R102" s="17"/>
      <c r="S102" s="17"/>
      <c r="T102" s="17"/>
      <c r="U102" s="17"/>
      <c r="V102" s="17"/>
      <c r="W102" s="17"/>
      <c r="X102" s="17"/>
      <c r="Y102" s="17"/>
      <c r="Z102" s="106" t="b">
        <f>AND('GastroIntestinal Criteria'!C14,OR('GastroIntestinal Criteria'!B21,'GastroIntestinal Criteria'!B23))</f>
        <v>0</v>
      </c>
      <c r="AA102" s="17"/>
      <c r="AB102" s="17"/>
      <c r="AC102" s="17"/>
      <c r="AD102" s="17"/>
      <c r="AE102" t="b">
        <f>AND(Table8[[#This Row],[Pregnant]:[Bismuth]])</f>
        <v>0</v>
      </c>
      <c r="AF102" s="29" t="s">
        <v>513</v>
      </c>
    </row>
    <row r="103" spans="1:33">
      <c r="A103" s="16" t="b">
        <f>IF(Table8[[#This Row],[Column12]],Table8[[#This Row],[Column13]])</f>
        <v>0</v>
      </c>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row>
    <row r="104" spans="1:33">
      <c r="A104" t="b">
        <f>IF(Table8[[#This Row],[Column12]],Table8[[#This Row],[Column13]])</f>
        <v>0</v>
      </c>
      <c r="B104" s="17"/>
      <c r="C104" s="20" t="b">
        <f>C2</f>
        <v>1</v>
      </c>
      <c r="D104" s="20" t="b">
        <f>D2</f>
        <v>0</v>
      </c>
      <c r="E104" s="17"/>
      <c r="F104" s="17"/>
      <c r="G104" s="20" t="b">
        <f>G3</f>
        <v>0</v>
      </c>
      <c r="H104" s="17"/>
      <c r="I104" s="20" t="b">
        <f>I2</f>
        <v>0</v>
      </c>
      <c r="J104" s="17"/>
      <c r="K104" s="17"/>
      <c r="L104" s="17"/>
      <c r="M104" s="17"/>
      <c r="N104" s="17"/>
      <c r="O104" s="17"/>
      <c r="P104" s="17"/>
      <c r="Q104" s="17"/>
      <c r="R104" s="20" t="b">
        <f>R83</f>
        <v>0</v>
      </c>
      <c r="S104" s="17"/>
      <c r="T104" s="17"/>
      <c r="U104" s="17"/>
      <c r="V104" s="17"/>
      <c r="W104" s="17"/>
      <c r="X104" s="17"/>
      <c r="Y104" s="17"/>
      <c r="Z104" s="17"/>
      <c r="AA104" s="17"/>
      <c r="AB104" s="17"/>
      <c r="AC104" s="17"/>
      <c r="AD104" s="17"/>
      <c r="AE104" t="b">
        <f>AND(Table8[[#This Row],[Pregnant]:[Bismuth]])</f>
        <v>0</v>
      </c>
      <c r="AF104" s="29" t="s">
        <v>515</v>
      </c>
    </row>
    <row r="105" spans="1:33">
      <c r="A105" t="b">
        <f>IF(Table8[[#This Row],[Column12]],Table8[[#This Row],[Column13]])</f>
        <v>0</v>
      </c>
      <c r="B105" s="17"/>
      <c r="C105" s="20" t="b">
        <f>C2</f>
        <v>1</v>
      </c>
      <c r="D105" s="20" t="b">
        <f>D2</f>
        <v>0</v>
      </c>
      <c r="E105" s="17"/>
      <c r="F105" s="17"/>
      <c r="G105" s="20" t="b">
        <f>G3</f>
        <v>0</v>
      </c>
      <c r="H105" s="17"/>
      <c r="I105" s="20" t="b">
        <f>I2</f>
        <v>0</v>
      </c>
      <c r="J105" s="17"/>
      <c r="K105" s="17"/>
      <c r="L105" s="17"/>
      <c r="M105" s="17"/>
      <c r="N105" s="17"/>
      <c r="O105" s="17"/>
      <c r="P105" s="17"/>
      <c r="Q105" s="17"/>
      <c r="R105" s="20" t="b">
        <f>R83</f>
        <v>0</v>
      </c>
      <c r="S105" s="17"/>
      <c r="T105" s="17"/>
      <c r="U105" s="17"/>
      <c r="V105" s="17"/>
      <c r="W105" s="17"/>
      <c r="X105" s="17"/>
      <c r="Y105" s="17"/>
      <c r="Z105" s="17"/>
      <c r="AA105" s="17"/>
      <c r="AB105" s="17"/>
      <c r="AC105" s="17"/>
      <c r="AD105" s="17"/>
      <c r="AE105" t="b">
        <f>AND(Table8[[#This Row],[Pregnant]:[Bismuth]])</f>
        <v>0</v>
      </c>
      <c r="AF105" s="29" t="s">
        <v>516</v>
      </c>
    </row>
    <row r="106" spans="1:33">
      <c r="A106" s="16" t="b">
        <f>IF(Table8[[#This Row],[Column12]],Table8[[#This Row],[Column13]])</f>
        <v>0</v>
      </c>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row>
    <row r="107" spans="1:33">
      <c r="A107" t="b">
        <f>IF(Table8[[#This Row],[Column12]],Table8[[#This Row],[Column13]])</f>
        <v>0</v>
      </c>
      <c r="B107" s="20" t="b">
        <f>B7</f>
        <v>1</v>
      </c>
      <c r="C107" s="17"/>
      <c r="D107" s="17"/>
      <c r="E107" s="20" t="b">
        <f>E9</f>
        <v>1</v>
      </c>
      <c r="F107" s="20" t="b">
        <f>F2</f>
        <v>0</v>
      </c>
      <c r="G107" s="17"/>
      <c r="H107" s="17"/>
      <c r="I107" s="17"/>
      <c r="J107" s="20" t="b">
        <f>J7</f>
        <v>0</v>
      </c>
      <c r="K107" s="17"/>
      <c r="L107" s="20" t="b">
        <f>L9</f>
        <v>0</v>
      </c>
      <c r="M107" s="17"/>
      <c r="N107" s="17"/>
      <c r="O107" s="17"/>
      <c r="P107" s="17"/>
      <c r="Q107" s="17"/>
      <c r="R107" s="17"/>
      <c r="S107" s="17"/>
      <c r="T107" s="17"/>
      <c r="U107" s="17"/>
      <c r="V107" s="17"/>
      <c r="W107" s="17"/>
      <c r="X107" s="17"/>
      <c r="Y107" s="17"/>
      <c r="Z107" s="17"/>
      <c r="AA107" s="17"/>
      <c r="AB107" s="17"/>
      <c r="AC107" s="17"/>
      <c r="AD107" s="17"/>
      <c r="AE107" t="b">
        <f>AND(Table8[[#This Row],[Pregnant]:[Bismuth]])</f>
        <v>0</v>
      </c>
      <c r="AF107" s="11" t="s">
        <v>519</v>
      </c>
    </row>
    <row r="108" spans="1:33">
      <c r="A108" t="b">
        <f>IF(Table8[[#This Row],[Column12]],Table8[[#This Row],[Column13]])</f>
        <v>0</v>
      </c>
      <c r="B108" s="20" t="b">
        <f>B7</f>
        <v>1</v>
      </c>
      <c r="C108" s="17"/>
      <c r="D108" s="17"/>
      <c r="E108" s="20" t="b">
        <f>E9</f>
        <v>1</v>
      </c>
      <c r="F108" s="20" t="b">
        <f>F2</f>
        <v>0</v>
      </c>
      <c r="G108" s="17"/>
      <c r="H108" s="17"/>
      <c r="I108" s="17"/>
      <c r="J108" s="20" t="b">
        <f>J7</f>
        <v>0</v>
      </c>
      <c r="K108" s="17"/>
      <c r="L108" s="20" t="b">
        <f>L9</f>
        <v>0</v>
      </c>
      <c r="M108" s="17"/>
      <c r="N108" s="17"/>
      <c r="O108" s="17"/>
      <c r="P108" s="17"/>
      <c r="Q108" s="17"/>
      <c r="R108" s="17"/>
      <c r="S108" s="17"/>
      <c r="T108" s="17"/>
      <c r="U108" s="17"/>
      <c r="V108" s="17"/>
      <c r="W108" s="17"/>
      <c r="X108" s="17"/>
      <c r="Y108" s="17"/>
      <c r="Z108" s="17"/>
      <c r="AA108" s="17"/>
      <c r="AB108" s="17"/>
      <c r="AC108" s="17"/>
      <c r="AD108" s="17"/>
      <c r="AE108" t="b">
        <f>AND(Table8[[#This Row],[Pregnant]:[Bismuth]])</f>
        <v>0</v>
      </c>
      <c r="AF108" s="11" t="s">
        <v>517</v>
      </c>
    </row>
    <row r="109" spans="1:33">
      <c r="A109" t="b">
        <f>IF(Table8[[#This Row],[Column12]],Table8[[#This Row],[Column13]])</f>
        <v>0</v>
      </c>
      <c r="B109" s="20" t="b">
        <f>B7</f>
        <v>1</v>
      </c>
      <c r="C109" s="17"/>
      <c r="D109" s="17"/>
      <c r="E109" s="20" t="b">
        <f>E9</f>
        <v>1</v>
      </c>
      <c r="F109" s="20" t="b">
        <f>F2</f>
        <v>0</v>
      </c>
      <c r="G109" s="17"/>
      <c r="H109" s="17"/>
      <c r="I109" s="17"/>
      <c r="J109" s="20" t="b">
        <f>J7</f>
        <v>0</v>
      </c>
      <c r="K109" s="17"/>
      <c r="L109" s="20" t="b">
        <f>L9</f>
        <v>0</v>
      </c>
      <c r="M109" s="17"/>
      <c r="N109" s="17"/>
      <c r="O109" s="17"/>
      <c r="P109" s="17"/>
      <c r="Q109" s="17"/>
      <c r="R109" s="17"/>
      <c r="S109" s="17"/>
      <c r="T109" s="17"/>
      <c r="U109" s="17"/>
      <c r="V109" s="17"/>
      <c r="W109" s="17"/>
      <c r="X109" s="17"/>
      <c r="Y109" s="17"/>
      <c r="Z109" s="17"/>
      <c r="AA109" s="17"/>
      <c r="AB109" s="17"/>
      <c r="AC109" s="17"/>
      <c r="AD109" s="17"/>
      <c r="AE109" t="b">
        <f>AND(Table8[[#This Row],[Pregnant]:[Bismuth]])</f>
        <v>0</v>
      </c>
      <c r="AF109" s="11" t="s">
        <v>518</v>
      </c>
    </row>
    <row r="110" spans="1:33">
      <c r="A110" t="b">
        <f>IF(Table8[[#This Row],[Column12]],Table8[[#This Row],[Column13]])</f>
        <v>0</v>
      </c>
      <c r="B110" s="17"/>
      <c r="C110" s="20" t="b">
        <f>C2</f>
        <v>1</v>
      </c>
      <c r="D110" s="17"/>
      <c r="E110" s="20" t="b">
        <f>E9</f>
        <v>1</v>
      </c>
      <c r="F110" s="17"/>
      <c r="G110" s="20" t="b">
        <f>G3</f>
        <v>0</v>
      </c>
      <c r="H110" s="17"/>
      <c r="I110" s="20" t="b">
        <f>I2</f>
        <v>0</v>
      </c>
      <c r="J110" s="17"/>
      <c r="K110" s="17"/>
      <c r="L110" s="17"/>
      <c r="M110" s="17"/>
      <c r="N110" s="17"/>
      <c r="O110" s="17"/>
      <c r="P110" s="17"/>
      <c r="Q110" s="17"/>
      <c r="R110" s="20" t="b">
        <f>R83</f>
        <v>0</v>
      </c>
      <c r="S110" s="17"/>
      <c r="T110" s="17"/>
      <c r="U110" s="17"/>
      <c r="V110" s="17"/>
      <c r="W110" s="17"/>
      <c r="X110" s="17"/>
      <c r="Y110" s="17"/>
      <c r="Z110" s="17"/>
      <c r="AA110" s="17"/>
      <c r="AB110" s="17"/>
      <c r="AC110" s="17"/>
      <c r="AD110" s="17"/>
      <c r="AE110" t="b">
        <f>AND(Table8[[#This Row],[Pregnant]:[Bismuth]])</f>
        <v>0</v>
      </c>
      <c r="AF110" s="11" t="s">
        <v>522</v>
      </c>
    </row>
    <row r="111" spans="1:33">
      <c r="A111" t="b">
        <f>IF(Table8[[#This Row],[Column12]],Table8[[#This Row],[Column13]])</f>
        <v>0</v>
      </c>
      <c r="B111" s="17"/>
      <c r="C111" s="20" t="b">
        <f>C2</f>
        <v>1</v>
      </c>
      <c r="D111" s="20" t="b">
        <f>D2</f>
        <v>0</v>
      </c>
      <c r="E111" s="17"/>
      <c r="F111" s="20" t="b">
        <f>F2</f>
        <v>0</v>
      </c>
      <c r="G111" s="17"/>
      <c r="H111" s="17"/>
      <c r="I111" s="20" t="b">
        <f>I2</f>
        <v>0</v>
      </c>
      <c r="J111" s="17"/>
      <c r="K111" s="17"/>
      <c r="L111" s="17"/>
      <c r="M111" s="17"/>
      <c r="N111" s="17"/>
      <c r="O111" s="17"/>
      <c r="P111" s="17"/>
      <c r="Q111" s="17"/>
      <c r="R111" s="20" t="b">
        <f>R83</f>
        <v>0</v>
      </c>
      <c r="S111" s="17"/>
      <c r="T111" s="17"/>
      <c r="U111" s="17"/>
      <c r="V111" s="17"/>
      <c r="W111" s="17"/>
      <c r="X111" s="17"/>
      <c r="Y111" s="17"/>
      <c r="Z111" s="17"/>
      <c r="AA111" s="17"/>
      <c r="AB111" s="17"/>
      <c r="AC111" s="17"/>
      <c r="AD111" s="17"/>
      <c r="AE111" t="b">
        <f>AND(Table8[[#This Row],[Pregnant]:[Bismuth]])</f>
        <v>0</v>
      </c>
      <c r="AF111" s="11" t="s">
        <v>521</v>
      </c>
    </row>
    <row r="112" spans="1:33">
      <c r="A112" t="b">
        <f>IF(Table8[[#This Row],[Column12]],Table8[[#This Row],[Column13]])</f>
        <v>0</v>
      </c>
      <c r="B112" s="17"/>
      <c r="C112" s="20" t="b">
        <f>C2</f>
        <v>1</v>
      </c>
      <c r="D112" s="17"/>
      <c r="E112" s="20" t="b">
        <f>E9</f>
        <v>1</v>
      </c>
      <c r="F112" s="20" t="b">
        <f>F2</f>
        <v>0</v>
      </c>
      <c r="G112" s="17"/>
      <c r="H112" s="17"/>
      <c r="I112" s="17"/>
      <c r="J112" s="20" t="b">
        <f>J7</f>
        <v>0</v>
      </c>
      <c r="K112" s="17"/>
      <c r="L112" s="17"/>
      <c r="M112" s="17"/>
      <c r="N112" s="20" t="b">
        <f>N20</f>
        <v>0</v>
      </c>
      <c r="O112" s="17"/>
      <c r="P112" s="17"/>
      <c r="Q112" s="17"/>
      <c r="R112" s="17"/>
      <c r="S112" s="17"/>
      <c r="T112" s="17"/>
      <c r="U112" s="17"/>
      <c r="V112" s="17"/>
      <c r="W112" s="17"/>
      <c r="X112" s="17"/>
      <c r="Y112" s="17"/>
      <c r="Z112" s="17"/>
      <c r="AA112" s="17"/>
      <c r="AB112" s="17"/>
      <c r="AC112" s="17"/>
      <c r="AD112" s="17"/>
      <c r="AE112" t="b">
        <f>AND(Table8[[#This Row],[Pregnant]:[Bismuth]])</f>
        <v>0</v>
      </c>
      <c r="AF112" s="11" t="s">
        <v>523</v>
      </c>
    </row>
    <row r="113" spans="1:32">
      <c r="A113" t="b">
        <f>IF(Table8[[#This Row],[Column12]],Table8[[#This Row],[Column13]])</f>
        <v>0</v>
      </c>
      <c r="B113" s="20" t="b">
        <f>B7</f>
        <v>1</v>
      </c>
      <c r="C113" s="17"/>
      <c r="D113" s="20" t="b">
        <f>D2</f>
        <v>0</v>
      </c>
      <c r="E113" s="17"/>
      <c r="F113" s="20" t="b">
        <f>F2</f>
        <v>0</v>
      </c>
      <c r="G113" s="17"/>
      <c r="H113" s="17"/>
      <c r="I113" s="17"/>
      <c r="J113" s="20" t="b">
        <f>J7</f>
        <v>0</v>
      </c>
      <c r="K113" s="17"/>
      <c r="L113" s="17"/>
      <c r="M113" s="17"/>
      <c r="N113" s="17"/>
      <c r="O113" s="17"/>
      <c r="P113" s="17"/>
      <c r="Q113" s="17"/>
      <c r="R113" s="17"/>
      <c r="S113" s="17"/>
      <c r="T113" s="17"/>
      <c r="U113" s="17"/>
      <c r="V113" s="17"/>
      <c r="W113" s="17"/>
      <c r="X113" s="17"/>
      <c r="Y113" s="17"/>
      <c r="Z113" s="17"/>
      <c r="AA113" s="17"/>
      <c r="AB113" s="17"/>
      <c r="AC113" s="20" t="b">
        <f>AC95</f>
        <v>0</v>
      </c>
      <c r="AD113" s="17"/>
      <c r="AE113" t="b">
        <f>AND(Table8[[#This Row],[Pregnant]:[Bismuth]])</f>
        <v>0</v>
      </c>
      <c r="AF113" s="11" t="s">
        <v>524</v>
      </c>
    </row>
    <row r="114" spans="1:32">
      <c r="A114" t="b">
        <f>IF(Table8[[#This Row],[Column12]],Table8[[#This Row],[Column13]])</f>
        <v>0</v>
      </c>
      <c r="B114" s="20" t="b">
        <f>B7</f>
        <v>1</v>
      </c>
      <c r="C114" s="17"/>
      <c r="D114" s="20" t="b">
        <f>D2</f>
        <v>0</v>
      </c>
      <c r="E114" s="17"/>
      <c r="F114" s="20" t="b">
        <f>F2</f>
        <v>0</v>
      </c>
      <c r="G114" s="17"/>
      <c r="H114" s="17"/>
      <c r="I114" s="17"/>
      <c r="J114" s="20" t="b">
        <f>J7</f>
        <v>0</v>
      </c>
      <c r="K114" s="17"/>
      <c r="L114" s="17"/>
      <c r="M114" s="17"/>
      <c r="N114" s="17"/>
      <c r="O114" s="17"/>
      <c r="P114" s="17"/>
      <c r="Q114" s="17"/>
      <c r="R114" s="17"/>
      <c r="S114" s="17"/>
      <c r="T114" s="17"/>
      <c r="U114" s="17"/>
      <c r="V114" s="17"/>
      <c r="W114" s="17"/>
      <c r="X114" s="17"/>
      <c r="Y114" s="17"/>
      <c r="Z114" s="17"/>
      <c r="AA114" s="17"/>
      <c r="AB114" s="17"/>
      <c r="AC114" s="20" t="b">
        <f>AC95</f>
        <v>0</v>
      </c>
      <c r="AD114" s="17"/>
      <c r="AE114" t="b">
        <f>AND(Table8[[#This Row],[Pregnant]:[Bismuth]])</f>
        <v>0</v>
      </c>
      <c r="AF114" s="11" t="s">
        <v>525</v>
      </c>
    </row>
    <row r="115" spans="1:32">
      <c r="A115" s="27" t="b">
        <f>IF(Table8[[#This Row],[Column12]],Table8[[#This Row],[Column13]])</f>
        <v>0</v>
      </c>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c r="AF115" s="27"/>
    </row>
    <row r="116" spans="1:32">
      <c r="A116" t="b">
        <f>IF(Table8[[#This Row],[Column12]],Table8[[#This Row],[Column13]])</f>
        <v>0</v>
      </c>
      <c r="B116" s="20" t="b">
        <f>B7</f>
        <v>1</v>
      </c>
      <c r="C116" s="17"/>
      <c r="D116" s="17"/>
      <c r="E116" s="20" t="b">
        <f>E9</f>
        <v>1</v>
      </c>
      <c r="F116" s="17"/>
      <c r="G116" s="20" t="b">
        <f>G3</f>
        <v>0</v>
      </c>
      <c r="H116" s="17"/>
      <c r="I116" s="20" t="b">
        <f>I2</f>
        <v>0</v>
      </c>
      <c r="J116" s="17"/>
      <c r="K116" s="17"/>
      <c r="L116" s="17"/>
      <c r="M116" s="17"/>
      <c r="N116" s="17"/>
      <c r="O116" s="17"/>
      <c r="P116" s="17"/>
      <c r="Q116" s="17"/>
      <c r="R116" s="17"/>
      <c r="S116" s="20" t="b">
        <f>AND('GastroIntestinal Criteria'!C11,'GastroIntestinal Criteria'!B22,'GastroIntestinal Criteria'!C19,'GastroIntestinal Criteria'!C21)</f>
        <v>0</v>
      </c>
      <c r="T116" s="17"/>
      <c r="U116" s="17"/>
      <c r="V116" s="17"/>
      <c r="W116" s="17"/>
      <c r="X116" s="17"/>
      <c r="Y116" s="17"/>
      <c r="Z116" s="17"/>
      <c r="AA116" s="17"/>
      <c r="AB116" s="17"/>
      <c r="AC116" s="17"/>
      <c r="AD116" s="17"/>
      <c r="AE116" t="b">
        <f>AND(Table8[[#This Row],[Pregnant]:[Bismuth]])</f>
        <v>0</v>
      </c>
      <c r="AF116" s="11" t="s">
        <v>527</v>
      </c>
    </row>
    <row r="117" spans="1:32">
      <c r="A117" t="b">
        <f>IF(Table8[[#This Row],[Column12]],Table8[[#This Row],[Column13]])</f>
        <v>0</v>
      </c>
      <c r="B117" s="17"/>
      <c r="C117" s="20" t="b">
        <f>C2</f>
        <v>1</v>
      </c>
      <c r="D117" s="20" t="b">
        <f>D2</f>
        <v>0</v>
      </c>
      <c r="E117" s="17"/>
      <c r="F117" s="17"/>
      <c r="G117" s="20" t="b">
        <f>G3</f>
        <v>0</v>
      </c>
      <c r="H117" s="17"/>
      <c r="I117" s="20" t="b">
        <f>I2</f>
        <v>0</v>
      </c>
      <c r="J117" s="17"/>
      <c r="K117" s="17"/>
      <c r="L117" s="17"/>
      <c r="M117" s="17"/>
      <c r="N117" s="17"/>
      <c r="O117" s="17"/>
      <c r="P117" s="17"/>
      <c r="Q117" s="17"/>
      <c r="R117" s="17"/>
      <c r="S117" s="20" t="b">
        <f>S116</f>
        <v>0</v>
      </c>
      <c r="T117" s="17"/>
      <c r="U117" s="17"/>
      <c r="V117" s="17"/>
      <c r="W117" s="17"/>
      <c r="X117" s="17"/>
      <c r="Y117" s="17"/>
      <c r="Z117" s="17"/>
      <c r="AA117" s="17"/>
      <c r="AB117" s="17"/>
      <c r="AC117" s="17"/>
      <c r="AD117" s="17"/>
      <c r="AE117" t="b">
        <f>AND(Table8[[#This Row],[Pregnant]:[Bismuth]])</f>
        <v>0</v>
      </c>
      <c r="AF117" s="29" t="s">
        <v>526</v>
      </c>
    </row>
    <row r="118" spans="1:32">
      <c r="A118" s="16" t="b">
        <f>IF(Table8[[#This Row],[Column12]],Table8[[#This Row],[Column13]])</f>
        <v>0</v>
      </c>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50"/>
    </row>
    <row r="119" spans="1:32">
      <c r="A119" t="b">
        <f>IF(Table8[[#This Row],[Column12]],Table8[[#This Row],[Column13]])</f>
        <v>0</v>
      </c>
      <c r="B119" s="20" t="b">
        <f>B7</f>
        <v>1</v>
      </c>
      <c r="C119" s="17"/>
      <c r="D119" s="20" t="b">
        <f>D2</f>
        <v>0</v>
      </c>
      <c r="E119" s="17"/>
      <c r="F119" s="20" t="b">
        <f>F2</f>
        <v>0</v>
      </c>
      <c r="G119" s="17"/>
      <c r="H119" s="17"/>
      <c r="I119" s="17"/>
      <c r="J119" s="20" t="b">
        <f>J7</f>
        <v>0</v>
      </c>
      <c r="K119" s="17"/>
      <c r="L119" s="17"/>
      <c r="M119" s="17"/>
      <c r="N119" s="17"/>
      <c r="O119" s="17"/>
      <c r="P119" s="17"/>
      <c r="Q119" s="17"/>
      <c r="R119" s="17"/>
      <c r="S119" s="17"/>
      <c r="T119" s="17"/>
      <c r="U119" s="17"/>
      <c r="V119" s="17"/>
      <c r="W119" s="17"/>
      <c r="X119" s="17"/>
      <c r="Y119" s="17"/>
      <c r="Z119" s="17"/>
      <c r="AA119" s="17"/>
      <c r="AB119" s="17"/>
      <c r="AC119" s="20" t="b">
        <f>AC95</f>
        <v>0</v>
      </c>
      <c r="AD119" s="17"/>
      <c r="AE119" t="b">
        <f>AND(Table8[[#This Row],[Pregnant]:[Bismuth]])</f>
        <v>0</v>
      </c>
      <c r="AF119" s="29" t="s">
        <v>528</v>
      </c>
    </row>
    <row r="120" spans="1:32">
      <c r="A120" t="b">
        <f>IF(Table8[[#This Row],[Column12]],Table8[[#This Row],[Column13]])</f>
        <v>0</v>
      </c>
      <c r="B120" s="20" t="b">
        <f>B7</f>
        <v>1</v>
      </c>
      <c r="C120" s="17"/>
      <c r="D120" s="17"/>
      <c r="E120" s="20" t="b">
        <f>E9</f>
        <v>1</v>
      </c>
      <c r="F120" s="20" t="b">
        <f>F2</f>
        <v>0</v>
      </c>
      <c r="G120" s="17"/>
      <c r="H120" s="17"/>
      <c r="I120" s="17"/>
      <c r="J120" s="20" t="b">
        <f>J7</f>
        <v>0</v>
      </c>
      <c r="K120" s="17"/>
      <c r="L120" s="17"/>
      <c r="M120" s="17"/>
      <c r="N120" s="17"/>
      <c r="O120" s="17"/>
      <c r="P120" s="17"/>
      <c r="Q120" s="17"/>
      <c r="R120" s="17"/>
      <c r="S120" s="17"/>
      <c r="T120" s="17"/>
      <c r="U120" s="17"/>
      <c r="V120" s="17"/>
      <c r="W120" s="17"/>
      <c r="X120" s="17"/>
      <c r="Y120" s="17"/>
      <c r="Z120" s="17"/>
      <c r="AA120" s="17"/>
      <c r="AB120" s="17"/>
      <c r="AC120" s="20" t="b">
        <f>AC95</f>
        <v>0</v>
      </c>
      <c r="AD120" s="17"/>
      <c r="AE120" t="b">
        <f>AND(Table8[[#This Row],[Pregnant]:[Bismuth]])</f>
        <v>0</v>
      </c>
      <c r="AF120" s="29" t="s">
        <v>529</v>
      </c>
    </row>
    <row r="121" spans="1:32">
      <c r="A121" t="b">
        <f>IF(Table8[[#This Row],[Column12]],Table8[[#This Row],[Column13]])</f>
        <v>0</v>
      </c>
      <c r="B121" s="20" t="b">
        <f>B7</f>
        <v>1</v>
      </c>
      <c r="C121" s="17"/>
      <c r="D121" s="20" t="b">
        <f>D2</f>
        <v>0</v>
      </c>
      <c r="E121" s="17"/>
      <c r="F121" s="20" t="b">
        <f>F2</f>
        <v>0</v>
      </c>
      <c r="G121" s="17"/>
      <c r="H121" s="17"/>
      <c r="I121" s="17"/>
      <c r="J121" s="20" t="b">
        <f>J7</f>
        <v>0</v>
      </c>
      <c r="K121" s="17"/>
      <c r="L121" s="17"/>
      <c r="M121" s="17"/>
      <c r="N121" s="17"/>
      <c r="O121" s="17"/>
      <c r="P121" s="17"/>
      <c r="Q121" s="17"/>
      <c r="R121" s="17"/>
      <c r="S121" s="17"/>
      <c r="T121" s="17"/>
      <c r="U121" s="17"/>
      <c r="V121" s="17"/>
      <c r="W121" s="17"/>
      <c r="X121" s="17"/>
      <c r="Y121" s="17"/>
      <c r="Z121" s="17"/>
      <c r="AA121" s="17"/>
      <c r="AB121" s="17"/>
      <c r="AC121" s="20" t="b">
        <f>AC95</f>
        <v>0</v>
      </c>
      <c r="AD121" s="17"/>
      <c r="AE121" t="b">
        <f>AND(Table8[[#This Row],[Pregnant]:[Bismuth]])</f>
        <v>0</v>
      </c>
      <c r="AF121" s="29" t="s">
        <v>530</v>
      </c>
    </row>
    <row r="122" spans="1:32">
      <c r="A122" t="b">
        <f>IF(Table8[[#This Row],[Column12]],Table8[[#This Row],[Column13]])</f>
        <v>0</v>
      </c>
      <c r="B122" s="20" t="b">
        <f>B7</f>
        <v>1</v>
      </c>
      <c r="C122" s="17"/>
      <c r="D122" s="20" t="b">
        <f>D2</f>
        <v>0</v>
      </c>
      <c r="E122" s="17"/>
      <c r="F122" s="20" t="b">
        <f>F2</f>
        <v>0</v>
      </c>
      <c r="G122" s="17"/>
      <c r="H122" s="17"/>
      <c r="I122" s="17"/>
      <c r="J122" s="20" t="b">
        <f>J7</f>
        <v>0</v>
      </c>
      <c r="K122" s="17"/>
      <c r="L122" s="17"/>
      <c r="M122" s="17"/>
      <c r="N122" s="17"/>
      <c r="O122" s="17"/>
      <c r="P122" s="17"/>
      <c r="Q122" s="17"/>
      <c r="R122" s="17"/>
      <c r="S122" s="17"/>
      <c r="T122" s="17"/>
      <c r="U122" s="17"/>
      <c r="V122" s="17"/>
      <c r="W122" s="17"/>
      <c r="X122" s="17"/>
      <c r="Y122" s="17"/>
      <c r="Z122" s="17"/>
      <c r="AA122" s="17"/>
      <c r="AB122" s="17"/>
      <c r="AC122" s="20" t="b">
        <f>AC95</f>
        <v>0</v>
      </c>
      <c r="AD122" s="17"/>
      <c r="AE122" t="b">
        <f>AND(Table8[[#This Row],[Pregnant]:[Bismuth]])</f>
        <v>0</v>
      </c>
      <c r="AF122" s="29" t="s">
        <v>531</v>
      </c>
    </row>
    <row r="123" spans="1:32">
      <c r="A123" s="16" t="b">
        <f>IF(Table8[[#This Row],[Column12]],Table8[[#This Row],[Column13]])</f>
        <v>0</v>
      </c>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row>
    <row r="124" spans="1:32">
      <c r="A124" t="e">
        <f>IF(Table8[[#This Row],[Column12]],Table8[[#This Row],[Column13]])</f>
        <v>#VALUE!</v>
      </c>
      <c r="AE124" t="e">
        <f>AND(Table8[[#This Row],[Adult]:[Bismuth]])</f>
        <v>#VALUE!</v>
      </c>
    </row>
    <row r="125" spans="1:32">
      <c r="A125" t="e">
        <f>IF(Table8[[#This Row],[Column12]],Table8[[#This Row],[Column13]])</f>
        <v>#VALUE!</v>
      </c>
      <c r="AE125" t="e">
        <f>AND(Table8[[#This Row],[Adult]:[Bismuth]])</f>
        <v>#VALUE!</v>
      </c>
    </row>
    <row r="126" spans="1:32">
      <c r="A126" t="e">
        <f>IF(Table8[[#This Row],[Column12]],Table8[[#This Row],[Column13]])</f>
        <v>#VALUE!</v>
      </c>
      <c r="AE126" t="e">
        <f>AND(Table8[[#This Row],[Adult]:[Bismuth]])</f>
        <v>#VALUE!</v>
      </c>
    </row>
    <row r="127" spans="1:32">
      <c r="A127" t="e">
        <f>IF(Table8[[#This Row],[Column12]],Table8[[#This Row],[Column13]])</f>
        <v>#VALUE!</v>
      </c>
      <c r="AE127" t="e">
        <f>AND(Table8[[#This Row],[Adult]:[Bismuth]])</f>
        <v>#VALUE!</v>
      </c>
    </row>
    <row r="128" spans="1:32">
      <c r="A128" t="e">
        <f>IF(Table8[[#This Row],[Column12]],Table8[[#This Row],[Column13]])</f>
        <v>#VALUE!</v>
      </c>
      <c r="AE128" t="e">
        <f>AND(Table8[[#This Row],[Adult]:[Bismuth]])</f>
        <v>#VALUE!</v>
      </c>
    </row>
    <row r="129" spans="1:31">
      <c r="A129" t="e">
        <f>IF(Table8[[#This Row],[Column12]],Table8[[#This Row],[Column13]])</f>
        <v>#VALUE!</v>
      </c>
      <c r="AE129" t="e">
        <f>AND(Table8[[#This Row],[Adult]:[Bismuth]])</f>
        <v>#VALUE!</v>
      </c>
    </row>
  </sheetData>
  <hyperlinks>
    <hyperlink ref="AF2" r:id="rId1" display="https://www.imodium.ca/products/Imodium-liqui-gels" xr:uid="{00000000-0004-0000-1200-000000000000}"/>
    <hyperlink ref="AF3" r:id="rId2" display="https://www.imodium.ca/products/imodium-calming-liquid" xr:uid="{00000000-0004-0000-1200-000001000000}"/>
    <hyperlink ref="AF4" r:id="rId3" display="https://www.imodium.ca/products/imodium-quick-dissolve" xr:uid="{00000000-0004-0000-1200-000002000000}"/>
    <hyperlink ref="AF5" r:id="rId4" display="https://www.imodium.ca/products/imodium-complete" xr:uid="{00000000-0004-0000-1200-000003000000}"/>
    <hyperlink ref="AF7" r:id="rId5" xr:uid="{00000000-0004-0000-1200-000004000000}"/>
    <hyperlink ref="AF9" r:id="rId6" display="https://www.metamucil.ca/en-ca/products/fibre-supplements/orange-smooth-powder" xr:uid="{00000000-0004-0000-1200-000005000000}"/>
    <hyperlink ref="AF10" r:id="rId7" display="https://www.metamucil.ca/en-ca/products/fibre-supplements/no-sweetener-added-powder" xr:uid="{00000000-0004-0000-1200-000006000000}"/>
    <hyperlink ref="AF11" r:id="rId8" display="https://www.metamucil.ca/en-ca/products/fibre-supplements/fibre-capsules-plus-calcium" xr:uid="{00000000-0004-0000-1200-000007000000}"/>
    <hyperlink ref="AF12" r:id="rId9" display="https://www.metamucil.ca/en-ca/products/fibre-supplements/sugar-free-orange-smooth" xr:uid="{00000000-0004-0000-1200-000008000000}"/>
    <hyperlink ref="AF13" r:id="rId10" display="https://www.metamucil.ca/en-ca/products/fibre-supplements/original-coarse-powder" xr:uid="{00000000-0004-0000-1200-000009000000}"/>
    <hyperlink ref="AF14" r:id="rId11" display="https://www.metamucil.ca/en-ca/products/fibre-supplements/pink-lemonade-sugar-free-smooth" xr:uid="{00000000-0004-0000-1200-00000A000000}"/>
    <hyperlink ref="AF15" r:id="rId12" display="https://www.metamucil.ca/en-ca/products/fibre-supplements/sugar-free-orange-fibre-singles" xr:uid="{00000000-0004-0000-1200-00000B000000}"/>
    <hyperlink ref="AF16" r:id="rId13" display="https://www.metamucil.ca/en-ca/products/fibre-supplements/sugar-free-berry-smooth" xr:uid="{00000000-0004-0000-1200-00000C000000}"/>
    <hyperlink ref="AF17" r:id="rId14" display="https://www.metamucil.ca/en-ca/products/fibre-supplements/fibre-capsules" xr:uid="{00000000-0004-0000-1200-00000D000000}"/>
    <hyperlink ref="AF19:AF24" r:id="rId15" display="SENOKOT® Laxative (6+yrs)" xr:uid="{00000000-0004-0000-1200-00000E000000}"/>
    <hyperlink ref="AF26" r:id="rId16" display="Colace® Regular Strength" xr:uid="{00000000-0004-0000-1200-00000F000000}"/>
    <hyperlink ref="AF27" r:id="rId17" display="Colace® Clear Soft Gels" xr:uid="{00000000-0004-0000-1200-000010000000}"/>
    <hyperlink ref="AF28" r:id="rId18" display="Colace® 2-IN-1 Tablets" xr:uid="{00000000-0004-0000-1200-000011000000}"/>
    <hyperlink ref="AF30" r:id="rId19" xr:uid="{00000000-0004-0000-1200-000012000000}"/>
    <hyperlink ref="AF31" r:id="rId20" display="GRAVOL EASY TO SWALLOW TABLETS" xr:uid="{00000000-0004-0000-1200-000013000000}"/>
    <hyperlink ref="AF32" r:id="rId21" xr:uid="{00000000-0004-0000-1200-000014000000}"/>
    <hyperlink ref="AF33" r:id="rId22" display="GRAVOL QUICK DISSOLVE CHEWABLE" xr:uid="{00000000-0004-0000-1200-000015000000}"/>
    <hyperlink ref="AF34" r:id="rId23" xr:uid="{00000000-0004-0000-1200-000016000000}"/>
    <hyperlink ref="AF37" r:id="rId24" xr:uid="{00000000-0004-0000-1200-000017000000}"/>
    <hyperlink ref="AF35" r:id="rId25" xr:uid="{00000000-0004-0000-1200-000018000000}"/>
    <hyperlink ref="AF36" r:id="rId26" xr:uid="{00000000-0004-0000-1200-000019000000}"/>
    <hyperlink ref="AF38" r:id="rId27" display="GRAVOL GINGER LIQUID GEL CAPSULES" xr:uid="{00000000-0004-0000-1200-00001A000000}"/>
    <hyperlink ref="AF39" r:id="rId28" xr:uid="{00000000-0004-0000-1200-00001B000000}"/>
    <hyperlink ref="AF40" r:id="rId29" xr:uid="{00000000-0004-0000-1200-00001C000000}"/>
    <hyperlink ref="AF42:AF43" r:id="rId30" display="ENO Antacid Effervescing Powder" xr:uid="{00000000-0004-0000-1200-00001D000000}"/>
    <hyperlink ref="AF45:AF46" r:id="rId31" display="Gas-X Extra Strength Chewables" xr:uid="{00000000-0004-0000-1200-00001E000000}"/>
    <hyperlink ref="AF48" r:id="rId32" display="https://www.tums.ca/find-your-tums/tums-extra-strength-assorted-berries-100ct/" xr:uid="{00000000-0004-0000-1200-00001F000000}"/>
    <hyperlink ref="AF49" r:id="rId33" display="https://www.tums.ca/find-your-tums/tums-extra-strength-assorted-berries-100ct/" xr:uid="{00000000-0004-0000-1200-000020000000}"/>
    <hyperlink ref="AF52" r:id="rId34" display="https://www.tums.ca/find-your-tums/tums-ultra-strength-peppermint-72ct-bottle/" xr:uid="{00000000-0004-0000-1200-000021000000}"/>
    <hyperlink ref="AF50" r:id="rId35" display="https://www.tums.ca/find-your-tums/tums-regular-strength-peppermint-3-roll-pack/" xr:uid="{00000000-0004-0000-1200-000022000000}"/>
    <hyperlink ref="AF51" r:id="rId36" display="https://www.tums.ca/find-your-tums/tums-chewies-orange-rush-32ct-bag/" xr:uid="{00000000-0004-0000-1200-000023000000}"/>
    <hyperlink ref="AF54" r:id="rId37" display="https://pepto-bismol.ca/en-ca/product/pepto-bismol-original-liquid" xr:uid="{00000000-0004-0000-1200-000024000000}"/>
    <hyperlink ref="AF55" r:id="rId38" display="https://pepto-bismol.ca/en-ca/product/pepto-bismol-cherry-liquid" xr:uid="{00000000-0004-0000-1200-000025000000}"/>
    <hyperlink ref="AF56" r:id="rId39" display="https://pepto-bismol.ca/en-ca/product/pepto-bismol-chewable-tablets-original" xr:uid="{00000000-0004-0000-1200-000026000000}"/>
    <hyperlink ref="AF57" r:id="rId40" display="https://pepto-bismol.ca/en-ca/product/pepto-bismol-chewable-tablets-cherry" xr:uid="{00000000-0004-0000-1200-000027000000}"/>
    <hyperlink ref="AF58" r:id="rId41" display="https://pepto-bismol.ca/en-ca/product/pepto-bismol-original-caplets" xr:uid="{00000000-0004-0000-1200-000028000000}"/>
    <hyperlink ref="AF59" r:id="rId42" display="https://pepto-bismol.ca/en-ca/product/pepto-bismol-to-go-cherry-chewable-tablets" xr:uid="{00000000-0004-0000-1200-000029000000}"/>
    <hyperlink ref="AF60" r:id="rId43" display="https://pepto-bismol.ca/en-ca/product/pepto-bismol-extra-strength-liquid" xr:uid="{00000000-0004-0000-1200-00002A000000}"/>
    <hyperlink ref="AF61" r:id="rId44" display="https://pepto-bismol.ca/en-ca/product/pepto-bismol-cherry-extra-liquid" xr:uid="{00000000-0004-0000-1200-00002B000000}"/>
    <hyperlink ref="AF62" r:id="rId45" display="https://pepto-bismol.ca/en-ca/product/kids-chewable-tablets-bubblegum" xr:uid="{00000000-0004-0000-1200-00002C000000}"/>
    <hyperlink ref="AF64" r:id="rId46" display="Gaviscon® liquid" xr:uid="{00000000-0004-0000-1200-00002D000000}"/>
    <hyperlink ref="AF65" r:id="rId47" xr:uid="{00000000-0004-0000-1200-00002E000000}"/>
    <hyperlink ref="AF67" r:id="rId48" display="https://www.zantac.ca/en/zantac-75-regular-strength" xr:uid="{00000000-0004-0000-1200-00002F000000}"/>
    <hyperlink ref="AF68" r:id="rId49" display="https://www.zantac.ca/en/zantac-150-cool-mint" xr:uid="{00000000-0004-0000-1200-000030000000}"/>
    <hyperlink ref="AF69" r:id="rId50" display="https://www.zantac.ca/en/zantac-150-maximum-strength" xr:uid="{00000000-0004-0000-1200-000031000000}"/>
    <hyperlink ref="AF71" r:id="rId51" display="https://www.pepcid.ca/our-products/pepcid-complete" xr:uid="{00000000-0004-0000-1200-000032000000}"/>
    <hyperlink ref="AF72" r:id="rId52" display="https://www.pepcid.ca/our-products/maximum-strength-pepcid-ac" xr:uid="{00000000-0004-0000-1200-000033000000}"/>
    <hyperlink ref="AF73" r:id="rId53" display="https://www.pepcid.ca/our-products/original-strength-pepcid-ac" xr:uid="{00000000-0004-0000-1200-000034000000}"/>
    <hyperlink ref="AF75" r:id="rId54" xr:uid="{00000000-0004-0000-1200-000035000000}"/>
    <hyperlink ref="AF77" r:id="rId55" xr:uid="{00000000-0004-0000-1200-000036000000}"/>
    <hyperlink ref="AF79" r:id="rId56" display="https://www.lactaid.com/products/fast-act-chewables" xr:uid="{00000000-0004-0000-1200-000037000000}"/>
    <hyperlink ref="AF80" r:id="rId57" display="https://www.lactaid.com/products/lactaid-fast-act-caplets" xr:uid="{00000000-0004-0000-1200-000038000000}"/>
    <hyperlink ref="AF81" r:id="rId58" display="https://www.lactaid.com/products/lactaid-original-strength-caplets" xr:uid="{00000000-0004-0000-1200-000039000000}"/>
    <hyperlink ref="AF83" r:id="rId59" display="FLEET® SALINE ENEMA" xr:uid="{00000000-0004-0000-1200-00003A000000}"/>
    <hyperlink ref="AF84" r:id="rId60" xr:uid="{00000000-0004-0000-1200-00003B000000}"/>
    <hyperlink ref="AF85" r:id="rId61" xr:uid="{00000000-0004-0000-1200-00003C000000}"/>
    <hyperlink ref="AF86" r:id="rId62" xr:uid="{00000000-0004-0000-1200-00003D000000}"/>
    <hyperlink ref="AF87" r:id="rId63" xr:uid="{00000000-0004-0000-1200-00003E000000}"/>
    <hyperlink ref="AF88" r:id="rId64" display="FLEET® GLYCERIN SUPPOSITORIES" xr:uid="{00000000-0004-0000-1200-00003F000000}"/>
    <hyperlink ref="AF90" r:id="rId65" display="https://www.pedia-lax.com/childrens-constipation-relief-products/pedia-lax-glycerin-suppositories" xr:uid="{00000000-0004-0000-1200-000040000000}"/>
    <hyperlink ref="AF91" r:id="rId66" display="https://www.pedia-lax.com/childrens-constipation-relief-products/pedia-lax-chewable-tablets" xr:uid="{00000000-0004-0000-1200-000041000000}"/>
    <hyperlink ref="AF92" r:id="rId67" display="https://www.pedia-lax.com/childrens-constipation-relief-products/pedia-lax-liquid-stool-softener" xr:uid="{00000000-0004-0000-1200-000042000000}"/>
    <hyperlink ref="AF93" r:id="rId68" display="https://www.pedia-lax.com/childrens-constipation-relief-products/pedia-lax-liquid-glycerin-suppositories" xr:uid="{00000000-0004-0000-1200-000043000000}"/>
    <hyperlink ref="AF94" r:id="rId69" display="https://www.pedia-lax.com/childrens-constipation-relief-products/pedia-lax-enema-for-kids" xr:uid="{00000000-0004-0000-1200-000044000000}"/>
    <hyperlink ref="AF95" r:id="rId70" display="https://www.pedia-lax.com/childrens-constipation-relief-products/pedia-lax-probiotic-yums" xr:uid="{00000000-0004-0000-1200-000045000000}"/>
    <hyperlink ref="AF97" r:id="rId71" xr:uid="{00000000-0004-0000-1200-000046000000}"/>
    <hyperlink ref="AF98" r:id="rId72" display="Dulcolax® Laxative Tablets" xr:uid="{00000000-0004-0000-1200-000047000000}"/>
    <hyperlink ref="AF99" r:id="rId73" xr:uid="{00000000-0004-0000-1200-000048000000}"/>
    <hyperlink ref="AF100" r:id="rId74" display="DulcoComfort® Stool Softener" xr:uid="{00000000-0004-0000-1200-000049000000}"/>
    <hyperlink ref="AF102" r:id="rId75" xr:uid="{00000000-0004-0000-1200-00004A000000}"/>
    <hyperlink ref="AF104" r:id="rId76" xr:uid="{00000000-0004-0000-1200-00004B000000}"/>
    <hyperlink ref="AF105" r:id="rId77" tooltip="Citro-Mag® - Cherry " display="https://www.tevacanada.com/en/canada/our-products/over-the-counter-products/search-results/product/?pn=Citro-Mag%C2%AE%20-%20Cherry" xr:uid="{00000000-0004-0000-1200-00004C000000}"/>
    <hyperlink ref="AF107" r:id="rId78" display="https://www.phillipsdigestive.com/products/fiber-gummies/" xr:uid="{00000000-0004-0000-1200-00004D000000}"/>
    <hyperlink ref="AF108" r:id="rId79" display="https://www.phillipsdigestive.com/products/phillips-fiber-good-gummies-plus-energy-support/" xr:uid="{00000000-0004-0000-1200-00004E000000}"/>
    <hyperlink ref="AF109" r:id="rId80" display="https://www.phillipsdigestive.com/products/phillips-fiber-good-gummies-plus-metabolism-support/" xr:uid="{00000000-0004-0000-1200-00004F000000}"/>
    <hyperlink ref="AF110" r:id="rId81" display="https://www.phillipsdigestive.com/products/milk-magnesia/" xr:uid="{00000000-0004-0000-1200-000050000000}"/>
    <hyperlink ref="AF111" r:id="rId82" display="https://www.phillipsdigestive.com/products/phillips-laxative-caplets/" xr:uid="{00000000-0004-0000-1200-000051000000}"/>
    <hyperlink ref="AF112" r:id="rId83" display="https://www.phillipsdigestive.com/products/stool-softener-liquid-gels/" xr:uid="{00000000-0004-0000-1200-000052000000}"/>
    <hyperlink ref="AF113" r:id="rId84" display="https://www.phillipsdigestive.com/products/colon-health-probiotic-caps/" xr:uid="{00000000-0004-0000-1200-000053000000}"/>
    <hyperlink ref="AF114" r:id="rId85" display="https://www.phillipsdigestive.com/products/colon-health-probiotic-gummies/" xr:uid="{00000000-0004-0000-1200-000054000000}"/>
    <hyperlink ref="AF117" r:id="rId86" display="https://pendorehydration.com/en/products/electrolyte-gastro-drink-powder/" xr:uid="{00000000-0004-0000-1200-000055000000}"/>
    <hyperlink ref="AF116" r:id="rId87" xr:uid="{00000000-0004-0000-1200-000056000000}"/>
    <hyperlink ref="AF119" r:id="rId88" display="https://www.aligngi.ca/en-ca/products/probiotic-chewables/align-probiotic-supplement-chewables-for-adults" xr:uid="{00000000-0004-0000-1200-000057000000}"/>
    <hyperlink ref="AF120" r:id="rId89" display="https://www.aligngi.ca/en-ca/products/probiotic-chewables/align-jr-probiotic-supplement-chewables-for-kids" xr:uid="{00000000-0004-0000-1200-000058000000}"/>
    <hyperlink ref="AF121" r:id="rId90" display="https://www.aligngi.ca/en-ca/products/probiotic-capsules/align-probiotic-supplement" xr:uid="{00000000-0004-0000-1200-000059000000}"/>
    <hyperlink ref="AF122" r:id="rId91" display="https://www.aligngi.ca/en-ca/products/probiotic-capsules/align-advanced-probiotic-supplement" xr:uid="{00000000-0004-0000-1200-00005A000000}"/>
  </hyperlinks>
  <pageMargins left="0.7" right="0.7" top="0.75" bottom="0.75" header="0.3" footer="0.3"/>
  <pageSetup orientation="portrait" r:id="rId92"/>
  <ignoredErrors>
    <ignoredError sqref="AE9:AE10 AE2:AE5 AE7 AE119:AE122" calculatedColumn="1"/>
  </ignoredErrors>
  <tableParts count="1">
    <tablePart r:id="rId9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3"/>
  <sheetViews>
    <sheetView workbookViewId="0">
      <selection activeCell="D22" sqref="D22"/>
    </sheetView>
  </sheetViews>
  <sheetFormatPr defaultRowHeight="15"/>
  <cols>
    <col min="1" max="1" width="44.28515625" customWidth="1"/>
  </cols>
  <sheetData>
    <row r="1" spans="1:3" ht="15.75" thickTop="1">
      <c r="A1" s="3" t="s">
        <v>1388</v>
      </c>
      <c r="B1" s="38" t="s">
        <v>18</v>
      </c>
    </row>
    <row r="2" spans="1:3" ht="15.75" thickBot="1">
      <c r="B2" s="4"/>
    </row>
    <row r="3" spans="1:3" ht="16.5" thickTop="1" thickBot="1">
      <c r="A3" s="158" t="s">
        <v>1387</v>
      </c>
      <c r="B3" s="160" t="b">
        <v>0</v>
      </c>
      <c r="C3" s="156" t="b">
        <f t="shared" ref="C3:C4" si="0">NOT(B3)</f>
        <v>1</v>
      </c>
    </row>
    <row r="4" spans="1:3" ht="13.5" customHeight="1" thickBot="1">
      <c r="A4" s="158" t="s">
        <v>1379</v>
      </c>
      <c r="B4" s="5" t="b">
        <v>0</v>
      </c>
      <c r="C4" s="156" t="b">
        <f t="shared" si="0"/>
        <v>1</v>
      </c>
    </row>
    <row r="5" spans="1:3" ht="15.75" thickBot="1">
      <c r="A5" s="158" t="s">
        <v>1384</v>
      </c>
      <c r="B5" s="6" t="b">
        <v>0</v>
      </c>
      <c r="C5" s="156" t="b">
        <f>NOT(B5)</f>
        <v>1</v>
      </c>
    </row>
    <row r="6" spans="1:3" ht="16.5" thickTop="1" thickBot="1">
      <c r="A6" s="161" t="s">
        <v>1385</v>
      </c>
      <c r="B6" s="159" t="b">
        <v>0</v>
      </c>
      <c r="C6" s="156" t="b">
        <f>NOT(B6)</f>
        <v>1</v>
      </c>
    </row>
    <row r="7" spans="1:3" ht="16.5" thickTop="1" thickBot="1">
      <c r="A7" s="162" t="s">
        <v>1378</v>
      </c>
      <c r="B7" s="160" t="b">
        <v>0</v>
      </c>
      <c r="C7" s="156" t="b">
        <f>NOT(B7)</f>
        <v>1</v>
      </c>
    </row>
    <row r="8" spans="1:3" ht="15.75" thickBot="1">
      <c r="A8" s="162" t="s">
        <v>1386</v>
      </c>
      <c r="B8" s="6" t="b">
        <v>0</v>
      </c>
      <c r="C8" s="156" t="b">
        <f>NOT(B8)</f>
        <v>1</v>
      </c>
    </row>
    <row r="9" spans="1:3" ht="15.75" thickBot="1">
      <c r="A9" s="163" t="s">
        <v>903</v>
      </c>
      <c r="B9" s="5" t="b">
        <v>0</v>
      </c>
      <c r="C9" s="156" t="b">
        <f>NOT(B9)</f>
        <v>1</v>
      </c>
    </row>
    <row r="10" spans="1:3" ht="15.75" thickBot="1">
      <c r="A10" s="163" t="s">
        <v>1380</v>
      </c>
      <c r="B10" s="5" t="b">
        <v>0</v>
      </c>
      <c r="C10" s="156" t="b">
        <f t="shared" ref="C10:C13" si="1">NOT(B10)</f>
        <v>1</v>
      </c>
    </row>
    <row r="11" spans="1:3" ht="15.75" thickBot="1">
      <c r="A11" s="163" t="s">
        <v>1381</v>
      </c>
      <c r="B11" s="5" t="b">
        <v>0</v>
      </c>
      <c r="C11" s="156" t="b">
        <f t="shared" si="1"/>
        <v>1</v>
      </c>
    </row>
    <row r="12" spans="1:3" ht="15.75" thickBot="1">
      <c r="A12" s="163" t="s">
        <v>1382</v>
      </c>
      <c r="B12" s="5" t="b">
        <v>0</v>
      </c>
      <c r="C12" s="156" t="b">
        <f t="shared" si="1"/>
        <v>1</v>
      </c>
    </row>
    <row r="13" spans="1:3" ht="15.75" thickBot="1">
      <c r="A13" s="163" t="s">
        <v>1383</v>
      </c>
      <c r="B13" s="6" t="b">
        <v>0</v>
      </c>
      <c r="C13" s="156" t="b">
        <f t="shared" si="1"/>
        <v>1</v>
      </c>
    </row>
  </sheetData>
  <dataValidations count="2">
    <dataValidation allowBlank="1" showInputMessage="1" showErrorMessage="1" prompt="Consult your pharmacist if unsure" sqref="A7:A13" xr:uid="{00000000-0002-0000-0100-000000000000}"/>
    <dataValidation allowBlank="1" showInputMessage="1" showErrorMessage="1" prompt="Consult your physician if unsure" sqref="A3:A6" xr:uid="{00000000-0002-0000-01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1">
        <x14:dataValidation type="list" showInputMessage="1" showErrorMessage="1" error="Please answer as Yes or No" prompt="Oral patches are ideal for single or overnight application. Require little oral dexterity but may leave a film residue at application site." xr:uid="{00000000-0002-0000-0100-000002000000}">
          <x14:formula1>
            <xm:f>random!$A$2:$A$3</xm:f>
          </x14:formula1>
          <xm:sqref>B13</xm:sqref>
        </x14:dataValidation>
        <x14:dataValidation type="list" showInputMessage="1" showErrorMessage="1" error="Please answer as Yes or No" prompt="Some products mimic components of saliva and are best for individuals lacking the capacity to produce natural saliva or having a saliva production deficiency.  " xr:uid="{00000000-0002-0000-0100-000003000000}">
          <x14:formula1>
            <xm:f>random!$A$2:$A$3</xm:f>
          </x14:formula1>
          <xm:sqref>B3</xm:sqref>
        </x14:dataValidation>
        <x14:dataValidation type="list" showInputMessage="1" showErrorMessage="1" error="Please answer as Yes or No" prompt="Most dry mouth products contain xylitol and help stimulate or increase the production of natural saliva. " xr:uid="{00000000-0002-0000-0100-000004000000}">
          <x14:formula1>
            <xm:f>random!$A$2:$A$3</xm:f>
          </x14:formula1>
          <xm:sqref>B4</xm:sqref>
        </x14:dataValidation>
        <x14:dataValidation type="list" showInputMessage="1" showErrorMessage="1" error="Please answer as Yes or No" prompt="Dry mouth may lead to thickening of saliva and oral secretions. KOTE product contains an expectorant agent which may help thin mucous and saliva. " xr:uid="{00000000-0002-0000-0100-000005000000}">
          <x14:formula1>
            <xm:f>random!$A$2:$A$3</xm:f>
          </x14:formula1>
          <xm:sqref>B5</xm:sqref>
        </x14:dataValidation>
        <x14:dataValidation type="list" showInputMessage="1" showErrorMessage="1" error="Please answer as Yes or No" prompt="Some products may contain preservatives including parabens. Avoid use if you are sensitive or allergic to parabens." xr:uid="{00000000-0002-0000-0100-000006000000}">
          <x14:formula1>
            <xm:f>random!$A$2:$A$3</xm:f>
          </x14:formula1>
          <xm:sqref>B6</xm:sqref>
        </x14:dataValidation>
        <x14:dataValidation type="list" showInputMessage="1" showErrorMessage="1" error="Please answer as Yes or No" prompt="Some products are best used repeatedly throughout the day on an as needed basis." xr:uid="{00000000-0002-0000-0100-000007000000}">
          <x14:formula1>
            <xm:f>random!$A$2:$A$3</xm:f>
          </x14:formula1>
          <xm:sqref>B7</xm:sqref>
        </x14:dataValidation>
        <x14:dataValidation type="list" showInputMessage="1" showErrorMessage="1" error="Please answer as Yes or No" prompt="Some products can last 4 hours or more providing extended relief of symptoms and are ideal for overnight use or when few applications are preferred. " xr:uid="{00000000-0002-0000-0100-000008000000}">
          <x14:formula1>
            <xm:f>random!$A$2:$A$3</xm:f>
          </x14:formula1>
          <xm:sqref>B8</xm:sqref>
        </x14:dataValidation>
        <x14:dataValidation type="list" showInputMessage="1" showErrorMessage="1" error="Please answer as Yes or No" prompt="Spray products can provide quick, discret and portable symptom relief. Ideal for as needed symptom relief and application throughout the day. Application may require some oral dexterity. " xr:uid="{00000000-0002-0000-0100-000009000000}">
          <x14:formula1>
            <xm:f>random!$A$2:$A$3</xm:f>
          </x14:formula1>
          <xm:sqref>B9</xm:sqref>
        </x14:dataValidation>
        <x14:dataValidation type="list" showInputMessage="1" showErrorMessage="1" error="Please answer as Yes or No" prompt="Mouth wash products are ideal for saturation of oral cavity. However, not as discrete or long acting as other options. Not ideal for use by individuals with reduced oral dexterity or high aspiration risk. Usually not for &quot;as needed&quot; use.    " xr:uid="{00000000-0002-0000-0100-00000A000000}">
          <x14:formula1>
            <xm:f>random!$A$2:$A$3</xm:f>
          </x14:formula1>
          <xm:sqref>B10</xm:sqref>
        </x14:dataValidation>
        <x14:dataValidation type="list" showInputMessage="1" showErrorMessage="1" error="Please answer as Yes or No" prompt="Gel products provide enhanced contact between medication and oral mucosa. Gel products have long duration of action but may have a less pleasant in mouth feel. Ideal for overnight use. Only formulation containing both saliva substitute and stimulator. " xr:uid="{00000000-0002-0000-0100-00000B000000}">
          <x14:formula1>
            <xm:f>random!$A$2:$A$3</xm:f>
          </x14:formula1>
          <xm:sqref>B11</xm:sqref>
        </x14:dataValidation>
        <x14:dataValidation type="list" showInputMessage="1" showErrorMessage="1" error="Please answer as Yes or No" prompt="Lozenge or gum products are ideal for frequent or as needed use. Oral manipulation further helps saliva stimulation. May be more effective and longer acting than sprays but may be a choking hazard in some individuals.   " xr:uid="{00000000-0002-0000-0100-00000C000000}">
          <x14:formula1>
            <xm:f>random!$A$2:$A$3</xm:f>
          </x14:formula1>
          <xm:sqref>B12</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17"/>
  <sheetViews>
    <sheetView workbookViewId="0">
      <selection activeCell="C27" sqref="C27"/>
    </sheetView>
  </sheetViews>
  <sheetFormatPr defaultRowHeight="15"/>
  <cols>
    <col min="1" max="1" width="53.7109375" customWidth="1"/>
    <col min="3" max="4" width="9.140625" style="87"/>
    <col min="5" max="5" width="18.140625" customWidth="1"/>
  </cols>
  <sheetData>
    <row r="1" spans="1:5" ht="15.75" thickTop="1">
      <c r="A1" s="3" t="s">
        <v>15</v>
      </c>
      <c r="B1" s="7" t="s">
        <v>18</v>
      </c>
      <c r="E1" s="8" t="s">
        <v>19</v>
      </c>
    </row>
    <row r="2" spans="1:5" ht="15.75" thickBot="1">
      <c r="B2" s="4"/>
      <c r="E2" s="4"/>
    </row>
    <row r="3" spans="1:5" ht="15.75" thickBot="1">
      <c r="A3" s="158" t="s">
        <v>683</v>
      </c>
      <c r="B3" s="33" t="b">
        <v>0</v>
      </c>
      <c r="C3" s="87" t="b">
        <f>NOT(B3)</f>
        <v>1</v>
      </c>
      <c r="E3" s="137" t="str">
        <f>IF(C13,random!M7)</f>
        <v>Preservative</v>
      </c>
    </row>
    <row r="4" spans="1:5" ht="15.75" thickBot="1">
      <c r="A4" s="158" t="s">
        <v>684</v>
      </c>
      <c r="B4" s="33" t="b">
        <v>0</v>
      </c>
      <c r="C4" s="87" t="b">
        <f t="shared" ref="C4:C6" si="0">NOT(B4)</f>
        <v>1</v>
      </c>
      <c r="E4" s="4" t="b">
        <f>IF(B13,random!M8)</f>
        <v>0</v>
      </c>
    </row>
    <row r="5" spans="1:5" ht="15.75" thickBot="1">
      <c r="A5" s="158" t="s">
        <v>682</v>
      </c>
      <c r="B5" s="33" t="b">
        <v>0</v>
      </c>
      <c r="C5" s="87" t="b">
        <f t="shared" si="0"/>
        <v>1</v>
      </c>
      <c r="E5" s="4" t="b">
        <f>IF(B13,random!M9)</f>
        <v>0</v>
      </c>
    </row>
    <row r="6" spans="1:5" ht="15.75" thickBot="1">
      <c r="A6" s="55" t="s">
        <v>2019</v>
      </c>
      <c r="B6" s="33" t="b">
        <v>0</v>
      </c>
      <c r="C6" s="87" t="b">
        <f t="shared" si="0"/>
        <v>1</v>
      </c>
      <c r="E6" s="4" t="b">
        <f>IF(B13,random!M10)</f>
        <v>0</v>
      </c>
    </row>
    <row r="7" spans="1:5" ht="15.75" thickBot="1">
      <c r="A7" s="172" t="s">
        <v>685</v>
      </c>
      <c r="B7" s="33" t="b">
        <v>0</v>
      </c>
      <c r="C7" s="87" t="b">
        <f>NOT(B7)</f>
        <v>1</v>
      </c>
      <c r="D7" s="87" t="b">
        <f>OR(B4,B9)</f>
        <v>0</v>
      </c>
      <c r="E7" s="4" t="b">
        <f>IF(D7,random!M11)</f>
        <v>0</v>
      </c>
    </row>
    <row r="8" spans="1:5" ht="15.75" thickBot="1">
      <c r="A8" s="162" t="s">
        <v>1944</v>
      </c>
      <c r="B8" s="33" t="b">
        <v>0</v>
      </c>
      <c r="D8" s="87" t="b">
        <f>OR(B3:B4,B8:B9)</f>
        <v>0</v>
      </c>
      <c r="E8" s="4" t="b">
        <f>IF(D8,random!M12)</f>
        <v>0</v>
      </c>
    </row>
    <row r="9" spans="1:5" ht="15.75" thickBot="1">
      <c r="A9" s="162" t="s">
        <v>1943</v>
      </c>
      <c r="B9" s="33" t="b">
        <v>0</v>
      </c>
      <c r="D9" s="87" t="b">
        <f>OR(B3,B8)</f>
        <v>0</v>
      </c>
      <c r="E9" s="4" t="b">
        <f>IF(D9,random!M13)</f>
        <v>0</v>
      </c>
    </row>
    <row r="10" spans="1:5" ht="15.75" thickBot="1">
      <c r="A10" s="217" t="s">
        <v>798</v>
      </c>
      <c r="B10" s="33" t="b">
        <v>0</v>
      </c>
      <c r="C10" s="87" t="b">
        <f>NOT(B10)</f>
        <v>1</v>
      </c>
      <c r="E10" s="4" t="b">
        <f>IF(B7,random!M14)</f>
        <v>0</v>
      </c>
    </row>
    <row r="11" spans="1:5" ht="15.75" thickBot="1">
      <c r="A11" s="161" t="s">
        <v>686</v>
      </c>
      <c r="B11" s="33" t="b">
        <v>0</v>
      </c>
      <c r="C11" s="87" t="b">
        <f>NOT(B11)</f>
        <v>1</v>
      </c>
      <c r="E11" s="137" t="str">
        <f>IF(C11,random!M15)</f>
        <v>Lanolin</v>
      </c>
    </row>
    <row r="12" spans="1:5" ht="15.75" thickBot="1">
      <c r="A12" s="161" t="s">
        <v>687</v>
      </c>
      <c r="B12" s="33" t="b">
        <v>0</v>
      </c>
      <c r="D12" s="87" t="b">
        <f>AND(B6,B12)</f>
        <v>0</v>
      </c>
      <c r="E12" s="4" t="b">
        <f>IF(D12,random!M16)</f>
        <v>0</v>
      </c>
    </row>
    <row r="13" spans="1:5" ht="15.75" thickBot="1">
      <c r="A13" s="161" t="s">
        <v>1269</v>
      </c>
      <c r="B13" s="33" t="b">
        <v>0</v>
      </c>
      <c r="C13" s="87" t="b">
        <f>NOT(B13)</f>
        <v>1</v>
      </c>
      <c r="E13" s="4" t="b">
        <f>IF(B5,random!M17)</f>
        <v>0</v>
      </c>
    </row>
    <row r="14" spans="1:5" ht="15.75" thickBot="1">
      <c r="A14" s="86" t="s">
        <v>1270</v>
      </c>
      <c r="B14" s="140" t="b">
        <v>0</v>
      </c>
      <c r="C14" s="87" t="b">
        <f>NOT(B14)</f>
        <v>1</v>
      </c>
      <c r="E14" s="4" t="b">
        <f>IF(B10,random!M18)</f>
        <v>0</v>
      </c>
    </row>
    <row r="15" spans="1:5" ht="15.75" thickBot="1">
      <c r="A15" s="184" t="s">
        <v>126</v>
      </c>
      <c r="B15" s="33" t="b">
        <v>0</v>
      </c>
      <c r="C15" s="87" t="b">
        <f>NOT(B15)</f>
        <v>1</v>
      </c>
      <c r="E15" s="48" t="b">
        <f>IF(B14,random!M19)</f>
        <v>0</v>
      </c>
    </row>
    <row r="16" spans="1:5" ht="15.75" thickBot="1">
      <c r="A16" s="184" t="s">
        <v>1941</v>
      </c>
      <c r="B16" s="33" t="b">
        <v>0</v>
      </c>
      <c r="C16" s="87" t="b">
        <f t="shared" ref="C16:C17" si="1">NOT(B16)</f>
        <v>1</v>
      </c>
      <c r="E16" s="2"/>
    </row>
    <row r="17" spans="1:3" ht="15.75" thickBot="1">
      <c r="A17" s="184" t="s">
        <v>1942</v>
      </c>
      <c r="B17" s="33" t="b">
        <v>0</v>
      </c>
      <c r="C17" s="87" t="b">
        <f t="shared" si="1"/>
        <v>1</v>
      </c>
    </row>
  </sheetData>
  <dataValidations xWindow="434" yWindow="471" count="2">
    <dataValidation allowBlank="1" showInputMessage="1" showErrorMessage="1" prompt="Consult your physician if unsure" sqref="A3:A14" xr:uid="{00000000-0002-0000-1300-000000000000}"/>
    <dataValidation allowBlank="1" showInputMessage="1" showErrorMessage="1" prompt="Consult your pharmacist if unsure" sqref="A15:A17" xr:uid="{00000000-0002-0000-13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434" yWindow="471" count="14">
        <x14:dataValidation type="list" showInputMessage="1" showErrorMessage="1" error="Please answer as Yes or No" prompt="Eye drops are easiest to apply and provide fast symptom relief. Generally require more frequent application throughout the day than other products." xr:uid="{00000000-0002-0000-1300-000002000000}">
          <x14:formula1>
            <xm:f>random!$A$2:$A$3</xm:f>
          </x14:formula1>
          <xm:sqref>B15</xm:sqref>
        </x14:dataValidation>
        <x14:dataValidation type="list" showInputMessage="1" showErrorMessage="1" error="Please answer as Yes or No" prompt="Symptoms include a gritty sandy feeling, eye redness and/or irritation in absence of foreign bodies. Consult your physician if possibly caused by medication, undiagnosed condition or if symptoms worsen or persist more than 5 days.  " xr:uid="{00000000-0002-0000-1300-000003000000}">
          <x14:formula1>
            <xm:f>random!$A$2:$A$3</xm:f>
          </x14:formula1>
          <xm:sqref>B4</xm:sqref>
        </x14:dataValidation>
        <x14:dataValidation type="list" showInputMessage="1" showErrorMessage="1" error="Please answer as Yes or No" prompt="Symptoms include a gritty sandy feeling, eye redness and/or irritation in absence of foreign bodies. Consult your physician if possibly caused by medication, undiagnosed condition or if symptoms worsen or persist more than 5 days. " xr:uid="{00000000-0002-0000-1300-000004000000}">
          <x14:formula1>
            <xm:f>random!$A$2:$A$3</xm:f>
          </x14:formula1>
          <xm:sqref>B3</xm:sqref>
        </x14:dataValidation>
        <x14:dataValidation type="list" showInputMessage="1" showErrorMessage="1" error="Please answer as Yes or No" prompt="Symptoms include eye redness and purulent discharge. Consult your physician if present in a child, severe symptoms or unimproving symptoms after 48 hours in an adult.  " xr:uid="{00000000-0002-0000-1300-000005000000}">
          <x14:formula1>
            <xm:f>random!$A$2:$A$3</xm:f>
          </x14:formula1>
          <xm:sqref>B5</xm:sqref>
        </x14:dataValidation>
        <x14:dataValidation type="list" showInputMessage="1" showErrorMessage="1" error="Please answer as Yes or No" prompt="Some eye products may contain lanolin which may cause irritation or discomfort in those with sensitivity to wool. " xr:uid="{00000000-0002-0000-1300-000006000000}">
          <x14:formula1>
            <xm:f>random!$A$2:$A$3</xm:f>
          </x14:formula1>
          <xm:sqref>B11</xm:sqref>
        </x14:dataValidation>
        <x14:dataValidation type="list" showInputMessage="1" showErrorMessage="1" error="Please answer as Yes or No" prompt="Some eye drop products are not compatible with contact lens use and should be avoided." xr:uid="{00000000-0002-0000-1300-000007000000}">
          <x14:formula1>
            <xm:f>random!$A$2:$A$3</xm:f>
          </x14:formula1>
          <xm:sqref>B7</xm:sqref>
        </x14:dataValidation>
        <x14:dataValidation type="list" showInputMessage="1" showErrorMessage="1" error="Please answer as Yes or No" prompt="Those with moderate-severe dry eye should avoid preservatives (especially benzalkonium chloride) since this may worsen irritation. Those with mild dry eye requiring more than 4 applications daily should consider preservative-free product. " xr:uid="{00000000-0002-0000-1300-000008000000}">
          <x14:formula1>
            <xm:f>random!$A$2:$A$3</xm:f>
          </x14:formula1>
          <xm:sqref>B13</xm:sqref>
        </x14:dataValidation>
        <x14:dataValidation type="list" showInputMessage="1" showErrorMessage="1" error="Please answer as Yes or No" prompt="Thick gels or ointments may blur vision and be unacceptable for day use for some patients. Such products require less frequent application and may be more suitable for nighttime use. " xr:uid="{00000000-0002-0000-1300-000009000000}">
          <x14:formula1>
            <xm:f>random!$A$2:$A$3</xm:f>
          </x14:formula1>
          <xm:sqref>B8:B9</xm:sqref>
        </x14:dataValidation>
        <x14:dataValidation type="list" showInputMessage="1" showErrorMessage="1" error="Please answer as Yes or No" prompt="Consult your physician if bleeding in the eye, severe symptoms, trauma, or foreign body/chemical exposure. Some products have decongestants to reduce redness cosmetically." xr:uid="{00000000-0002-0000-1300-00000A000000}">
          <x14:formula1>
            <xm:f>random!$A$2:$A$3</xm:f>
          </x14:formula1>
          <xm:sqref>B6</xm:sqref>
        </x14:dataValidation>
        <x14:dataValidation type="list" showInputMessage="1" showErrorMessage="1" error="Please answer as Yes or No" prompt="Some products, especaily with preservatives, may cause further irritation after recent eye surgery and should be avoided." xr:uid="{00000000-0002-0000-1300-00000B000000}">
          <x14:formula1>
            <xm:f>random!$A$2:$A$3</xm:f>
          </x14:formula1>
          <xm:sqref>B10</xm:sqref>
        </x14:dataValidation>
        <x14:dataValidation type="list" showInputMessage="1" showErrorMessage="1" error="Please answer as Yes or No" prompt="Decongestants may worsen glaucoma, increase blood glucose levels, worsen hypertension and interact with some mood or migraine medications. Decongestants should be avoided in these circumstances." xr:uid="{00000000-0002-0000-1300-00000C000000}">
          <x14:formula1>
            <xm:f>random!$A$2:$A$3</xm:f>
          </x14:formula1>
          <xm:sqref>B12</xm:sqref>
        </x14:dataValidation>
        <x14:dataValidation type="list" showInputMessage="1" showErrorMessage="1" error="Please answer as Yes or No" prompt="Some products can restore the oily layer of the eye and help prevent water loss and dry eye. " xr:uid="{00000000-0002-0000-1300-00000D000000}">
          <x14:formula1>
            <xm:f>random!$A$2:$A$3</xm:f>
          </x14:formula1>
          <xm:sqref>B14</xm:sqref>
        </x14:dataValidation>
        <x14:dataValidation type="list" showInputMessage="1" showErrorMessage="1" error="Please answer as Yes or No" prompt="Eye ointments provide the most long lasting benefit but are more greasy and may temporarily blur vision. Best when used overnight." xr:uid="{00000000-0002-0000-1300-00000E000000}">
          <x14:formula1>
            <xm:f>random!$A$2:$A$3</xm:f>
          </x14:formula1>
          <xm:sqref>B17</xm:sqref>
        </x14:dataValidation>
        <x14:dataValidation type="list" showInputMessage="1" showErrorMessage="1" error="Please answer as Yes or No" prompt="Gel drops provide a longer lasting benefit than eye drops but less greasy than eye ointments. Can be used throughout the day or night." xr:uid="{00000000-0002-0000-1300-00000F000000}">
          <x14:formula1>
            <xm:f>random!$A$2:$A$3</xm:f>
          </x14:formula1>
          <xm:sqref>B16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W88"/>
  <sheetViews>
    <sheetView workbookViewId="0">
      <selection activeCell="C6" sqref="C6"/>
    </sheetView>
  </sheetViews>
  <sheetFormatPr defaultRowHeight="15"/>
  <cols>
    <col min="1" max="1" width="77.42578125" customWidth="1"/>
    <col min="2" max="3" width="14.85546875" customWidth="1"/>
    <col min="4" max="4" width="11" customWidth="1"/>
    <col min="5" max="5" width="13" customWidth="1"/>
    <col min="6" max="8" width="11" customWidth="1"/>
    <col min="9" max="15" width="15" customWidth="1"/>
    <col min="16" max="16" width="11.140625" customWidth="1"/>
    <col min="17" max="17" width="12.28515625" customWidth="1"/>
    <col min="18" max="18" width="12.140625" customWidth="1"/>
    <col min="19" max="19" width="11.85546875" customWidth="1"/>
    <col min="20" max="20" width="11" customWidth="1"/>
    <col min="21" max="21" width="77" customWidth="1"/>
  </cols>
  <sheetData>
    <row r="1" spans="1:23">
      <c r="A1" s="70" t="s">
        <v>1248</v>
      </c>
      <c r="B1" t="s">
        <v>594</v>
      </c>
      <c r="C1" s="204" t="s">
        <v>601</v>
      </c>
      <c r="D1" s="204" t="s">
        <v>606</v>
      </c>
      <c r="E1" s="204" t="s">
        <v>1940</v>
      </c>
      <c r="F1" t="s">
        <v>595</v>
      </c>
      <c r="G1" t="s">
        <v>596</v>
      </c>
      <c r="H1" t="s">
        <v>597</v>
      </c>
      <c r="I1" t="s">
        <v>622</v>
      </c>
      <c r="J1" t="s">
        <v>1945</v>
      </c>
      <c r="K1" t="s">
        <v>636</v>
      </c>
      <c r="L1" t="s">
        <v>1946</v>
      </c>
      <c r="M1" t="s">
        <v>5</v>
      </c>
      <c r="N1" t="s">
        <v>1947</v>
      </c>
      <c r="O1" t="s">
        <v>680</v>
      </c>
      <c r="P1" t="s">
        <v>794</v>
      </c>
      <c r="Q1" t="s">
        <v>1948</v>
      </c>
      <c r="R1" t="s">
        <v>795</v>
      </c>
      <c r="S1" t="s">
        <v>1949</v>
      </c>
      <c r="T1" t="s">
        <v>592</v>
      </c>
      <c r="U1" t="s">
        <v>593</v>
      </c>
    </row>
    <row r="2" spans="1:23">
      <c r="A2" t="b">
        <f>IF(Table14[[#This Row],[Column8]],Table14[[#This Row],[Column9]])</f>
        <v>0</v>
      </c>
      <c r="B2" s="17"/>
      <c r="C2" s="20" t="b">
        <f>OR('Eye Drop Criteria'!B13:C13)</f>
        <v>1</v>
      </c>
      <c r="D2" s="17"/>
      <c r="E2" s="17"/>
      <c r="F2" s="17"/>
      <c r="G2" s="17"/>
      <c r="H2" s="106" t="b">
        <f>AND('Eye Drop Criteria'!B15,'Eye Drop Criteria'!C16:C17,'Eye Drop Criteria'!C9,'Eye Drop Criteria'!C5,OR('Eye Drop Criteria'!B3,'Eye Drop Criteria'!B8))</f>
        <v>0</v>
      </c>
      <c r="I2" s="17"/>
      <c r="J2" s="20" t="b">
        <f>AND('Eye Drop Criteria'!C7)</f>
        <v>1</v>
      </c>
      <c r="K2" s="17"/>
      <c r="L2" s="20" t="b">
        <f>OR('Eye Drop Criteria'!B11:C11)</f>
        <v>1</v>
      </c>
      <c r="M2" s="17"/>
      <c r="N2" s="20" t="b">
        <f>AND('Eye Drop Criteria'!C6)</f>
        <v>1</v>
      </c>
      <c r="O2" s="17"/>
      <c r="P2" s="17"/>
      <c r="Q2" s="20" t="b">
        <f>AND('Eye Drop Criteria'!C10)</f>
        <v>1</v>
      </c>
      <c r="R2" s="17"/>
      <c r="S2" s="20" t="b">
        <f>AND('Eye Drop Criteria'!C14)</f>
        <v>1</v>
      </c>
      <c r="T2" t="b">
        <f>AND(Table14[[#This Row],[Preservative]:[Non-Lipid]])</f>
        <v>0</v>
      </c>
      <c r="U2" s="28" t="s">
        <v>598</v>
      </c>
      <c r="W2" t="s">
        <v>599</v>
      </c>
    </row>
    <row r="3" spans="1:23">
      <c r="A3" t="b">
        <f>IF(Table14[[#This Row],[Column8]],Table14[[#This Row],[Column9]])</f>
        <v>0</v>
      </c>
      <c r="B3" s="17"/>
      <c r="C3" s="20" t="b">
        <f>C2</f>
        <v>1</v>
      </c>
      <c r="D3" s="17"/>
      <c r="E3" s="17"/>
      <c r="F3" s="17"/>
      <c r="G3" s="17"/>
      <c r="H3" s="20" t="b">
        <f>H2</f>
        <v>0</v>
      </c>
      <c r="I3" s="17"/>
      <c r="J3" s="20" t="b">
        <f>J2</f>
        <v>1</v>
      </c>
      <c r="K3" s="17"/>
      <c r="L3" s="20" t="b">
        <f>L2</f>
        <v>1</v>
      </c>
      <c r="M3" s="17"/>
      <c r="N3" s="20" t="b">
        <f>N2</f>
        <v>1</v>
      </c>
      <c r="O3" s="17"/>
      <c r="P3" s="17"/>
      <c r="Q3" s="20" t="b">
        <f>Q2</f>
        <v>1</v>
      </c>
      <c r="R3" s="17"/>
      <c r="S3" s="20" t="b">
        <f>S2</f>
        <v>1</v>
      </c>
      <c r="T3" t="b">
        <f>AND(Table14[[#This Row],[Preservative]:[Non-Lipid]])</f>
        <v>0</v>
      </c>
      <c r="U3" s="28" t="s">
        <v>600</v>
      </c>
      <c r="W3" t="s">
        <v>599</v>
      </c>
    </row>
    <row r="4" spans="1:23">
      <c r="A4" t="b">
        <f>IF(Table14[[#This Row],[Column8]],Table14[[#This Row],[Column9]])</f>
        <v>0</v>
      </c>
      <c r="B4" s="20" t="b">
        <f>AND('Eye Drop Criteria'!C13)</f>
        <v>1</v>
      </c>
      <c r="C4" s="17"/>
      <c r="D4" s="17"/>
      <c r="E4" s="17"/>
      <c r="F4" s="17"/>
      <c r="G4" s="17"/>
      <c r="H4" s="20" t="b">
        <f>H2</f>
        <v>0</v>
      </c>
      <c r="I4" s="17"/>
      <c r="J4" s="20" t="b">
        <f>J2</f>
        <v>1</v>
      </c>
      <c r="K4" s="17"/>
      <c r="L4" s="20" t="b">
        <f>L2</f>
        <v>1</v>
      </c>
      <c r="M4" s="17"/>
      <c r="N4" s="20" t="b">
        <f>N2</f>
        <v>1</v>
      </c>
      <c r="O4" s="17"/>
      <c r="P4" s="17"/>
      <c r="Q4" s="20" t="b">
        <f>Q2</f>
        <v>1</v>
      </c>
      <c r="R4" s="17"/>
      <c r="S4" s="20" t="b">
        <f>S2</f>
        <v>1</v>
      </c>
      <c r="T4" t="b">
        <f>AND(Table14[[#This Row],[Preservative]:[Non-Lipid]])</f>
        <v>0</v>
      </c>
      <c r="U4" s="28" t="s">
        <v>602</v>
      </c>
      <c r="W4" t="s">
        <v>599</v>
      </c>
    </row>
    <row r="5" spans="1:23">
      <c r="A5" t="b">
        <f>IF(Table14[[#This Row],[Column8]],Table14[[#This Row],[Column9]])</f>
        <v>0</v>
      </c>
      <c r="B5" s="20" t="b">
        <f>B4</f>
        <v>1</v>
      </c>
      <c r="C5" s="17"/>
      <c r="D5" s="17"/>
      <c r="E5" s="17"/>
      <c r="F5" s="17"/>
      <c r="G5" s="17"/>
      <c r="H5" s="20" t="b">
        <f>H2</f>
        <v>0</v>
      </c>
      <c r="I5" s="17"/>
      <c r="J5" s="20" t="b">
        <f>J2</f>
        <v>1</v>
      </c>
      <c r="K5" s="17"/>
      <c r="L5" s="20" t="b">
        <f>L2</f>
        <v>1</v>
      </c>
      <c r="M5" s="20" t="b">
        <f>AND('Eye Drop Criteria'!B6,'Eye Drop Criteria'!B12)</f>
        <v>0</v>
      </c>
      <c r="N5" s="17"/>
      <c r="O5" s="17"/>
      <c r="P5" s="17"/>
      <c r="Q5" s="20" t="b">
        <f>Q2</f>
        <v>1</v>
      </c>
      <c r="R5" s="17"/>
      <c r="S5" s="20" t="b">
        <f>S2</f>
        <v>1</v>
      </c>
      <c r="T5" t="b">
        <f>AND(Table14[[#This Row],[Preservative]:[Non-Lipid]])</f>
        <v>0</v>
      </c>
      <c r="U5" s="11" t="s">
        <v>676</v>
      </c>
    </row>
    <row r="6" spans="1:23">
      <c r="A6" t="b">
        <f>IF(Table14[[#This Row],[Column8]],Table14[[#This Row],[Column9]])</f>
        <v>0</v>
      </c>
      <c r="B6" s="20" t="b">
        <f>B4</f>
        <v>1</v>
      </c>
      <c r="C6" s="17"/>
      <c r="D6" s="17"/>
      <c r="E6" s="17"/>
      <c r="F6" s="17"/>
      <c r="G6" s="17"/>
      <c r="H6" s="20" t="b">
        <f>H2</f>
        <v>0</v>
      </c>
      <c r="I6" s="17"/>
      <c r="J6" s="20" t="b">
        <f>J2</f>
        <v>1</v>
      </c>
      <c r="K6" s="17"/>
      <c r="L6" s="20" t="b">
        <f>L2</f>
        <v>1</v>
      </c>
      <c r="M6" s="20" t="b">
        <f>M5</f>
        <v>0</v>
      </c>
      <c r="N6" s="17"/>
      <c r="O6" s="17"/>
      <c r="P6" s="17"/>
      <c r="Q6" s="20" t="b">
        <f>Q2</f>
        <v>1</v>
      </c>
      <c r="R6" s="17"/>
      <c r="S6" s="20" t="b">
        <f>S2</f>
        <v>1</v>
      </c>
      <c r="T6" t="b">
        <f>AND(Table14[[#This Row],[Preservative]:[Non-Lipid]])</f>
        <v>0</v>
      </c>
      <c r="U6" s="11" t="s">
        <v>677</v>
      </c>
    </row>
    <row r="7" spans="1:23">
      <c r="A7" t="b">
        <f>IF(Table14[[#This Row],[Column8]],Table14[[#This Row],[Column9]])</f>
        <v>0</v>
      </c>
      <c r="B7" s="20" t="b">
        <f>B4</f>
        <v>1</v>
      </c>
      <c r="C7" s="17"/>
      <c r="D7" s="17"/>
      <c r="E7" s="17"/>
      <c r="F7" s="17"/>
      <c r="G7" s="17"/>
      <c r="H7" s="20" t="b">
        <f>H2</f>
        <v>0</v>
      </c>
      <c r="I7" s="17"/>
      <c r="J7" s="20" t="b">
        <f>J2</f>
        <v>1</v>
      </c>
      <c r="K7" s="17"/>
      <c r="L7" s="20" t="b">
        <f>L2</f>
        <v>1</v>
      </c>
      <c r="M7" s="20" t="b">
        <f>M5</f>
        <v>0</v>
      </c>
      <c r="N7" s="17"/>
      <c r="O7" s="17"/>
      <c r="P7" s="17"/>
      <c r="Q7" s="20" t="b">
        <f>Q2</f>
        <v>1</v>
      </c>
      <c r="R7" s="17"/>
      <c r="S7" s="20" t="b">
        <f>S2</f>
        <v>1</v>
      </c>
      <c r="T7" t="b">
        <f>AND(Table14[[#This Row],[Preservative]:[Non-Lipid]])</f>
        <v>0</v>
      </c>
      <c r="U7" s="11" t="s">
        <v>678</v>
      </c>
    </row>
    <row r="8" spans="1:23">
      <c r="A8" s="16" t="e">
        <f>IF(Table14[[#This Row],[Column8]],Table14[[#This Row],[Column9]])</f>
        <v>#VALUE!</v>
      </c>
      <c r="B8" s="16"/>
      <c r="C8" s="16"/>
      <c r="D8" s="16"/>
      <c r="E8" s="16"/>
      <c r="F8" s="16"/>
      <c r="G8" s="16"/>
      <c r="H8" s="16"/>
      <c r="I8" s="16"/>
      <c r="J8" s="16"/>
      <c r="K8" s="16"/>
      <c r="L8" s="16"/>
      <c r="M8" s="16"/>
      <c r="N8" s="16"/>
      <c r="O8" s="16"/>
      <c r="P8" s="16"/>
      <c r="Q8" s="16"/>
      <c r="R8" s="16"/>
      <c r="S8" s="16"/>
      <c r="T8" s="16" t="e">
        <f>AND(Table14[[#This Row],[Preservative]:[Non-Lipid]])</f>
        <v>#VALUE!</v>
      </c>
      <c r="U8" s="16"/>
    </row>
    <row r="9" spans="1:23">
      <c r="A9" t="b">
        <f>IF(Table14[[#This Row],[Column8]],Table14[[#This Row],[Column9]])</f>
        <v>0</v>
      </c>
      <c r="B9" s="17"/>
      <c r="C9" s="17"/>
      <c r="D9" s="17"/>
      <c r="E9" s="20" t="b">
        <f>OR('Eye Drop Criteria'!B13:C13)</f>
        <v>1</v>
      </c>
      <c r="F9" s="17"/>
      <c r="G9" s="17"/>
      <c r="H9" s="20" t="b">
        <f>H2</f>
        <v>0</v>
      </c>
      <c r="I9" s="17"/>
      <c r="J9" s="20" t="b">
        <f>J2</f>
        <v>1</v>
      </c>
      <c r="K9" s="17"/>
      <c r="L9" s="20" t="b">
        <f>L2</f>
        <v>1</v>
      </c>
      <c r="M9" s="17"/>
      <c r="N9" s="20" t="b">
        <f>N2</f>
        <v>1</v>
      </c>
      <c r="O9" s="17"/>
      <c r="P9" s="20" t="b">
        <f>OR('Eye Drop Criteria'!B10:C10)</f>
        <v>1</v>
      </c>
      <c r="Q9" s="17"/>
      <c r="R9" s="17"/>
      <c r="S9" s="20" t="b">
        <f>S2</f>
        <v>1</v>
      </c>
      <c r="T9" t="b">
        <f>AND(Table14[[#This Row],[Preservative]:[Non-Lipid]])</f>
        <v>0</v>
      </c>
      <c r="U9" s="29" t="s">
        <v>603</v>
      </c>
      <c r="W9" t="s">
        <v>624</v>
      </c>
    </row>
    <row r="10" spans="1:23">
      <c r="A10" t="b">
        <f>IF(Table14[[#This Row],[Column8]],Table14[[#This Row],[Column9]])</f>
        <v>0</v>
      </c>
      <c r="B10" s="20" t="b">
        <f>B4</f>
        <v>1</v>
      </c>
      <c r="C10" s="17"/>
      <c r="D10" s="17"/>
      <c r="E10" s="17"/>
      <c r="F10" s="17"/>
      <c r="G10" s="17"/>
      <c r="H10" s="20" t="b">
        <f>H2</f>
        <v>0</v>
      </c>
      <c r="I10" s="17"/>
      <c r="J10" s="20" t="b">
        <f>J2</f>
        <v>1</v>
      </c>
      <c r="K10" s="17"/>
      <c r="L10" s="20" t="b">
        <f>L2</f>
        <v>1</v>
      </c>
      <c r="M10" s="17"/>
      <c r="N10" s="20" t="b">
        <f>N2</f>
        <v>1</v>
      </c>
      <c r="O10" s="17"/>
      <c r="P10" s="17"/>
      <c r="Q10" s="20" t="b">
        <f>Q2</f>
        <v>1</v>
      </c>
      <c r="R10" s="17"/>
      <c r="S10" s="20" t="b">
        <f>S2</f>
        <v>1</v>
      </c>
      <c r="T10" t="b">
        <f>AND(Table14[[#This Row],[Preservative]:[Non-Lipid]])</f>
        <v>0</v>
      </c>
      <c r="U10" s="29" t="s">
        <v>604</v>
      </c>
    </row>
    <row r="11" spans="1:23">
      <c r="A11" t="b">
        <f>IF(Table14[[#This Row],[Column8]],Table14[[#This Row],[Column9]])</f>
        <v>0</v>
      </c>
      <c r="B11" s="17"/>
      <c r="C11" s="17"/>
      <c r="D11" s="20" t="b">
        <f>OR('Eye Drop Criteria'!B13:C13)</f>
        <v>1</v>
      </c>
      <c r="E11" s="17"/>
      <c r="F11" s="17"/>
      <c r="G11" s="17"/>
      <c r="H11" s="20" t="b">
        <f>H2</f>
        <v>0</v>
      </c>
      <c r="I11" s="20" t="b">
        <f>OR('Eye Drop Criteria'!B7:C7)</f>
        <v>1</v>
      </c>
      <c r="J11" s="17"/>
      <c r="K11" s="17"/>
      <c r="L11" s="20" t="b">
        <f>L2</f>
        <v>1</v>
      </c>
      <c r="M11" s="17"/>
      <c r="N11" s="20" t="b">
        <f>N2</f>
        <v>1</v>
      </c>
      <c r="O11" s="17"/>
      <c r="P11" s="17"/>
      <c r="Q11" s="20" t="b">
        <f>Q2</f>
        <v>1</v>
      </c>
      <c r="R11" s="17"/>
      <c r="S11" s="20" t="b">
        <f>S2</f>
        <v>1</v>
      </c>
      <c r="T11" t="b">
        <f>AND(Table14[[#This Row],[Preservative]:[Non-Lipid]])</f>
        <v>0</v>
      </c>
      <c r="U11" s="29" t="s">
        <v>605</v>
      </c>
      <c r="W11" t="s">
        <v>607</v>
      </c>
    </row>
    <row r="12" spans="1:23">
      <c r="A12" t="b">
        <f>IF(Table14[[#This Row],[Column8]],Table14[[#This Row],[Column9]])</f>
        <v>0</v>
      </c>
      <c r="B12" s="17"/>
      <c r="C12" s="17"/>
      <c r="D12" s="17"/>
      <c r="E12" s="20" t="b">
        <f>E9</f>
        <v>1</v>
      </c>
      <c r="F12" s="17"/>
      <c r="G12" s="17"/>
      <c r="H12" s="20" t="b">
        <f>H2</f>
        <v>0</v>
      </c>
      <c r="I12" s="17"/>
      <c r="J12" s="20" t="b">
        <f>J2</f>
        <v>1</v>
      </c>
      <c r="K12" s="17"/>
      <c r="L12" s="20" t="b">
        <f>L2</f>
        <v>1</v>
      </c>
      <c r="M12" s="17"/>
      <c r="N12" s="20" t="b">
        <f>N2</f>
        <v>1</v>
      </c>
      <c r="O12" s="17"/>
      <c r="P12" s="17"/>
      <c r="Q12" s="20" t="b">
        <f>Q2</f>
        <v>1</v>
      </c>
      <c r="R12" s="20" t="b">
        <f>OR('Eye Drop Criteria'!B14:C14)</f>
        <v>1</v>
      </c>
      <c r="S12" s="17"/>
      <c r="T12" t="b">
        <f>AND(Table14[[#This Row],[Preservative]:[Non-Lipid]])</f>
        <v>0</v>
      </c>
      <c r="U12" s="29" t="s">
        <v>608</v>
      </c>
      <c r="W12" t="s">
        <v>623</v>
      </c>
    </row>
    <row r="13" spans="1:23">
      <c r="A13" t="b">
        <f>IF(Table14[[#This Row],[Column8]],Table14[[#This Row],[Column9]])</f>
        <v>0</v>
      </c>
      <c r="B13" s="20" t="b">
        <f>B4</f>
        <v>1</v>
      </c>
      <c r="C13" s="17"/>
      <c r="D13" s="17"/>
      <c r="E13" s="17"/>
      <c r="F13" s="17"/>
      <c r="G13" s="17"/>
      <c r="H13" s="20" t="b">
        <f>H2</f>
        <v>0</v>
      </c>
      <c r="I13" s="17"/>
      <c r="J13" s="20" t="b">
        <f>J2</f>
        <v>1</v>
      </c>
      <c r="K13" s="17"/>
      <c r="L13" s="20" t="b">
        <f>L2</f>
        <v>1</v>
      </c>
      <c r="M13" s="17"/>
      <c r="N13" s="20" t="b">
        <f>N2</f>
        <v>1</v>
      </c>
      <c r="O13" s="17"/>
      <c r="P13" s="17"/>
      <c r="Q13" s="20" t="b">
        <f>Q2</f>
        <v>1</v>
      </c>
      <c r="R13" s="17"/>
      <c r="S13" s="20" t="b">
        <f>S2</f>
        <v>1</v>
      </c>
      <c r="T13" t="b">
        <f>AND(Table14[[#This Row],[Preservative]:[Non-Lipid]])</f>
        <v>0</v>
      </c>
      <c r="U13" s="29" t="s">
        <v>609</v>
      </c>
    </row>
    <row r="14" spans="1:23">
      <c r="A14" t="b">
        <f>IF(Table14[[#This Row],[Column8]],Table14[[#This Row],[Column9]])</f>
        <v>0</v>
      </c>
      <c r="B14" s="17"/>
      <c r="C14" s="17"/>
      <c r="D14" s="17"/>
      <c r="E14" s="20" t="b">
        <f>E9</f>
        <v>1</v>
      </c>
      <c r="F14" s="17"/>
      <c r="G14" s="17"/>
      <c r="H14" s="20" t="b">
        <f>H2</f>
        <v>0</v>
      </c>
      <c r="I14" s="17"/>
      <c r="J14" s="20" t="b">
        <f>J2</f>
        <v>1</v>
      </c>
      <c r="K14" s="17"/>
      <c r="L14" s="20" t="b">
        <f>L2</f>
        <v>1</v>
      </c>
      <c r="M14" s="17"/>
      <c r="N14" s="20" t="b">
        <f>N2</f>
        <v>1</v>
      </c>
      <c r="O14" s="17"/>
      <c r="P14" s="17"/>
      <c r="Q14" s="20" t="b">
        <f>Q2</f>
        <v>1</v>
      </c>
      <c r="R14" s="17"/>
      <c r="S14" s="20" t="b">
        <f>S2</f>
        <v>1</v>
      </c>
      <c r="T14" t="b">
        <f>AND(Table14[[#This Row],[Preservative]:[Non-Lipid]])</f>
        <v>0</v>
      </c>
      <c r="U14" s="29" t="s">
        <v>610</v>
      </c>
    </row>
    <row r="15" spans="1:23">
      <c r="A15" t="b">
        <f>IF(Table14[[#This Row],[Column8]],Table14[[#This Row],[Column9]])</f>
        <v>0</v>
      </c>
      <c r="B15" s="20" t="b">
        <f>B4</f>
        <v>1</v>
      </c>
      <c r="C15" s="17"/>
      <c r="D15" s="17"/>
      <c r="E15" s="17"/>
      <c r="F15" s="17"/>
      <c r="G15" s="17"/>
      <c r="H15" s="20" t="b">
        <f>H2</f>
        <v>0</v>
      </c>
      <c r="I15" s="17"/>
      <c r="J15" s="20" t="b">
        <f>J2</f>
        <v>1</v>
      </c>
      <c r="K15" s="17"/>
      <c r="L15" s="20" t="b">
        <f>L2</f>
        <v>1</v>
      </c>
      <c r="M15" s="17"/>
      <c r="N15" s="20" t="b">
        <f>N2</f>
        <v>1</v>
      </c>
      <c r="O15" s="17"/>
      <c r="P15" s="17"/>
      <c r="Q15" s="20" t="b">
        <f>Q2</f>
        <v>1</v>
      </c>
      <c r="R15" s="17"/>
      <c r="S15" s="20" t="b">
        <f>S2</f>
        <v>1</v>
      </c>
      <c r="T15" t="b">
        <f>AND(Table14[[#This Row],[Preservative]:[Non-Lipid]])</f>
        <v>0</v>
      </c>
      <c r="U15" s="29" t="s">
        <v>611</v>
      </c>
    </row>
    <row r="16" spans="1:23">
      <c r="A16" t="b">
        <f>IF(Table14[[#This Row],[Column8]],Table14[[#This Row],[Column9]])</f>
        <v>0</v>
      </c>
      <c r="B16" s="17"/>
      <c r="C16" s="17"/>
      <c r="D16" s="17"/>
      <c r="E16" s="20" t="b">
        <f>E9</f>
        <v>1</v>
      </c>
      <c r="F16" s="17"/>
      <c r="G16" s="17"/>
      <c r="H16" s="20" t="b">
        <f>H2</f>
        <v>0</v>
      </c>
      <c r="I16" s="17"/>
      <c r="J16" s="20" t="b">
        <f>J2</f>
        <v>1</v>
      </c>
      <c r="K16" s="17"/>
      <c r="L16" s="20" t="b">
        <f>L2</f>
        <v>1</v>
      </c>
      <c r="M16" s="17"/>
      <c r="N16" s="20" t="b">
        <f>N2</f>
        <v>1</v>
      </c>
      <c r="O16" s="17"/>
      <c r="P16" s="20" t="b">
        <f>P9</f>
        <v>1</v>
      </c>
      <c r="Q16" s="17"/>
      <c r="R16" s="17"/>
      <c r="S16" s="20" t="b">
        <f>S2</f>
        <v>1</v>
      </c>
      <c r="T16" t="b">
        <f>AND(Table14[[#This Row],[Preservative]:[Non-Lipid]])</f>
        <v>0</v>
      </c>
      <c r="U16" s="29" t="s">
        <v>612</v>
      </c>
      <c r="W16" t="s">
        <v>624</v>
      </c>
    </row>
    <row r="17" spans="1:23">
      <c r="A17" t="b">
        <f>IF(Table14[[#This Row],[Column8]],Table14[[#This Row],[Column9]])</f>
        <v>0</v>
      </c>
      <c r="B17" s="20" t="b">
        <f>B4</f>
        <v>1</v>
      </c>
      <c r="C17" s="17"/>
      <c r="D17" s="17"/>
      <c r="E17" s="17"/>
      <c r="F17" s="17"/>
      <c r="G17" s="17"/>
      <c r="H17" s="20" t="b">
        <f>H2</f>
        <v>0</v>
      </c>
      <c r="I17" s="17"/>
      <c r="J17" s="20" t="b">
        <f>J2</f>
        <v>1</v>
      </c>
      <c r="K17" s="17"/>
      <c r="L17" s="20" t="b">
        <f>L2</f>
        <v>1</v>
      </c>
      <c r="M17" s="17"/>
      <c r="N17" s="20" t="b">
        <f>N2</f>
        <v>1</v>
      </c>
      <c r="O17" s="17"/>
      <c r="P17" s="17"/>
      <c r="Q17" s="20" t="b">
        <f>Q2</f>
        <v>1</v>
      </c>
      <c r="R17" s="17"/>
      <c r="S17" s="20" t="b">
        <f>S2</f>
        <v>1</v>
      </c>
      <c r="T17" t="b">
        <f>AND(Table14[[#This Row],[Preservative]:[Non-Lipid]])</f>
        <v>0</v>
      </c>
      <c r="U17" s="29" t="s">
        <v>613</v>
      </c>
    </row>
    <row r="18" spans="1:23">
      <c r="A18" t="b">
        <f>IF(Table14[[#This Row],[Column8]],Table14[[#This Row],[Column9]])</f>
        <v>0</v>
      </c>
      <c r="B18" s="17"/>
      <c r="C18" s="17"/>
      <c r="D18" s="17"/>
      <c r="E18" s="20" t="b">
        <f>E9</f>
        <v>1</v>
      </c>
      <c r="F18" s="17"/>
      <c r="G18" s="17"/>
      <c r="H18" s="20" t="b">
        <f>H2</f>
        <v>0</v>
      </c>
      <c r="I18" s="17"/>
      <c r="J18" s="20" t="b">
        <f>J2</f>
        <v>1</v>
      </c>
      <c r="K18" s="17"/>
      <c r="L18" s="20" t="b">
        <f>L2</f>
        <v>1</v>
      </c>
      <c r="M18" s="17"/>
      <c r="N18" s="20" t="b">
        <f>N2</f>
        <v>1</v>
      </c>
      <c r="O18" s="17"/>
      <c r="P18" s="20" t="b">
        <f>P9</f>
        <v>1</v>
      </c>
      <c r="Q18" s="17"/>
      <c r="R18" s="17"/>
      <c r="S18" s="20" t="b">
        <f>S2</f>
        <v>1</v>
      </c>
      <c r="T18" t="b">
        <f>AND(Table14[[#This Row],[Preservative]:[Non-Lipid]])</f>
        <v>0</v>
      </c>
      <c r="U18" s="29" t="s">
        <v>614</v>
      </c>
      <c r="W18" t="s">
        <v>624</v>
      </c>
    </row>
    <row r="19" spans="1:23">
      <c r="A19" t="b">
        <f>IF(Table14[[#This Row],[Column8]],Table14[[#This Row],[Column9]])</f>
        <v>0</v>
      </c>
      <c r="B19" s="17"/>
      <c r="C19" s="17"/>
      <c r="D19" s="17"/>
      <c r="E19" s="20" t="b">
        <f>E9</f>
        <v>1</v>
      </c>
      <c r="F19" s="17"/>
      <c r="G19" s="17"/>
      <c r="H19" s="20" t="b">
        <f>H2</f>
        <v>0</v>
      </c>
      <c r="I19" s="17"/>
      <c r="J19" s="20" t="b">
        <f>J2</f>
        <v>1</v>
      </c>
      <c r="K19" s="17"/>
      <c r="L19" s="20" t="b">
        <f>L2</f>
        <v>1</v>
      </c>
      <c r="M19" s="17"/>
      <c r="N19" s="20" t="b">
        <f>N2</f>
        <v>1</v>
      </c>
      <c r="O19" s="17"/>
      <c r="P19" s="17"/>
      <c r="Q19" s="20" t="b">
        <f>Q2</f>
        <v>1</v>
      </c>
      <c r="R19" s="17"/>
      <c r="S19" s="20" t="b">
        <f>S2</f>
        <v>1</v>
      </c>
      <c r="T19" t="b">
        <f>AND(Table14[[#This Row],[Preservative]:[Non-Lipid]])</f>
        <v>0</v>
      </c>
      <c r="U19" s="29" t="s">
        <v>615</v>
      </c>
    </row>
    <row r="20" spans="1:23">
      <c r="A20" t="b">
        <f>IF(Table14[[#This Row],[Column8]],Table14[[#This Row],[Column9]])</f>
        <v>0</v>
      </c>
      <c r="B20" s="20" t="b">
        <f>B4</f>
        <v>1</v>
      </c>
      <c r="C20" s="17"/>
      <c r="D20" s="17"/>
      <c r="E20" s="17"/>
      <c r="F20" s="17"/>
      <c r="G20" s="20" t="b">
        <f>AND('Eye Drop Criteria'!B16,'Eye Drop Criteria'!C15,'Eye Drop Criteria'!C17,OR('Eye Drop Criteria'!B3:B4,'Eye Drop Criteria'!B8:B9))</f>
        <v>0</v>
      </c>
      <c r="H20" s="17"/>
      <c r="I20" s="17"/>
      <c r="J20" s="20" t="b">
        <f>J2</f>
        <v>1</v>
      </c>
      <c r="K20" s="17"/>
      <c r="L20" s="20" t="b">
        <f>L2</f>
        <v>1</v>
      </c>
      <c r="M20" s="17"/>
      <c r="N20" s="20" t="b">
        <f>N2</f>
        <v>1</v>
      </c>
      <c r="O20" s="17"/>
      <c r="P20" s="17"/>
      <c r="Q20" s="20" t="b">
        <f>Q2</f>
        <v>1</v>
      </c>
      <c r="R20" s="17"/>
      <c r="S20" s="20" t="b">
        <f>S2</f>
        <v>1</v>
      </c>
      <c r="T20" t="b">
        <f>AND(Table14[[#This Row],[Preservative]:[Non-Lipid]])</f>
        <v>0</v>
      </c>
      <c r="U20" s="29" t="s">
        <v>616</v>
      </c>
    </row>
    <row r="21" spans="1:23">
      <c r="A21" t="b">
        <f>IF(Table14[[#This Row],[Column8]],Table14[[#This Row],[Column9]])</f>
        <v>0</v>
      </c>
      <c r="B21" s="17"/>
      <c r="C21" s="17"/>
      <c r="D21" s="17"/>
      <c r="E21" s="20" t="b">
        <f>E9</f>
        <v>1</v>
      </c>
      <c r="F21" s="17"/>
      <c r="G21" s="20" t="b">
        <f>G20</f>
        <v>0</v>
      </c>
      <c r="H21" s="17"/>
      <c r="I21" s="17"/>
      <c r="J21" s="20" t="b">
        <f>J2</f>
        <v>1</v>
      </c>
      <c r="K21" s="17"/>
      <c r="L21" s="20" t="b">
        <f>L2</f>
        <v>1</v>
      </c>
      <c r="M21" s="17"/>
      <c r="N21" s="20" t="b">
        <f>N2</f>
        <v>1</v>
      </c>
      <c r="O21" s="17"/>
      <c r="P21" s="17"/>
      <c r="Q21" s="20" t="b">
        <f>Q2</f>
        <v>1</v>
      </c>
      <c r="R21" s="17"/>
      <c r="S21" s="20" t="b">
        <f>S2</f>
        <v>1</v>
      </c>
      <c r="T21" t="b">
        <f>AND(Table14[[#This Row],[Preservative]:[Non-Lipid]])</f>
        <v>0</v>
      </c>
      <c r="U21" s="29" t="s">
        <v>617</v>
      </c>
    </row>
    <row r="22" spans="1:23">
      <c r="A22" t="b">
        <f>IF(Table14[[#This Row],[Column8]],Table14[[#This Row],[Column9]])</f>
        <v>0</v>
      </c>
      <c r="B22" s="20" t="b">
        <f>B4</f>
        <v>1</v>
      </c>
      <c r="C22" s="17"/>
      <c r="D22" s="17"/>
      <c r="E22" s="17"/>
      <c r="F22" s="17"/>
      <c r="G22" s="20" t="b">
        <f>G20</f>
        <v>0</v>
      </c>
      <c r="H22" s="17"/>
      <c r="I22" s="17"/>
      <c r="J22" s="20" t="b">
        <f>J2</f>
        <v>1</v>
      </c>
      <c r="K22" s="17"/>
      <c r="L22" s="20" t="b">
        <f>L2</f>
        <v>1</v>
      </c>
      <c r="M22" s="17"/>
      <c r="N22" s="20" t="b">
        <f>N2</f>
        <v>1</v>
      </c>
      <c r="O22" s="17"/>
      <c r="P22" s="17"/>
      <c r="Q22" s="20" t="b">
        <f>Q2</f>
        <v>1</v>
      </c>
      <c r="R22" s="17"/>
      <c r="S22" s="20" t="b">
        <f>S2</f>
        <v>1</v>
      </c>
      <c r="T22" t="b">
        <f>AND(Table14[[#This Row],[Preservative]:[Non-Lipid]])</f>
        <v>0</v>
      </c>
      <c r="U22" s="29" t="s">
        <v>618</v>
      </c>
    </row>
    <row r="23" spans="1:23">
      <c r="A23" t="b">
        <f>IF(Table14[[#This Row],[Column8]],Table14[[#This Row],[Column9]])</f>
        <v>0</v>
      </c>
      <c r="B23" s="17"/>
      <c r="C23" s="17"/>
      <c r="D23" s="17"/>
      <c r="E23" s="20" t="b">
        <f>E9</f>
        <v>1</v>
      </c>
      <c r="F23" s="20" t="b">
        <f>AND('Eye Drop Criteria'!B17,'Eye Drop Criteria'!C15:C16,OR('Eye Drop Criteria'!B4,'Eye Drop Criteria'!B9),'Eye Drop Criteria'!C8)</f>
        <v>0</v>
      </c>
      <c r="G23" s="17"/>
      <c r="H23" s="17"/>
      <c r="I23" s="17"/>
      <c r="J23" s="20" t="b">
        <f>J2</f>
        <v>1</v>
      </c>
      <c r="K23" s="17"/>
      <c r="L23" s="20" t="b">
        <f>L2</f>
        <v>1</v>
      </c>
      <c r="M23" s="17"/>
      <c r="N23" s="20" t="b">
        <f>N2</f>
        <v>1</v>
      </c>
      <c r="O23" s="17"/>
      <c r="P23" s="17"/>
      <c r="Q23" s="20" t="b">
        <f>Q2</f>
        <v>1</v>
      </c>
      <c r="R23" s="17"/>
      <c r="S23" s="20" t="b">
        <f>S2</f>
        <v>1</v>
      </c>
      <c r="T23" t="b">
        <f>AND(Table14[[#This Row],[Preservative]:[Non-Lipid]])</f>
        <v>0</v>
      </c>
      <c r="U23" s="29" t="s">
        <v>619</v>
      </c>
    </row>
    <row r="24" spans="1:23">
      <c r="A24" t="b">
        <f>IF(Table14[[#This Row],[Column8]],Table14[[#This Row],[Column9]])</f>
        <v>0</v>
      </c>
      <c r="B24" s="20" t="b">
        <f>B4</f>
        <v>1</v>
      </c>
      <c r="C24" s="17"/>
      <c r="D24" s="17"/>
      <c r="E24" s="17"/>
      <c r="F24" s="20" t="b">
        <f>F23</f>
        <v>0</v>
      </c>
      <c r="G24" s="17"/>
      <c r="H24" s="17"/>
      <c r="I24" s="17"/>
      <c r="J24" s="20" t="b">
        <f>J2</f>
        <v>1</v>
      </c>
      <c r="K24" s="17"/>
      <c r="L24" s="20" t="b">
        <f>L2</f>
        <v>1</v>
      </c>
      <c r="M24" s="17"/>
      <c r="N24" s="20" t="b">
        <f>N2</f>
        <v>1</v>
      </c>
      <c r="O24" s="17"/>
      <c r="P24" s="17"/>
      <c r="Q24" s="20" t="b">
        <f>Q2</f>
        <v>1</v>
      </c>
      <c r="R24" s="17"/>
      <c r="S24" s="20" t="b">
        <f>S2</f>
        <v>1</v>
      </c>
      <c r="T24" t="b">
        <f>AND(Table14[[#This Row],[Preservative]:[Non-Lipid]])</f>
        <v>0</v>
      </c>
      <c r="U24" s="29" t="s">
        <v>620</v>
      </c>
    </row>
    <row r="25" spans="1:23">
      <c r="A25" t="b">
        <f>IF(Table14[[#This Row],[Column8]],Table14[[#This Row],[Column9]])</f>
        <v>0</v>
      </c>
      <c r="B25" s="17"/>
      <c r="C25" s="17"/>
      <c r="D25" s="20" t="b">
        <f>D11</f>
        <v>1</v>
      </c>
      <c r="E25" s="17"/>
      <c r="F25" s="17"/>
      <c r="G25" s="17"/>
      <c r="H25" s="20" t="b">
        <f>H2</f>
        <v>0</v>
      </c>
      <c r="I25" s="20" t="b">
        <f>I11</f>
        <v>1</v>
      </c>
      <c r="J25" s="17"/>
      <c r="K25" s="17"/>
      <c r="L25" s="20" t="b">
        <f>L2</f>
        <v>1</v>
      </c>
      <c r="M25" s="17"/>
      <c r="N25" s="20" t="b">
        <f>N2</f>
        <v>1</v>
      </c>
      <c r="O25" s="17"/>
      <c r="P25" s="17"/>
      <c r="Q25" s="20" t="b">
        <f>Q2</f>
        <v>1</v>
      </c>
      <c r="R25" s="17"/>
      <c r="S25" s="20" t="b">
        <f>S2</f>
        <v>1</v>
      </c>
      <c r="T25" t="b">
        <f>AND(Table14[[#This Row],[Preservative]:[Non-Lipid]])</f>
        <v>0</v>
      </c>
      <c r="U25" s="29" t="s">
        <v>621</v>
      </c>
      <c r="W25" t="s">
        <v>607</v>
      </c>
    </row>
    <row r="26" spans="1:23">
      <c r="A26" s="16" t="e">
        <f>IF(Table14[[#This Row],[Column8]],Table14[[#This Row],[Column9]])</f>
        <v>#VALUE!</v>
      </c>
      <c r="B26" s="16"/>
      <c r="C26" s="16"/>
      <c r="D26" s="16"/>
      <c r="E26" s="16"/>
      <c r="F26" s="16"/>
      <c r="G26" s="16"/>
      <c r="H26" s="16"/>
      <c r="I26" s="16"/>
      <c r="J26" s="16"/>
      <c r="K26" s="16"/>
      <c r="L26" s="16"/>
      <c r="M26" s="16"/>
      <c r="N26" s="16"/>
      <c r="O26" s="16"/>
      <c r="P26" s="16"/>
      <c r="Q26" s="16"/>
      <c r="R26" s="16"/>
      <c r="S26" s="16"/>
      <c r="T26" s="16" t="e">
        <f>AND(Table14[[#This Row],[Preservative]:[Non-Lipid]])</f>
        <v>#VALUE!</v>
      </c>
      <c r="U26" s="16"/>
    </row>
    <row r="27" spans="1:23">
      <c r="A27" t="b">
        <f>IF(Table14[[#This Row],[Column8]],Table14[[#This Row],[Column9]])</f>
        <v>0</v>
      </c>
      <c r="B27" s="17"/>
      <c r="C27" s="17"/>
      <c r="D27" s="20" t="b">
        <f>D11</f>
        <v>1</v>
      </c>
      <c r="E27" s="17"/>
      <c r="F27" s="17"/>
      <c r="G27" s="17"/>
      <c r="H27" s="20" t="b">
        <f>H2</f>
        <v>0</v>
      </c>
      <c r="I27" s="17"/>
      <c r="J27" s="20" t="b">
        <f>J2</f>
        <v>1</v>
      </c>
      <c r="K27" s="17"/>
      <c r="L27" s="20" t="b">
        <f>L2</f>
        <v>1</v>
      </c>
      <c r="M27" s="17"/>
      <c r="N27" s="20" t="b">
        <f>N2</f>
        <v>1</v>
      </c>
      <c r="O27" s="17"/>
      <c r="P27" s="17"/>
      <c r="Q27" s="20" t="b">
        <f>Q2</f>
        <v>1</v>
      </c>
      <c r="R27" s="17"/>
      <c r="S27" s="20" t="b">
        <f>S2</f>
        <v>1</v>
      </c>
      <c r="T27" t="b">
        <f>AND(Table14[[#This Row],[Preservative]:[Non-Lipid]])</f>
        <v>0</v>
      </c>
      <c r="U27" s="28" t="s">
        <v>625</v>
      </c>
      <c r="W27" t="s">
        <v>627</v>
      </c>
    </row>
    <row r="28" spans="1:23">
      <c r="A28" t="b">
        <f>IF(Table14[[#This Row],[Column8]],Table14[[#This Row],[Column9]])</f>
        <v>0</v>
      </c>
      <c r="B28" s="17"/>
      <c r="C28" s="17"/>
      <c r="D28" s="17"/>
      <c r="E28" s="20" t="b">
        <f>E9</f>
        <v>1</v>
      </c>
      <c r="F28" s="17"/>
      <c r="G28" s="17"/>
      <c r="H28" s="20" t="b">
        <f>H2</f>
        <v>0</v>
      </c>
      <c r="I28" s="20" t="b">
        <f>I11</f>
        <v>1</v>
      </c>
      <c r="J28" s="17"/>
      <c r="K28" s="17"/>
      <c r="L28" s="20" t="b">
        <f>L2</f>
        <v>1</v>
      </c>
      <c r="M28" s="17"/>
      <c r="N28" s="20" t="b">
        <f>N2</f>
        <v>1</v>
      </c>
      <c r="O28" s="17"/>
      <c r="P28" s="17"/>
      <c r="Q28" s="20" t="b">
        <f>Q2</f>
        <v>1</v>
      </c>
      <c r="R28" s="17"/>
      <c r="S28" s="20" t="b">
        <f>S2</f>
        <v>1</v>
      </c>
      <c r="T28" t="b">
        <f>AND(Table14[[#This Row],[Preservative]:[Non-Lipid]])</f>
        <v>0</v>
      </c>
      <c r="U28" s="28" t="s">
        <v>626</v>
      </c>
    </row>
    <row r="29" spans="1:23">
      <c r="A29" t="b">
        <f>IF(Table14[[#This Row],[Column8]],Table14[[#This Row],[Column9]])</f>
        <v>0</v>
      </c>
      <c r="B29" s="17"/>
      <c r="C29" s="17"/>
      <c r="D29" s="20" t="b">
        <f>D11</f>
        <v>1</v>
      </c>
      <c r="E29" s="17"/>
      <c r="F29" s="17"/>
      <c r="G29" s="17"/>
      <c r="H29" s="20" t="b">
        <f>H2</f>
        <v>0</v>
      </c>
      <c r="I29" s="20" t="b">
        <f>I11</f>
        <v>1</v>
      </c>
      <c r="J29" s="17"/>
      <c r="K29" s="17"/>
      <c r="L29" s="20" t="b">
        <f>L2</f>
        <v>1</v>
      </c>
      <c r="M29" s="17"/>
      <c r="N29" s="20" t="b">
        <f>N2</f>
        <v>1</v>
      </c>
      <c r="O29" s="17"/>
      <c r="P29" s="17"/>
      <c r="Q29" s="20" t="b">
        <f>Q2</f>
        <v>1</v>
      </c>
      <c r="R29" s="17"/>
      <c r="S29" s="20" t="b">
        <f>S2</f>
        <v>1</v>
      </c>
      <c r="T29" t="b">
        <f>AND(Table14[[#This Row],[Preservative]:[Non-Lipid]])</f>
        <v>0</v>
      </c>
      <c r="U29" s="28" t="s">
        <v>628</v>
      </c>
      <c r="W29" t="s">
        <v>627</v>
      </c>
    </row>
    <row r="30" spans="1:23">
      <c r="A30" t="b">
        <f>IF(Table14[[#This Row],[Column8]],Table14[[#This Row],[Column9]])</f>
        <v>0</v>
      </c>
      <c r="B30" s="17"/>
      <c r="C30" s="17"/>
      <c r="D30" s="20" t="b">
        <f>D11</f>
        <v>1</v>
      </c>
      <c r="E30" s="17"/>
      <c r="F30" s="17"/>
      <c r="G30" s="17"/>
      <c r="H30" s="20" t="b">
        <f>H2</f>
        <v>0</v>
      </c>
      <c r="I30" s="20" t="b">
        <f>I11</f>
        <v>1</v>
      </c>
      <c r="J30" s="17"/>
      <c r="K30" s="17"/>
      <c r="L30" s="20" t="b">
        <f>L2</f>
        <v>1</v>
      </c>
      <c r="M30" s="17"/>
      <c r="N30" s="20" t="b">
        <f>N2</f>
        <v>1</v>
      </c>
      <c r="O30" s="17"/>
      <c r="P30" s="17"/>
      <c r="Q30" s="20" t="b">
        <f>Q2</f>
        <v>1</v>
      </c>
      <c r="R30" s="17"/>
      <c r="S30" s="20" t="b">
        <f>S2</f>
        <v>1</v>
      </c>
      <c r="T30" t="b">
        <f>AND(Table14[[#This Row],[Preservative]:[Non-Lipid]])</f>
        <v>0</v>
      </c>
      <c r="U30" s="28" t="s">
        <v>629</v>
      </c>
    </row>
    <row r="31" spans="1:23">
      <c r="A31" t="b">
        <f>IF(Table14[[#This Row],[Column8]],Table14[[#This Row],[Column9]])</f>
        <v>0</v>
      </c>
      <c r="B31" s="17"/>
      <c r="C31" s="17"/>
      <c r="D31" s="20" t="b">
        <f>D11</f>
        <v>1</v>
      </c>
      <c r="E31" s="17"/>
      <c r="F31" s="17"/>
      <c r="G31" s="17"/>
      <c r="H31" s="20" t="b">
        <f>H2</f>
        <v>0</v>
      </c>
      <c r="I31" s="17"/>
      <c r="J31" s="20" t="b">
        <f>J2</f>
        <v>1</v>
      </c>
      <c r="K31" s="17"/>
      <c r="L31" s="20" t="b">
        <f>L2</f>
        <v>1</v>
      </c>
      <c r="M31" s="17"/>
      <c r="N31" s="20" t="b">
        <f>N2</f>
        <v>1</v>
      </c>
      <c r="O31" s="17"/>
      <c r="P31" s="17"/>
      <c r="Q31" s="20" t="b">
        <f>Q2</f>
        <v>1</v>
      </c>
      <c r="R31" s="20" t="b">
        <f>R12</f>
        <v>1</v>
      </c>
      <c r="S31" s="17"/>
      <c r="T31" t="b">
        <f>AND(Table14[[#This Row],[Preservative]:[Non-Lipid]])</f>
        <v>0</v>
      </c>
      <c r="U31" s="28" t="s">
        <v>630</v>
      </c>
      <c r="W31" t="s">
        <v>623</v>
      </c>
    </row>
    <row r="32" spans="1:23">
      <c r="A32" t="b">
        <f>IF(Table14[[#This Row],[Column8]],Table14[[#This Row],[Column9]])</f>
        <v>0</v>
      </c>
      <c r="B32" s="17"/>
      <c r="C32" s="17"/>
      <c r="D32" s="17"/>
      <c r="E32" s="20" t="b">
        <f>E9</f>
        <v>1</v>
      </c>
      <c r="F32" s="17"/>
      <c r="G32" s="17"/>
      <c r="H32" s="20" t="b">
        <f>H2</f>
        <v>0</v>
      </c>
      <c r="I32" s="20" t="b">
        <f>I11</f>
        <v>1</v>
      </c>
      <c r="J32" s="17"/>
      <c r="K32" s="17"/>
      <c r="L32" s="20" t="b">
        <f>L2</f>
        <v>1</v>
      </c>
      <c r="M32" s="17"/>
      <c r="N32" s="20" t="b">
        <f>N2</f>
        <v>1</v>
      </c>
      <c r="O32" s="17"/>
      <c r="P32" s="17"/>
      <c r="Q32" s="20" t="b">
        <f>Q2</f>
        <v>1</v>
      </c>
      <c r="R32" s="17"/>
      <c r="S32" s="20" t="b">
        <f>S2</f>
        <v>1</v>
      </c>
      <c r="T32" t="b">
        <f>AND(Table14[[#This Row],[Preservative]:[Non-Lipid]])</f>
        <v>0</v>
      </c>
      <c r="U32" s="28" t="s">
        <v>631</v>
      </c>
    </row>
    <row r="33" spans="1:23">
      <c r="A33" t="b">
        <f>IF(Table14[[#This Row],[Column8]],Table14[[#This Row],[Column9]])</f>
        <v>0</v>
      </c>
      <c r="B33" s="17"/>
      <c r="C33" s="17"/>
      <c r="D33" s="20" t="b">
        <f>D11</f>
        <v>1</v>
      </c>
      <c r="E33" s="17"/>
      <c r="F33" s="17"/>
      <c r="G33" s="20" t="b">
        <f>G20</f>
        <v>0</v>
      </c>
      <c r="H33" s="17"/>
      <c r="I33" s="17"/>
      <c r="J33" s="20" t="b">
        <f>J2</f>
        <v>1</v>
      </c>
      <c r="K33" s="17"/>
      <c r="L33" s="20" t="b">
        <f>L2</f>
        <v>1</v>
      </c>
      <c r="M33" s="17"/>
      <c r="N33" s="20" t="b">
        <f>N2</f>
        <v>1</v>
      </c>
      <c r="O33" s="17"/>
      <c r="P33" s="17"/>
      <c r="Q33" s="20" t="b">
        <f>Q2</f>
        <v>1</v>
      </c>
      <c r="R33" s="17"/>
      <c r="S33" s="20" t="b">
        <f>S2</f>
        <v>1</v>
      </c>
      <c r="T33" t="b">
        <f>AND(Table14[[#This Row],[Preservative]:[Non-Lipid]])</f>
        <v>0</v>
      </c>
      <c r="U33" s="28" t="s">
        <v>632</v>
      </c>
      <c r="W33" t="s">
        <v>627</v>
      </c>
    </row>
    <row r="34" spans="1:23">
      <c r="A34" t="b">
        <f>IF(Table14[[#This Row],[Column8]],Table14[[#This Row],[Column9]])</f>
        <v>0</v>
      </c>
      <c r="B34" s="20" t="b">
        <f>B4</f>
        <v>1</v>
      </c>
      <c r="C34" s="17"/>
      <c r="D34" s="17"/>
      <c r="E34" s="17"/>
      <c r="F34" s="17"/>
      <c r="G34" s="20" t="b">
        <f>G20</f>
        <v>0</v>
      </c>
      <c r="H34" s="17"/>
      <c r="I34" s="17"/>
      <c r="J34" s="20" t="b">
        <f>J2</f>
        <v>1</v>
      </c>
      <c r="K34" s="17"/>
      <c r="L34" s="20" t="b">
        <f>L2</f>
        <v>1</v>
      </c>
      <c r="M34" s="17"/>
      <c r="N34" s="20" t="b">
        <f>N2</f>
        <v>1</v>
      </c>
      <c r="O34" s="17"/>
      <c r="P34" s="17"/>
      <c r="Q34" s="20" t="b">
        <f>Q2</f>
        <v>1</v>
      </c>
      <c r="R34" s="17"/>
      <c r="S34" s="20" t="b">
        <f>S2</f>
        <v>1</v>
      </c>
      <c r="T34" t="b">
        <f>AND(Table14[[#This Row],[Preservative]:[Non-Lipid]])</f>
        <v>0</v>
      </c>
      <c r="U34" s="28" t="s">
        <v>633</v>
      </c>
    </row>
    <row r="35" spans="1:23">
      <c r="A35" t="b">
        <f>IF(Table14[[#This Row],[Column8]],Table14[[#This Row],[Column9]])</f>
        <v>0</v>
      </c>
      <c r="B35" s="17"/>
      <c r="C35" s="17"/>
      <c r="D35" s="17"/>
      <c r="E35" s="20" t="b">
        <f>E9</f>
        <v>1</v>
      </c>
      <c r="F35" s="17"/>
      <c r="G35" s="17"/>
      <c r="H35" s="20" t="b">
        <f>H2</f>
        <v>0</v>
      </c>
      <c r="I35" s="17"/>
      <c r="J35" s="20" t="b">
        <f>J2</f>
        <v>1</v>
      </c>
      <c r="K35" s="17"/>
      <c r="L35" s="20" t="b">
        <f>L2</f>
        <v>1</v>
      </c>
      <c r="M35" s="17"/>
      <c r="N35" s="20" t="b">
        <f>N2</f>
        <v>1</v>
      </c>
      <c r="O35" s="17"/>
      <c r="P35" s="20" t="b">
        <f>P9</f>
        <v>1</v>
      </c>
      <c r="Q35" s="17"/>
      <c r="R35" s="17"/>
      <c r="S35" s="20" t="b">
        <f>S2</f>
        <v>1</v>
      </c>
      <c r="T35" t="b">
        <f>AND(Table14[[#This Row],[Preservative]:[Non-Lipid]])</f>
        <v>0</v>
      </c>
      <c r="U35" s="28" t="s">
        <v>634</v>
      </c>
      <c r="W35" t="s">
        <v>624</v>
      </c>
    </row>
    <row r="36" spans="1:23">
      <c r="A36" t="b">
        <f>IF(Table14[[#This Row],[Column8]],Table14[[#This Row],[Column9]])</f>
        <v>0</v>
      </c>
      <c r="B36" s="17"/>
      <c r="C36" s="17"/>
      <c r="D36" s="17"/>
      <c r="E36" s="20" t="b">
        <f>E9</f>
        <v>1</v>
      </c>
      <c r="F36" s="20" t="b">
        <f>F23</f>
        <v>0</v>
      </c>
      <c r="G36" s="17"/>
      <c r="H36" s="17"/>
      <c r="I36" s="17"/>
      <c r="J36" s="20" t="b">
        <f>J2</f>
        <v>1</v>
      </c>
      <c r="K36" s="20" t="b">
        <f>AND('Eye Drop Criteria'!C11)</f>
        <v>1</v>
      </c>
      <c r="L36" s="17"/>
      <c r="M36" s="17"/>
      <c r="N36" s="20" t="b">
        <f>N2</f>
        <v>1</v>
      </c>
      <c r="O36" s="17"/>
      <c r="P36" s="17"/>
      <c r="Q36" s="20" t="b">
        <f>Q2</f>
        <v>1</v>
      </c>
      <c r="R36" s="17"/>
      <c r="S36" s="20" t="b">
        <f>S2</f>
        <v>1</v>
      </c>
      <c r="T36" t="b">
        <f>AND(Table14[[#This Row],[Preservative]:[Non-Lipid]])</f>
        <v>0</v>
      </c>
      <c r="U36" s="28" t="s">
        <v>635</v>
      </c>
    </row>
    <row r="37" spans="1:23">
      <c r="A37" s="16" t="e">
        <f>IF(Table14[[#This Row],[Column8]],Table14[[#This Row],[Column9]])</f>
        <v>#VALUE!</v>
      </c>
      <c r="B37" s="16"/>
      <c r="C37" s="16"/>
      <c r="D37" s="16"/>
      <c r="E37" s="16"/>
      <c r="F37" s="16"/>
      <c r="G37" s="16"/>
      <c r="H37" s="16"/>
      <c r="I37" s="16"/>
      <c r="J37" s="16"/>
      <c r="K37" s="16"/>
      <c r="L37" s="16"/>
      <c r="M37" s="16"/>
      <c r="N37" s="16"/>
      <c r="O37" s="16"/>
      <c r="P37" s="16"/>
      <c r="Q37" s="16"/>
      <c r="R37" s="16"/>
      <c r="S37" s="16"/>
      <c r="T37" s="16" t="e">
        <f>AND(Table14[[#This Row],[Preservative]:[Non-Lipid]])</f>
        <v>#VALUE!</v>
      </c>
      <c r="U37" s="16"/>
    </row>
    <row r="38" spans="1:23">
      <c r="A38" t="b">
        <f>IF(Table14[[#This Row],[Column8]],Table14[[#This Row],[Column9]])</f>
        <v>0</v>
      </c>
      <c r="B38" s="17"/>
      <c r="C38" s="17"/>
      <c r="D38" s="17"/>
      <c r="E38" s="20" t="b">
        <f>E9</f>
        <v>1</v>
      </c>
      <c r="F38" s="17"/>
      <c r="G38" s="17"/>
      <c r="H38" s="20" t="b">
        <f>H2</f>
        <v>0</v>
      </c>
      <c r="I38" s="17"/>
      <c r="J38" s="20" t="b">
        <f>J2</f>
        <v>1</v>
      </c>
      <c r="K38" s="17"/>
      <c r="L38" s="20" t="b">
        <f>L2</f>
        <v>1</v>
      </c>
      <c r="M38" s="17"/>
      <c r="N38" s="20" t="b">
        <f>N2</f>
        <v>1</v>
      </c>
      <c r="O38" s="17"/>
      <c r="P38" s="17"/>
      <c r="Q38" s="20" t="b">
        <f>Q2</f>
        <v>1</v>
      </c>
      <c r="R38" s="17"/>
      <c r="S38" s="20" t="b">
        <f>S2</f>
        <v>1</v>
      </c>
      <c r="T38" t="b">
        <f>AND(Table14[[#This Row],[Preservative]:[Non-Lipid]])</f>
        <v>0</v>
      </c>
      <c r="U38" s="11" t="s">
        <v>637</v>
      </c>
    </row>
    <row r="39" spans="1:23">
      <c r="A39" t="b">
        <f>IF(Table14[[#This Row],[Column8]],Table14[[#This Row],[Column9]])</f>
        <v>0</v>
      </c>
      <c r="B39" s="17"/>
      <c r="C39" s="17"/>
      <c r="D39" s="17"/>
      <c r="E39" s="20" t="b">
        <f>E9</f>
        <v>1</v>
      </c>
      <c r="F39" s="17"/>
      <c r="G39" s="17"/>
      <c r="H39" s="20" t="b">
        <f>H2</f>
        <v>0</v>
      </c>
      <c r="I39" s="17"/>
      <c r="J39" s="20" t="b">
        <f>J2</f>
        <v>1</v>
      </c>
      <c r="K39" s="17"/>
      <c r="L39" s="20" t="b">
        <f>L2</f>
        <v>1</v>
      </c>
      <c r="M39" s="17"/>
      <c r="N39" s="20" t="b">
        <f>N2</f>
        <v>1</v>
      </c>
      <c r="O39" s="17"/>
      <c r="P39" s="17"/>
      <c r="Q39" s="20" t="b">
        <f>Q2</f>
        <v>1</v>
      </c>
      <c r="R39" s="17"/>
      <c r="S39" s="20" t="b">
        <f>S2</f>
        <v>1</v>
      </c>
      <c r="T39" t="b">
        <f>AND(Table14[[#This Row],[Preservative]:[Non-Lipid]])</f>
        <v>0</v>
      </c>
      <c r="U39" s="11" t="s">
        <v>638</v>
      </c>
    </row>
    <row r="40" spans="1:23">
      <c r="A40" t="b">
        <f>IF(Table14[[#This Row],[Column8]],Table14[[#This Row],[Column9]])</f>
        <v>0</v>
      </c>
      <c r="B40" s="17"/>
      <c r="C40" s="17"/>
      <c r="D40" s="17"/>
      <c r="E40" s="20" t="b">
        <f>E9</f>
        <v>1</v>
      </c>
      <c r="F40" s="17"/>
      <c r="G40" s="20" t="b">
        <f>G20</f>
        <v>0</v>
      </c>
      <c r="H40" s="17"/>
      <c r="I40" s="17"/>
      <c r="J40" s="20" t="b">
        <f>J2</f>
        <v>1</v>
      </c>
      <c r="K40" s="17"/>
      <c r="L40" s="20" t="b">
        <f>L2</f>
        <v>1</v>
      </c>
      <c r="M40" s="17"/>
      <c r="N40" s="20" t="b">
        <f>N2</f>
        <v>1</v>
      </c>
      <c r="O40" s="17"/>
      <c r="P40" s="17"/>
      <c r="Q40" s="20" t="b">
        <f>Q2</f>
        <v>1</v>
      </c>
      <c r="R40" s="17"/>
      <c r="S40" s="20" t="b">
        <f>S2</f>
        <v>1</v>
      </c>
      <c r="T40" t="b">
        <f>AND(Table14[[#This Row],[Preservative]:[Non-Lipid]])</f>
        <v>0</v>
      </c>
      <c r="U40" s="11" t="s">
        <v>639</v>
      </c>
    </row>
    <row r="41" spans="1:23">
      <c r="A41" t="b">
        <f>IF(Table14[[#This Row],[Column8]],Table14[[#This Row],[Column9]])</f>
        <v>0</v>
      </c>
      <c r="B41" s="17"/>
      <c r="C41" s="17"/>
      <c r="D41" s="17"/>
      <c r="E41" s="20" t="b">
        <f>E9</f>
        <v>1</v>
      </c>
      <c r="F41" s="17"/>
      <c r="G41" s="17"/>
      <c r="H41" s="20" t="b">
        <f>H2</f>
        <v>0</v>
      </c>
      <c r="I41" s="17"/>
      <c r="J41" s="20" t="b">
        <f>J2</f>
        <v>1</v>
      </c>
      <c r="K41" s="17"/>
      <c r="L41" s="20" t="b">
        <f>L2</f>
        <v>1</v>
      </c>
      <c r="M41" s="17"/>
      <c r="N41" s="20" t="b">
        <f>N2</f>
        <v>1</v>
      </c>
      <c r="O41" s="17"/>
      <c r="P41" s="17"/>
      <c r="Q41" s="20" t="b">
        <f>Q2</f>
        <v>1</v>
      </c>
      <c r="R41" s="17"/>
      <c r="S41" s="20" t="b">
        <f>S2</f>
        <v>1</v>
      </c>
      <c r="T41" t="b">
        <f>AND(Table14[[#This Row],[Preservative]:[Non-Lipid]])</f>
        <v>0</v>
      </c>
      <c r="U41" s="11" t="s">
        <v>640</v>
      </c>
    </row>
    <row r="42" spans="1:23">
      <c r="A42" s="16" t="e">
        <f>IF(Table14[[#This Row],[Column8]],Table14[[#This Row],[Column9]])</f>
        <v>#VALUE!</v>
      </c>
      <c r="B42" s="16"/>
      <c r="C42" s="16"/>
      <c r="D42" s="16"/>
      <c r="E42" s="16"/>
      <c r="F42" s="16"/>
      <c r="G42" s="16"/>
      <c r="H42" s="16"/>
      <c r="I42" s="16"/>
      <c r="J42" s="16"/>
      <c r="K42" s="16"/>
      <c r="L42" s="16"/>
      <c r="M42" s="16"/>
      <c r="N42" s="16"/>
      <c r="O42" s="16"/>
      <c r="P42" s="16"/>
      <c r="Q42" s="16"/>
      <c r="R42" s="16"/>
      <c r="S42" s="16"/>
      <c r="T42" s="16" t="e">
        <f>AND(Table14[[#This Row],[Preservative]:[Non-Lipid]])</f>
        <v>#VALUE!</v>
      </c>
      <c r="U42" s="16"/>
    </row>
    <row r="43" spans="1:23">
      <c r="A43" t="b">
        <f>IF(Table14[[#This Row],[Column8]],Table14[[#This Row],[Column9]])</f>
        <v>0</v>
      </c>
      <c r="B43" s="17"/>
      <c r="C43" s="17"/>
      <c r="D43" s="20" t="b">
        <f>D11</f>
        <v>1</v>
      </c>
      <c r="E43" s="17"/>
      <c r="F43" s="17"/>
      <c r="G43" s="17"/>
      <c r="H43" s="20" t="b">
        <f>H2</f>
        <v>0</v>
      </c>
      <c r="I43" s="17"/>
      <c r="J43" s="20" t="b">
        <f>J2</f>
        <v>1</v>
      </c>
      <c r="K43" s="17"/>
      <c r="L43" s="20" t="b">
        <f>L2</f>
        <v>1</v>
      </c>
      <c r="M43" s="17"/>
      <c r="N43" s="20" t="b">
        <f>N2</f>
        <v>1</v>
      </c>
      <c r="O43" s="17"/>
      <c r="P43" s="17"/>
      <c r="Q43" s="20" t="b">
        <f>Q2</f>
        <v>1</v>
      </c>
      <c r="R43" s="20" t="b">
        <f>R12</f>
        <v>1</v>
      </c>
      <c r="S43" s="17"/>
      <c r="T43" t="b">
        <f>AND(Table14[[#This Row],[Preservative]:[Non-Lipid]])</f>
        <v>0</v>
      </c>
      <c r="U43" s="11" t="s">
        <v>641</v>
      </c>
      <c r="W43" t="s">
        <v>623</v>
      </c>
    </row>
    <row r="44" spans="1:23">
      <c r="A44" t="b">
        <f>IF(Table14[[#This Row],[Column8]],Table14[[#This Row],[Column9]])</f>
        <v>0</v>
      </c>
      <c r="B44" s="17"/>
      <c r="C44" s="17"/>
      <c r="D44" s="17"/>
      <c r="E44" s="20" t="b">
        <f>E9</f>
        <v>1</v>
      </c>
      <c r="F44" s="17"/>
      <c r="G44" s="17"/>
      <c r="H44" s="20" t="b">
        <f>H2</f>
        <v>0</v>
      </c>
      <c r="I44" s="17"/>
      <c r="J44" s="20" t="b">
        <f>J2</f>
        <v>1</v>
      </c>
      <c r="K44" s="17"/>
      <c r="L44" s="20" t="b">
        <f>L2</f>
        <v>1</v>
      </c>
      <c r="M44" s="17"/>
      <c r="N44" s="20" t="b">
        <f>N2</f>
        <v>1</v>
      </c>
      <c r="O44" s="17"/>
      <c r="P44" s="17"/>
      <c r="Q44" s="20" t="b">
        <f>Q2</f>
        <v>1</v>
      </c>
      <c r="R44" s="20" t="b">
        <f>R12</f>
        <v>1</v>
      </c>
      <c r="S44" s="17"/>
      <c r="T44" t="b">
        <f>AND(Table14[[#This Row],[Preservative]:[Non-Lipid]])</f>
        <v>0</v>
      </c>
      <c r="U44" s="11" t="s">
        <v>642</v>
      </c>
      <c r="W44" t="s">
        <v>623</v>
      </c>
    </row>
    <row r="45" spans="1:23">
      <c r="A45" t="b">
        <f>IF(Table14[[#This Row],[Column8]],Table14[[#This Row],[Column9]])</f>
        <v>0</v>
      </c>
      <c r="B45" s="20" t="b">
        <f>B4</f>
        <v>1</v>
      </c>
      <c r="C45" s="17"/>
      <c r="D45" s="17"/>
      <c r="E45" s="17"/>
      <c r="F45" s="17"/>
      <c r="G45" s="17"/>
      <c r="H45" s="20" t="b">
        <f>H2</f>
        <v>0</v>
      </c>
      <c r="I45" s="17"/>
      <c r="J45" s="20" t="b">
        <f>J2</f>
        <v>1</v>
      </c>
      <c r="K45" s="17"/>
      <c r="L45" s="20" t="b">
        <f>L2</f>
        <v>1</v>
      </c>
      <c r="M45" s="17"/>
      <c r="N45" s="20" t="b">
        <f>N2</f>
        <v>1</v>
      </c>
      <c r="O45" s="17"/>
      <c r="P45" s="17"/>
      <c r="Q45" s="20" t="b">
        <f>Q2</f>
        <v>1</v>
      </c>
      <c r="R45" s="17"/>
      <c r="S45" s="20" t="b">
        <f>S2</f>
        <v>1</v>
      </c>
      <c r="T45" t="b">
        <f>AND(Table14[[#This Row],[Preservative]:[Non-Lipid]])</f>
        <v>0</v>
      </c>
      <c r="U45" s="11" t="s">
        <v>643</v>
      </c>
    </row>
    <row r="46" spans="1:23">
      <c r="A46" t="b">
        <f>IF(Table14[[#This Row],[Column8]],Table14[[#This Row],[Column9]])</f>
        <v>0</v>
      </c>
      <c r="B46" s="17"/>
      <c r="C46" s="20" t="b">
        <f>C2</f>
        <v>1</v>
      </c>
      <c r="D46" s="17"/>
      <c r="E46" s="17"/>
      <c r="F46" s="17"/>
      <c r="G46" s="17"/>
      <c r="H46" s="20" t="b">
        <f>H2</f>
        <v>0</v>
      </c>
      <c r="I46" s="17"/>
      <c r="J46" s="20" t="b">
        <f>J2</f>
        <v>1</v>
      </c>
      <c r="K46" s="17"/>
      <c r="L46" s="20" t="b">
        <f>L2</f>
        <v>1</v>
      </c>
      <c r="M46" s="17"/>
      <c r="N46" s="20" t="b">
        <f>N2</f>
        <v>1</v>
      </c>
      <c r="O46" s="17"/>
      <c r="P46" s="17"/>
      <c r="Q46" s="20" t="b">
        <f>Q2</f>
        <v>1</v>
      </c>
      <c r="R46" s="17"/>
      <c r="S46" s="20" t="b">
        <f>S2</f>
        <v>1</v>
      </c>
      <c r="T46" t="b">
        <f>AND(Table14[[#This Row],[Preservative]:[Non-Lipid]])</f>
        <v>0</v>
      </c>
      <c r="U46" s="11" t="s">
        <v>644</v>
      </c>
    </row>
    <row r="47" spans="1:23">
      <c r="A47" t="b">
        <f>IF(Table14[[#This Row],[Column8]],Table14[[#This Row],[Column9]])</f>
        <v>0</v>
      </c>
      <c r="B47" s="17"/>
      <c r="C47" s="20" t="b">
        <f>C2</f>
        <v>1</v>
      </c>
      <c r="D47" s="17"/>
      <c r="E47" s="17"/>
      <c r="F47" s="17"/>
      <c r="G47" s="17"/>
      <c r="H47" s="20" t="b">
        <f>H2</f>
        <v>0</v>
      </c>
      <c r="I47" s="17"/>
      <c r="J47" s="20" t="b">
        <f>J2</f>
        <v>1</v>
      </c>
      <c r="K47" s="17"/>
      <c r="L47" s="20" t="b">
        <f>L2</f>
        <v>1</v>
      </c>
      <c r="M47" s="17"/>
      <c r="N47" s="20" t="b">
        <f>N2</f>
        <v>1</v>
      </c>
      <c r="O47" s="17"/>
      <c r="P47" s="17"/>
      <c r="Q47" s="20" t="b">
        <f>Q2</f>
        <v>1</v>
      </c>
      <c r="R47" s="17"/>
      <c r="S47" s="20" t="b">
        <f>S2</f>
        <v>1</v>
      </c>
      <c r="T47" t="b">
        <f>AND(Table14[[#This Row],[Preservative]:[Non-Lipid]])</f>
        <v>0</v>
      </c>
      <c r="U47" s="11" t="s">
        <v>645</v>
      </c>
    </row>
    <row r="48" spans="1:23">
      <c r="A48" t="b">
        <f>IF(Table14[[#This Row],[Column8]],Table14[[#This Row],[Column9]])</f>
        <v>0</v>
      </c>
      <c r="B48" s="17"/>
      <c r="C48" s="17"/>
      <c r="D48" s="17"/>
      <c r="E48" s="20" t="b">
        <f>E9</f>
        <v>1</v>
      </c>
      <c r="F48" s="20" t="b">
        <f>F23</f>
        <v>0</v>
      </c>
      <c r="G48" s="17"/>
      <c r="H48" s="17"/>
      <c r="I48" s="17"/>
      <c r="J48" s="20" t="b">
        <f>J2</f>
        <v>1</v>
      </c>
      <c r="K48" s="17"/>
      <c r="L48" s="20" t="b">
        <f>L2</f>
        <v>1</v>
      </c>
      <c r="M48" s="17"/>
      <c r="N48" s="20" t="b">
        <f>N2</f>
        <v>1</v>
      </c>
      <c r="O48" s="17"/>
      <c r="P48" s="17"/>
      <c r="Q48" s="20" t="b">
        <f>Q2</f>
        <v>1</v>
      </c>
      <c r="R48" s="17"/>
      <c r="S48" s="20" t="b">
        <f>S2</f>
        <v>1</v>
      </c>
      <c r="T48" t="b">
        <f>AND(Table14[[#This Row],[Preservative]:[Non-Lipid]])</f>
        <v>0</v>
      </c>
      <c r="U48" s="11" t="s">
        <v>646</v>
      </c>
    </row>
    <row r="49" spans="1:21">
      <c r="A49" t="b">
        <f>IF(Table14[[#This Row],[Column8]],Table14[[#This Row],[Column9]])</f>
        <v>0</v>
      </c>
      <c r="B49" s="20" t="b">
        <f>B4</f>
        <v>1</v>
      </c>
      <c r="C49" s="17"/>
      <c r="D49" s="17"/>
      <c r="E49" s="17"/>
      <c r="F49" s="17"/>
      <c r="G49" s="17"/>
      <c r="H49" s="20" t="b">
        <f>H2</f>
        <v>0</v>
      </c>
      <c r="I49" s="17"/>
      <c r="J49" s="20" t="b">
        <f>J2</f>
        <v>1</v>
      </c>
      <c r="K49" s="17"/>
      <c r="L49" s="20" t="b">
        <f>L2</f>
        <v>1</v>
      </c>
      <c r="M49" s="17"/>
      <c r="N49" s="20" t="b">
        <f>N2</f>
        <v>1</v>
      </c>
      <c r="O49" s="17"/>
      <c r="P49" s="17"/>
      <c r="Q49" s="20" t="b">
        <f>Q2</f>
        <v>1</v>
      </c>
      <c r="R49" s="17"/>
      <c r="S49" s="20" t="b">
        <f>S2</f>
        <v>1</v>
      </c>
      <c r="T49" t="b">
        <f>AND(Table14[[#This Row],[Preservative]:[Non-Lipid]])</f>
        <v>0</v>
      </c>
      <c r="U49" s="11" t="s">
        <v>647</v>
      </c>
    </row>
    <row r="50" spans="1:21">
      <c r="A50" s="16" t="e">
        <f>IF(Table14[[#This Row],[Column8]],Table14[[#This Row],[Column9]])</f>
        <v>#VALUE!</v>
      </c>
      <c r="B50" s="16"/>
      <c r="C50" s="16"/>
      <c r="D50" s="16"/>
      <c r="E50" s="16"/>
      <c r="F50" s="16"/>
      <c r="G50" s="16"/>
      <c r="H50" s="16"/>
      <c r="I50" s="16"/>
      <c r="J50" s="16"/>
      <c r="K50" s="16"/>
      <c r="L50" s="16"/>
      <c r="M50" s="16"/>
      <c r="N50" s="16"/>
      <c r="O50" s="16"/>
      <c r="P50" s="16"/>
      <c r="Q50" s="16"/>
      <c r="R50" s="16"/>
      <c r="S50" s="16"/>
      <c r="T50" s="16" t="e">
        <f>AND(Table14[[#This Row],[Preservative]:[Non-Lipid]])</f>
        <v>#VALUE!</v>
      </c>
      <c r="U50" s="16"/>
    </row>
    <row r="51" spans="1:21">
      <c r="A51" t="b">
        <f>IF(Table14[[#This Row],[Column8]],Table14[[#This Row],[Column9]])</f>
        <v>0</v>
      </c>
      <c r="B51" s="17"/>
      <c r="C51" s="17"/>
      <c r="D51" s="20" t="b">
        <f>D11</f>
        <v>1</v>
      </c>
      <c r="E51" s="17"/>
      <c r="F51" s="17"/>
      <c r="G51" s="17"/>
      <c r="H51" s="20" t="b">
        <f>H2</f>
        <v>0</v>
      </c>
      <c r="I51" s="20" t="b">
        <f>I11</f>
        <v>1</v>
      </c>
      <c r="J51" s="17"/>
      <c r="K51" s="17"/>
      <c r="L51" s="20" t="b">
        <f>L2</f>
        <v>1</v>
      </c>
      <c r="M51" s="17"/>
      <c r="N51" s="20" t="b">
        <f>N2</f>
        <v>1</v>
      </c>
      <c r="O51" s="17"/>
      <c r="P51" s="17"/>
      <c r="Q51" s="20" t="b">
        <f>Q2</f>
        <v>1</v>
      </c>
      <c r="R51" s="17"/>
      <c r="S51" s="20" t="b">
        <f>S2</f>
        <v>1</v>
      </c>
      <c r="T51" t="b">
        <f>AND(Table14[[#This Row],[Preservative]:[Non-Lipid]])</f>
        <v>0</v>
      </c>
      <c r="U51" s="28" t="s">
        <v>648</v>
      </c>
    </row>
    <row r="52" spans="1:21">
      <c r="A52" t="b">
        <f>IF(Table14[[#This Row],[Column8]],Table14[[#This Row],[Column9]])</f>
        <v>0</v>
      </c>
      <c r="B52" s="17"/>
      <c r="C52" s="17"/>
      <c r="D52" s="20" t="b">
        <f>D11</f>
        <v>1</v>
      </c>
      <c r="E52" s="17"/>
      <c r="F52" s="17"/>
      <c r="G52" s="17"/>
      <c r="H52" s="20" t="b">
        <f>H2</f>
        <v>0</v>
      </c>
      <c r="I52" s="20" t="b">
        <f>I11</f>
        <v>1</v>
      </c>
      <c r="J52" s="17"/>
      <c r="K52" s="17"/>
      <c r="L52" s="20" t="b">
        <f>L2</f>
        <v>1</v>
      </c>
      <c r="M52" s="17"/>
      <c r="N52" s="20" t="b">
        <f>N2</f>
        <v>1</v>
      </c>
      <c r="O52" s="17"/>
      <c r="P52" s="17"/>
      <c r="Q52" s="20" t="b">
        <f>Q2</f>
        <v>1</v>
      </c>
      <c r="R52" s="17"/>
      <c r="S52" s="20" t="b">
        <f>S2</f>
        <v>1</v>
      </c>
      <c r="T52" t="b">
        <f>AND(Table14[[#This Row],[Preservative]:[Non-Lipid]])</f>
        <v>0</v>
      </c>
      <c r="U52" s="28" t="s">
        <v>649</v>
      </c>
    </row>
    <row r="53" spans="1:21">
      <c r="A53" t="b">
        <f>IF(Table14[[#This Row],[Column8]],Table14[[#This Row],[Column9]])</f>
        <v>0</v>
      </c>
      <c r="B53" s="17"/>
      <c r="C53" s="17"/>
      <c r="D53" s="20" t="b">
        <f>D11</f>
        <v>1</v>
      </c>
      <c r="E53" s="17"/>
      <c r="F53" s="17"/>
      <c r="G53" s="17"/>
      <c r="H53" s="20" t="b">
        <f>H2</f>
        <v>0</v>
      </c>
      <c r="I53" s="20" t="b">
        <f>I11</f>
        <v>1</v>
      </c>
      <c r="J53" s="17"/>
      <c r="K53" s="17"/>
      <c r="L53" s="20" t="b">
        <f>L2</f>
        <v>1</v>
      </c>
      <c r="M53" s="17"/>
      <c r="N53" s="20" t="b">
        <f>N2</f>
        <v>1</v>
      </c>
      <c r="O53" s="17"/>
      <c r="P53" s="17"/>
      <c r="Q53" s="20" t="b">
        <f>Q2</f>
        <v>1</v>
      </c>
      <c r="R53" s="17"/>
      <c r="S53" s="20" t="b">
        <f>S2</f>
        <v>1</v>
      </c>
      <c r="T53" t="b">
        <f>AND(Table14[[#This Row],[Preservative]:[Non-Lipid]])</f>
        <v>0</v>
      </c>
      <c r="U53" s="28" t="s">
        <v>650</v>
      </c>
    </row>
    <row r="54" spans="1:21">
      <c r="A54" s="16" t="e">
        <f>IF(Table14[[#This Row],[Column8]],Table14[[#This Row],[Column9]])</f>
        <v>#VALUE!</v>
      </c>
      <c r="B54" s="16"/>
      <c r="C54" s="16"/>
      <c r="D54" s="16"/>
      <c r="E54" s="16"/>
      <c r="F54" s="16"/>
      <c r="G54" s="16"/>
      <c r="H54" s="16"/>
      <c r="I54" s="16"/>
      <c r="J54" s="16"/>
      <c r="K54" s="16"/>
      <c r="L54" s="16"/>
      <c r="M54" s="16"/>
      <c r="N54" s="16"/>
      <c r="O54" s="16"/>
      <c r="P54" s="16"/>
      <c r="Q54" s="16"/>
      <c r="R54" s="16"/>
      <c r="S54" s="16"/>
      <c r="T54" s="16" t="e">
        <f>AND(Table14[[#This Row],[Preservative]:[Non-Lipid]])</f>
        <v>#VALUE!</v>
      </c>
      <c r="U54" s="16"/>
    </row>
    <row r="55" spans="1:21">
      <c r="A55" t="b">
        <f>IF(Table14[[#This Row],[Column8]],Table14[[#This Row],[Column9]])</f>
        <v>0</v>
      </c>
      <c r="B55" s="17"/>
      <c r="C55" s="17"/>
      <c r="D55" s="20" t="b">
        <f>D11</f>
        <v>1</v>
      </c>
      <c r="E55" s="17"/>
      <c r="F55" s="17"/>
      <c r="G55" s="17"/>
      <c r="H55" s="20" t="b">
        <f>H2</f>
        <v>0</v>
      </c>
      <c r="I55" s="20" t="b">
        <f>I11</f>
        <v>1</v>
      </c>
      <c r="J55" s="17"/>
      <c r="K55" s="17"/>
      <c r="L55" s="20" t="b">
        <f>L2</f>
        <v>1</v>
      </c>
      <c r="M55" s="17"/>
      <c r="N55" s="20" t="b">
        <f>N2</f>
        <v>1</v>
      </c>
      <c r="O55" s="17"/>
      <c r="P55" s="17"/>
      <c r="Q55" s="20" t="b">
        <f>Q2</f>
        <v>1</v>
      </c>
      <c r="R55" s="17"/>
      <c r="S55" s="20" t="b">
        <f>S2</f>
        <v>1</v>
      </c>
      <c r="T55" t="b">
        <f>AND(Table14[[#This Row],[Preservative]:[Non-Lipid]])</f>
        <v>0</v>
      </c>
      <c r="U55" s="28" t="s">
        <v>651</v>
      </c>
    </row>
    <row r="56" spans="1:21">
      <c r="A56" t="b">
        <f>IF(Table14[[#This Row],[Column8]],Table14[[#This Row],[Column9]])</f>
        <v>0</v>
      </c>
      <c r="B56" s="17"/>
      <c r="C56" s="17"/>
      <c r="D56" s="20" t="b">
        <f>D11</f>
        <v>1</v>
      </c>
      <c r="E56" s="17"/>
      <c r="F56" s="17"/>
      <c r="G56" s="17"/>
      <c r="H56" s="20" t="b">
        <f>H2</f>
        <v>0</v>
      </c>
      <c r="I56" s="17"/>
      <c r="J56" s="20" t="b">
        <f>J2</f>
        <v>1</v>
      </c>
      <c r="K56" s="17"/>
      <c r="L56" s="20" t="b">
        <f>L2</f>
        <v>1</v>
      </c>
      <c r="M56" s="17"/>
      <c r="N56" s="20" t="b">
        <f>N2</f>
        <v>1</v>
      </c>
      <c r="O56" s="17"/>
      <c r="P56" s="17"/>
      <c r="Q56" s="20" t="b">
        <f>Q2</f>
        <v>1</v>
      </c>
      <c r="R56" s="17"/>
      <c r="S56" s="20" t="b">
        <f>S2</f>
        <v>1</v>
      </c>
      <c r="T56" t="b">
        <f>AND(Table14[[#This Row],[Preservative]:[Non-Lipid]])</f>
        <v>0</v>
      </c>
      <c r="U56" s="28" t="s">
        <v>652</v>
      </c>
    </row>
    <row r="57" spans="1:21">
      <c r="A57" t="b">
        <f>IF(Table14[[#This Row],[Column8]],Table14[[#This Row],[Column9]])</f>
        <v>0</v>
      </c>
      <c r="B57" s="17"/>
      <c r="C57" s="17"/>
      <c r="D57" s="20" t="b">
        <f>D11</f>
        <v>1</v>
      </c>
      <c r="E57" s="17"/>
      <c r="F57" s="17"/>
      <c r="G57" s="20" t="b">
        <f>G20</f>
        <v>0</v>
      </c>
      <c r="H57" s="17"/>
      <c r="I57" s="17"/>
      <c r="J57" s="20" t="b">
        <f>J2</f>
        <v>1</v>
      </c>
      <c r="K57" s="17"/>
      <c r="L57" s="20" t="b">
        <f>L2</f>
        <v>1</v>
      </c>
      <c r="M57" s="17"/>
      <c r="N57" s="20" t="b">
        <f>N2</f>
        <v>1</v>
      </c>
      <c r="O57" s="17"/>
      <c r="P57" s="17"/>
      <c r="Q57" s="20" t="b">
        <f>Q2</f>
        <v>1</v>
      </c>
      <c r="R57" s="17"/>
      <c r="S57" s="20" t="b">
        <f>S2</f>
        <v>1</v>
      </c>
      <c r="T57" t="b">
        <f>AND(Table14[[#This Row],[Preservative]:[Non-Lipid]])</f>
        <v>0</v>
      </c>
      <c r="U57" s="28" t="s">
        <v>653</v>
      </c>
    </row>
    <row r="58" spans="1:21">
      <c r="A58" t="b">
        <f>IF(Table14[[#This Row],[Column8]],Table14[[#This Row],[Column9]])</f>
        <v>0</v>
      </c>
      <c r="B58" s="17"/>
      <c r="C58" s="17"/>
      <c r="D58" s="17"/>
      <c r="E58" s="20" t="b">
        <f>E9</f>
        <v>1</v>
      </c>
      <c r="F58" s="17"/>
      <c r="G58" s="17"/>
      <c r="H58" s="20" t="b">
        <f>H2</f>
        <v>0</v>
      </c>
      <c r="I58" s="17"/>
      <c r="J58" s="20" t="b">
        <f>J2</f>
        <v>1</v>
      </c>
      <c r="K58" s="17"/>
      <c r="L58" s="20" t="b">
        <f>L2</f>
        <v>1</v>
      </c>
      <c r="M58" s="17"/>
      <c r="N58" s="20" t="b">
        <f>N2</f>
        <v>1</v>
      </c>
      <c r="O58" s="17"/>
      <c r="P58" s="17"/>
      <c r="Q58" s="20" t="b">
        <f>Q2</f>
        <v>1</v>
      </c>
      <c r="R58" s="17"/>
      <c r="S58" s="20" t="b">
        <f>S2</f>
        <v>1</v>
      </c>
      <c r="T58" t="b">
        <f>AND(Table14[[#This Row],[Preservative]:[Non-Lipid]])</f>
        <v>0</v>
      </c>
      <c r="U58" s="28" t="s">
        <v>654</v>
      </c>
    </row>
    <row r="59" spans="1:21">
      <c r="A59" s="16" t="e">
        <f>IF(Table14[[#This Row],[Column8]],Table14[[#This Row],[Column9]])</f>
        <v>#VALUE!</v>
      </c>
      <c r="B59" s="16"/>
      <c r="C59" s="16"/>
      <c r="D59" s="16"/>
      <c r="E59" s="16"/>
      <c r="F59" s="16"/>
      <c r="G59" s="16"/>
      <c r="H59" s="16"/>
      <c r="I59" s="16"/>
      <c r="J59" s="16"/>
      <c r="K59" s="16"/>
      <c r="L59" s="16"/>
      <c r="M59" s="16"/>
      <c r="N59" s="16"/>
      <c r="O59" s="16"/>
      <c r="P59" s="16"/>
      <c r="Q59" s="16"/>
      <c r="R59" s="16"/>
      <c r="S59" s="16"/>
      <c r="T59" s="16" t="e">
        <f>AND(Table14[[#This Row],[Preservative]:[Non-Lipid]])</f>
        <v>#VALUE!</v>
      </c>
      <c r="U59" s="16"/>
    </row>
    <row r="60" spans="1:21">
      <c r="A60" t="b">
        <f>IF(Table14[[#This Row],[Column8]],Table14[[#This Row],[Column9]])</f>
        <v>0</v>
      </c>
      <c r="B60" s="17"/>
      <c r="C60" s="17"/>
      <c r="D60" s="20" t="b">
        <f>D11</f>
        <v>1</v>
      </c>
      <c r="E60" s="17"/>
      <c r="F60" s="17"/>
      <c r="G60" s="17"/>
      <c r="H60" s="20" t="b">
        <f>H2</f>
        <v>0</v>
      </c>
      <c r="I60" s="17"/>
      <c r="J60" s="20" t="b">
        <f>J2</f>
        <v>1</v>
      </c>
      <c r="K60" s="17"/>
      <c r="L60" s="20" t="b">
        <f>L2</f>
        <v>1</v>
      </c>
      <c r="M60" s="17"/>
      <c r="N60" s="20" t="b">
        <f>N2</f>
        <v>1</v>
      </c>
      <c r="O60" s="17"/>
      <c r="P60" s="17"/>
      <c r="Q60" s="20" t="b">
        <f>Q2</f>
        <v>1</v>
      </c>
      <c r="R60" s="17"/>
      <c r="S60" s="20" t="b">
        <f>S2</f>
        <v>1</v>
      </c>
      <c r="T60" t="b">
        <f>AND(Table14[[#This Row],[Preservative]:[Non-Lipid]])</f>
        <v>0</v>
      </c>
      <c r="U60" s="11" t="s">
        <v>655</v>
      </c>
    </row>
    <row r="61" spans="1:21">
      <c r="A61" t="b">
        <f>IF(Table14[[#This Row],[Column8]],Table14[[#This Row],[Column9]])</f>
        <v>0</v>
      </c>
      <c r="B61" s="17"/>
      <c r="C61" s="17"/>
      <c r="D61" s="20" t="b">
        <f>D11</f>
        <v>1</v>
      </c>
      <c r="E61" s="17"/>
      <c r="F61" s="17"/>
      <c r="G61" s="17"/>
      <c r="H61" s="20" t="b">
        <f>H2</f>
        <v>0</v>
      </c>
      <c r="I61" s="17"/>
      <c r="J61" s="20" t="b">
        <f>J2</f>
        <v>1</v>
      </c>
      <c r="K61" s="17"/>
      <c r="L61" s="20" t="b">
        <f>L2</f>
        <v>1</v>
      </c>
      <c r="M61" s="17"/>
      <c r="N61" s="20" t="b">
        <f>N2</f>
        <v>1</v>
      </c>
      <c r="O61" s="17"/>
      <c r="P61" s="17"/>
      <c r="Q61" s="20" t="b">
        <f>Q2</f>
        <v>1</v>
      </c>
      <c r="R61" s="17"/>
      <c r="S61" s="20" t="b">
        <f>S2</f>
        <v>1</v>
      </c>
      <c r="T61" t="b">
        <f>AND(Table14[[#This Row],[Preservative]:[Non-Lipid]])</f>
        <v>0</v>
      </c>
      <c r="U61" s="11" t="s">
        <v>656</v>
      </c>
    </row>
    <row r="62" spans="1:21">
      <c r="A62" t="b">
        <f>IF(Table14[[#This Row],[Column8]],Table14[[#This Row],[Column9]])</f>
        <v>0</v>
      </c>
      <c r="B62" s="17"/>
      <c r="C62" s="17"/>
      <c r="D62" s="17"/>
      <c r="E62" s="20" t="b">
        <f>E9</f>
        <v>1</v>
      </c>
      <c r="F62" s="17"/>
      <c r="G62" s="17"/>
      <c r="H62" s="20" t="b">
        <f>H2</f>
        <v>0</v>
      </c>
      <c r="I62" s="17"/>
      <c r="J62" s="20" t="b">
        <f>J2</f>
        <v>1</v>
      </c>
      <c r="K62" s="17"/>
      <c r="L62" s="20" t="b">
        <f>L2</f>
        <v>1</v>
      </c>
      <c r="M62" s="17"/>
      <c r="N62" s="20" t="b">
        <f>N2</f>
        <v>1</v>
      </c>
      <c r="O62" s="17"/>
      <c r="P62" s="17"/>
      <c r="Q62" s="20" t="b">
        <f>Q2</f>
        <v>1</v>
      </c>
      <c r="R62" s="17"/>
      <c r="S62" s="20" t="b">
        <f>S2</f>
        <v>1</v>
      </c>
      <c r="T62" t="b">
        <f>AND(Table14[[#This Row],[Preservative]:[Non-Lipid]])</f>
        <v>0</v>
      </c>
      <c r="U62" s="11" t="s">
        <v>657</v>
      </c>
    </row>
    <row r="63" spans="1:21">
      <c r="A63" t="b">
        <f>IF(Table14[[#This Row],[Column8]],Table14[[#This Row],[Column9]])</f>
        <v>0</v>
      </c>
      <c r="B63" s="17"/>
      <c r="C63" s="17"/>
      <c r="D63" s="17"/>
      <c r="E63" s="20" t="b">
        <f>E9</f>
        <v>1</v>
      </c>
      <c r="F63" s="17"/>
      <c r="G63" s="20" t="b">
        <f>G20</f>
        <v>0</v>
      </c>
      <c r="H63" s="17"/>
      <c r="I63" s="17"/>
      <c r="J63" s="20" t="b">
        <f>J2</f>
        <v>1</v>
      </c>
      <c r="K63" s="17"/>
      <c r="L63" s="20" t="b">
        <f>L2</f>
        <v>1</v>
      </c>
      <c r="M63" s="17"/>
      <c r="N63" s="20" t="b">
        <f>N2</f>
        <v>1</v>
      </c>
      <c r="O63" s="17"/>
      <c r="P63" s="17"/>
      <c r="Q63" s="20" t="b">
        <f>Q2</f>
        <v>1</v>
      </c>
      <c r="R63" s="17"/>
      <c r="S63" s="20" t="b">
        <f>S2</f>
        <v>1</v>
      </c>
      <c r="T63" t="b">
        <f>AND(Table14[[#This Row],[Preservative]:[Non-Lipid]])</f>
        <v>0</v>
      </c>
      <c r="U63" s="11" t="s">
        <v>658</v>
      </c>
    </row>
    <row r="64" spans="1:21">
      <c r="A64" s="16" t="e">
        <f>IF(Table14[[#This Row],[Column8]],Table14[[#This Row],[Column9]])</f>
        <v>#VALUE!</v>
      </c>
      <c r="B64" s="16"/>
      <c r="C64" s="16"/>
      <c r="D64" s="16"/>
      <c r="E64" s="16"/>
      <c r="F64" s="16"/>
      <c r="G64" s="16"/>
      <c r="H64" s="16"/>
      <c r="I64" s="16"/>
      <c r="J64" s="16"/>
      <c r="K64" s="16"/>
      <c r="L64" s="16"/>
      <c r="M64" s="16"/>
      <c r="N64" s="16"/>
      <c r="O64" s="16"/>
      <c r="P64" s="16"/>
      <c r="Q64" s="16"/>
      <c r="R64" s="16"/>
      <c r="S64" s="16"/>
      <c r="T64" s="16" t="e">
        <f>AND(Table14[[#This Row],[Preservative]:[Non-Lipid]])</f>
        <v>#VALUE!</v>
      </c>
      <c r="U64" s="16"/>
    </row>
    <row r="65" spans="1:21">
      <c r="A65" t="b">
        <f>IF(Table14[[#This Row],[Column8]],Table14[[#This Row],[Column9]])</f>
        <v>0</v>
      </c>
      <c r="B65" s="17"/>
      <c r="C65" s="17"/>
      <c r="D65" s="20" t="b">
        <f>D11</f>
        <v>1</v>
      </c>
      <c r="E65" s="17"/>
      <c r="F65" s="17"/>
      <c r="G65" s="17"/>
      <c r="H65" s="20" t="b">
        <f>H2</f>
        <v>0</v>
      </c>
      <c r="I65" s="17"/>
      <c r="J65" s="20" t="b">
        <f>J2</f>
        <v>1</v>
      </c>
      <c r="K65" s="17"/>
      <c r="L65" s="20" t="b">
        <f>L2</f>
        <v>1</v>
      </c>
      <c r="M65" s="17"/>
      <c r="N65" s="20" t="b">
        <f>N2</f>
        <v>1</v>
      </c>
      <c r="O65" s="17"/>
      <c r="P65" s="17"/>
      <c r="Q65" s="20" t="b">
        <f>Q2</f>
        <v>1</v>
      </c>
      <c r="R65" s="17"/>
      <c r="S65" s="20" t="b">
        <f>S2</f>
        <v>1</v>
      </c>
      <c r="T65" t="b">
        <f>AND(Table14[[#This Row],[Preservative]:[Non-Lipid]])</f>
        <v>0</v>
      </c>
      <c r="U65" s="29" t="s">
        <v>659</v>
      </c>
    </row>
    <row r="66" spans="1:21">
      <c r="A66" t="b">
        <f>IF(Table14[[#This Row],[Column8]],Table14[[#This Row],[Column9]])</f>
        <v>0</v>
      </c>
      <c r="B66" s="17"/>
      <c r="C66" s="17"/>
      <c r="D66" s="20" t="b">
        <f>D11</f>
        <v>1</v>
      </c>
      <c r="E66" s="17"/>
      <c r="F66" s="17"/>
      <c r="G66" s="17"/>
      <c r="H66" s="20" t="b">
        <f>H2</f>
        <v>0</v>
      </c>
      <c r="I66" s="17"/>
      <c r="J66" s="20" t="b">
        <f>J2</f>
        <v>1</v>
      </c>
      <c r="K66" s="17"/>
      <c r="L66" s="20" t="b">
        <f>L2</f>
        <v>1</v>
      </c>
      <c r="M66" s="17"/>
      <c r="N66" s="20" t="b">
        <f>N2</f>
        <v>1</v>
      </c>
      <c r="O66" s="17"/>
      <c r="P66" s="17"/>
      <c r="Q66" s="20" t="b">
        <f>Q2</f>
        <v>1</v>
      </c>
      <c r="R66" s="17"/>
      <c r="S66" s="20" t="b">
        <f>S2</f>
        <v>1</v>
      </c>
      <c r="T66" t="b">
        <f>AND(Table14[[#This Row],[Preservative]:[Non-Lipid]])</f>
        <v>0</v>
      </c>
      <c r="U66" s="29" t="s">
        <v>660</v>
      </c>
    </row>
    <row r="67" spans="1:21">
      <c r="A67" t="b">
        <f>IF(Table14[[#This Row],[Column8]],Table14[[#This Row],[Column9]])</f>
        <v>0</v>
      </c>
      <c r="B67" s="17"/>
      <c r="C67" s="17"/>
      <c r="D67" s="17"/>
      <c r="E67" s="20" t="b">
        <f>E9</f>
        <v>1</v>
      </c>
      <c r="F67" s="17"/>
      <c r="G67" s="17"/>
      <c r="H67" s="20" t="b">
        <f>H2</f>
        <v>0</v>
      </c>
      <c r="I67" s="17"/>
      <c r="J67" s="20" t="b">
        <f>J2</f>
        <v>1</v>
      </c>
      <c r="K67" s="17"/>
      <c r="L67" s="20" t="b">
        <f>L2</f>
        <v>1</v>
      </c>
      <c r="M67" s="17"/>
      <c r="N67" s="20" t="b">
        <f>N2</f>
        <v>1</v>
      </c>
      <c r="O67" s="17"/>
      <c r="P67" s="17"/>
      <c r="Q67" s="20" t="b">
        <f>Q2</f>
        <v>1</v>
      </c>
      <c r="R67" s="17"/>
      <c r="S67" s="20" t="b">
        <f>S2</f>
        <v>1</v>
      </c>
      <c r="T67" t="b">
        <f>AND(Table14[[#This Row],[Preservative]:[Non-Lipid]])</f>
        <v>0</v>
      </c>
      <c r="U67" s="29" t="s">
        <v>661</v>
      </c>
    </row>
    <row r="68" spans="1:21">
      <c r="A68" t="b">
        <f>IF(Table14[[#This Row],[Column8]],Table14[[#This Row],[Column9]])</f>
        <v>0</v>
      </c>
      <c r="B68" s="17"/>
      <c r="C68" s="17"/>
      <c r="D68" s="17"/>
      <c r="E68" s="20" t="b">
        <f>E9</f>
        <v>1</v>
      </c>
      <c r="F68" s="20" t="b">
        <f>F23</f>
        <v>0</v>
      </c>
      <c r="G68" s="17"/>
      <c r="H68" s="17"/>
      <c r="I68" s="17"/>
      <c r="J68" s="20" t="b">
        <f>J2</f>
        <v>1</v>
      </c>
      <c r="K68" s="20" t="b">
        <f>K36</f>
        <v>1</v>
      </c>
      <c r="L68" s="17"/>
      <c r="M68" s="17"/>
      <c r="N68" s="20" t="b">
        <f>N2</f>
        <v>1</v>
      </c>
      <c r="O68" s="17"/>
      <c r="P68" s="17"/>
      <c r="Q68" s="20" t="b">
        <f>Q2</f>
        <v>1</v>
      </c>
      <c r="R68" s="17"/>
      <c r="S68" s="20" t="b">
        <f>S2</f>
        <v>1</v>
      </c>
      <c r="T68" t="b">
        <f>AND(Table14[[#This Row],[Preservative]:[Non-Lipid]])</f>
        <v>0</v>
      </c>
      <c r="U68" s="29" t="s">
        <v>662</v>
      </c>
    </row>
    <row r="69" spans="1:21">
      <c r="A69" t="b">
        <f>IF(Table14[[#This Row],[Column8]],Table14[[#This Row],[Column9]])</f>
        <v>0</v>
      </c>
      <c r="B69" s="17"/>
      <c r="C69" s="17"/>
      <c r="D69" s="20" t="b">
        <f>D11</f>
        <v>1</v>
      </c>
      <c r="E69" s="17"/>
      <c r="F69" s="17"/>
      <c r="G69" s="20" t="b">
        <f>G20</f>
        <v>0</v>
      </c>
      <c r="H69" s="17"/>
      <c r="I69" s="17"/>
      <c r="J69" s="20" t="b">
        <f>J2</f>
        <v>1</v>
      </c>
      <c r="K69" s="17"/>
      <c r="L69" s="20" t="b">
        <f>L2</f>
        <v>1</v>
      </c>
      <c r="M69" s="17"/>
      <c r="N69" s="20" t="b">
        <f>N2</f>
        <v>1</v>
      </c>
      <c r="O69" s="17"/>
      <c r="P69" s="17"/>
      <c r="Q69" s="20" t="b">
        <f>Q2</f>
        <v>1</v>
      </c>
      <c r="R69" s="17"/>
      <c r="S69" s="20" t="b">
        <f>S2</f>
        <v>1</v>
      </c>
      <c r="T69" t="b">
        <f>AND(Table14[[#This Row],[Preservative]:[Non-Lipid]])</f>
        <v>0</v>
      </c>
      <c r="U69" s="29" t="s">
        <v>663</v>
      </c>
    </row>
    <row r="70" spans="1:21">
      <c r="A70" s="16" t="e">
        <f>IF(Table14[[#This Row],[Column8]],Table14[[#This Row],[Column9]])</f>
        <v>#VALUE!</v>
      </c>
      <c r="B70" s="16"/>
      <c r="C70" s="16"/>
      <c r="D70" s="16"/>
      <c r="E70" s="16"/>
      <c r="F70" s="16"/>
      <c r="G70" s="16"/>
      <c r="H70" s="16"/>
      <c r="I70" s="16"/>
      <c r="J70" s="16"/>
      <c r="K70" s="16"/>
      <c r="L70" s="16"/>
      <c r="M70" s="16"/>
      <c r="N70" s="16"/>
      <c r="O70" s="16"/>
      <c r="P70" s="16"/>
      <c r="Q70" s="16"/>
      <c r="R70" s="16"/>
      <c r="S70" s="16"/>
      <c r="T70" s="16" t="e">
        <f>AND(Table14[[#This Row],[Preservative]:[Non-Lipid]])</f>
        <v>#VALUE!</v>
      </c>
      <c r="U70" s="85"/>
    </row>
    <row r="71" spans="1:21">
      <c r="A71" t="b">
        <f>IF(Table14[[#This Row],[Column8]],Table14[[#This Row],[Column9]])</f>
        <v>0</v>
      </c>
      <c r="B71" s="17"/>
      <c r="C71" s="17"/>
      <c r="D71" s="17"/>
      <c r="E71" s="20" t="b">
        <f>E9</f>
        <v>1</v>
      </c>
      <c r="F71" s="17"/>
      <c r="G71" s="17"/>
      <c r="H71" s="20" t="b">
        <f>H2</f>
        <v>0</v>
      </c>
      <c r="I71" s="17"/>
      <c r="J71" s="20" t="b">
        <f>J2</f>
        <v>1</v>
      </c>
      <c r="K71" s="17"/>
      <c r="L71" s="20" t="b">
        <f>L2</f>
        <v>1</v>
      </c>
      <c r="M71" s="17"/>
      <c r="N71" s="20" t="b">
        <f>N2</f>
        <v>1</v>
      </c>
      <c r="O71" s="17"/>
      <c r="P71" s="17"/>
      <c r="Q71" s="20" t="b">
        <f>Q2</f>
        <v>1</v>
      </c>
      <c r="R71" s="17"/>
      <c r="S71" s="20" t="b">
        <f>S2</f>
        <v>1</v>
      </c>
      <c r="T71" t="b">
        <f>AND(Table14[[#This Row],[Preservative]:[Non-Lipid]])</f>
        <v>0</v>
      </c>
      <c r="U71" s="28" t="s">
        <v>664</v>
      </c>
    </row>
    <row r="72" spans="1:21">
      <c r="A72" t="b">
        <f>IF(Table14[[#This Row],[Column8]],Table14[[#This Row],[Column9]])</f>
        <v>0</v>
      </c>
      <c r="B72" s="17"/>
      <c r="C72" s="17"/>
      <c r="D72" s="17"/>
      <c r="E72" s="20" t="b">
        <f>E9</f>
        <v>1</v>
      </c>
      <c r="F72" s="17"/>
      <c r="G72" s="17"/>
      <c r="H72" s="20" t="b">
        <f>H2</f>
        <v>0</v>
      </c>
      <c r="I72" s="17"/>
      <c r="J72" s="20" t="b">
        <f>J2</f>
        <v>1</v>
      </c>
      <c r="K72" s="17"/>
      <c r="L72" s="20" t="b">
        <f>L2</f>
        <v>1</v>
      </c>
      <c r="M72" s="20" t="b">
        <f>M5</f>
        <v>0</v>
      </c>
      <c r="N72" s="17"/>
      <c r="O72" s="17"/>
      <c r="P72" s="17"/>
      <c r="Q72" s="20" t="b">
        <f>Q2</f>
        <v>1</v>
      </c>
      <c r="R72" s="17"/>
      <c r="S72" s="20" t="b">
        <f>S2</f>
        <v>1</v>
      </c>
      <c r="T72" t="b">
        <f>AND(Table14[[#This Row],[Preservative]:[Non-Lipid]])</f>
        <v>0</v>
      </c>
      <c r="U72" s="28" t="s">
        <v>665</v>
      </c>
    </row>
    <row r="73" spans="1:21">
      <c r="A73" t="b">
        <f>IF(Table14[[#This Row],[Column8]],Table14[[#This Row],[Column9]])</f>
        <v>0</v>
      </c>
      <c r="B73" s="20" t="b">
        <f>B4</f>
        <v>1</v>
      </c>
      <c r="C73" s="17"/>
      <c r="D73" s="17"/>
      <c r="E73" s="17"/>
      <c r="F73" s="17"/>
      <c r="G73" s="17"/>
      <c r="H73" s="20" t="b">
        <f>H2</f>
        <v>0</v>
      </c>
      <c r="I73" s="17"/>
      <c r="J73" s="20" t="b">
        <f>J2</f>
        <v>1</v>
      </c>
      <c r="K73" s="17"/>
      <c r="L73" s="20" t="b">
        <f>L2</f>
        <v>1</v>
      </c>
      <c r="M73" s="20" t="b">
        <f>M5</f>
        <v>0</v>
      </c>
      <c r="N73" s="17"/>
      <c r="O73" s="17"/>
      <c r="P73" s="17"/>
      <c r="Q73" s="20" t="b">
        <f>Q2</f>
        <v>1</v>
      </c>
      <c r="R73" s="17"/>
      <c r="S73" s="20" t="b">
        <f>S2</f>
        <v>1</v>
      </c>
      <c r="T73" t="b">
        <f>AND(Table14[[#This Row],[Preservative]:[Non-Lipid]])</f>
        <v>0</v>
      </c>
      <c r="U73" s="28" t="s">
        <v>666</v>
      </c>
    </row>
    <row r="74" spans="1:21">
      <c r="A74" t="b">
        <f>IF(Table14[[#This Row],[Column8]],Table14[[#This Row],[Column9]])</f>
        <v>0</v>
      </c>
      <c r="B74" s="20" t="b">
        <f>B4</f>
        <v>1</v>
      </c>
      <c r="C74" s="17"/>
      <c r="D74" s="17"/>
      <c r="E74" s="17"/>
      <c r="F74" s="17"/>
      <c r="G74" s="17"/>
      <c r="H74" s="20" t="b">
        <f>H2</f>
        <v>0</v>
      </c>
      <c r="I74" s="17"/>
      <c r="J74" s="20" t="b">
        <f>J2</f>
        <v>1</v>
      </c>
      <c r="K74" s="17"/>
      <c r="L74" s="20" t="b">
        <f>L2</f>
        <v>1</v>
      </c>
      <c r="M74" s="20" t="b">
        <f>M5</f>
        <v>0</v>
      </c>
      <c r="N74" s="17"/>
      <c r="O74" s="17"/>
      <c r="P74" s="17"/>
      <c r="Q74" s="20" t="b">
        <f>Q2</f>
        <v>1</v>
      </c>
      <c r="R74" s="17"/>
      <c r="S74" s="20" t="b">
        <f>S2</f>
        <v>1</v>
      </c>
      <c r="T74" t="b">
        <f>AND(Table14[[#This Row],[Preservative]:[Non-Lipid]])</f>
        <v>0</v>
      </c>
      <c r="U74" s="28" t="s">
        <v>667</v>
      </c>
    </row>
    <row r="75" spans="1:21">
      <c r="A75" t="b">
        <f>IF(Table14[[#This Row],[Column8]],Table14[[#This Row],[Column9]])</f>
        <v>0</v>
      </c>
      <c r="B75" s="20" t="b">
        <f>B4</f>
        <v>1</v>
      </c>
      <c r="C75" s="17"/>
      <c r="D75" s="17"/>
      <c r="E75" s="17"/>
      <c r="F75" s="17"/>
      <c r="G75" s="17"/>
      <c r="H75" s="20" t="b">
        <f>H2</f>
        <v>0</v>
      </c>
      <c r="I75" s="17"/>
      <c r="J75" s="20" t="b">
        <f>J2</f>
        <v>1</v>
      </c>
      <c r="K75" s="17"/>
      <c r="L75" s="20" t="b">
        <f>L2</f>
        <v>1</v>
      </c>
      <c r="M75" s="20" t="b">
        <f>M5</f>
        <v>0</v>
      </c>
      <c r="N75" s="17"/>
      <c r="O75" s="17"/>
      <c r="P75" s="17"/>
      <c r="Q75" s="20" t="b">
        <f>Q2</f>
        <v>1</v>
      </c>
      <c r="R75" s="17"/>
      <c r="S75" s="20" t="b">
        <f>S2</f>
        <v>1</v>
      </c>
      <c r="T75" t="b">
        <f>AND(Table14[[#This Row],[Preservative]:[Non-Lipid]])</f>
        <v>0</v>
      </c>
      <c r="U75" s="28" t="s">
        <v>668</v>
      </c>
    </row>
    <row r="76" spans="1:21">
      <c r="A76" t="b">
        <f>IF(Table14[[#This Row],[Column8]],Table14[[#This Row],[Column9]])</f>
        <v>0</v>
      </c>
      <c r="B76" s="20" t="b">
        <f>B4</f>
        <v>1</v>
      </c>
      <c r="C76" s="17"/>
      <c r="D76" s="17"/>
      <c r="E76" s="17"/>
      <c r="F76" s="17"/>
      <c r="G76" s="17"/>
      <c r="H76" s="20" t="b">
        <f>H2</f>
        <v>0</v>
      </c>
      <c r="I76" s="17"/>
      <c r="J76" s="20" t="b">
        <f>J2</f>
        <v>1</v>
      </c>
      <c r="K76" s="17"/>
      <c r="L76" s="20" t="b">
        <f>L2</f>
        <v>1</v>
      </c>
      <c r="M76" s="20" t="b">
        <f>M5</f>
        <v>0</v>
      </c>
      <c r="N76" s="17"/>
      <c r="O76" s="17"/>
      <c r="P76" s="17"/>
      <c r="Q76" s="20" t="b">
        <f>Q2</f>
        <v>1</v>
      </c>
      <c r="R76" s="17"/>
      <c r="S76" s="20" t="b">
        <f>S2</f>
        <v>1</v>
      </c>
      <c r="T76" t="b">
        <f>AND(Table14[[#This Row],[Preservative]:[Non-Lipid]])</f>
        <v>0</v>
      </c>
      <c r="U76" s="28" t="s">
        <v>669</v>
      </c>
    </row>
    <row r="77" spans="1:21">
      <c r="A77" t="b">
        <f>IF(Table14[[#This Row],[Column8]],Table14[[#This Row],[Column9]])</f>
        <v>0</v>
      </c>
      <c r="B77" s="20" t="b">
        <f>B4</f>
        <v>1</v>
      </c>
      <c r="C77" s="17"/>
      <c r="D77" s="17"/>
      <c r="E77" s="17"/>
      <c r="F77" s="17"/>
      <c r="G77" s="17"/>
      <c r="H77" s="20" t="b">
        <f>H2</f>
        <v>0</v>
      </c>
      <c r="I77" s="17"/>
      <c r="J77" s="20" t="b">
        <f>J2</f>
        <v>1</v>
      </c>
      <c r="K77" s="17"/>
      <c r="L77" s="20" t="b">
        <f>L2</f>
        <v>1</v>
      </c>
      <c r="M77" s="20" t="b">
        <f>M5</f>
        <v>0</v>
      </c>
      <c r="N77" s="17"/>
      <c r="O77" s="17"/>
      <c r="P77" s="17"/>
      <c r="Q77" s="20" t="b">
        <f>Q2</f>
        <v>1</v>
      </c>
      <c r="R77" s="17"/>
      <c r="S77" s="20" t="b">
        <f>S2</f>
        <v>1</v>
      </c>
      <c r="T77" t="b">
        <f>AND(Table14[[#This Row],[Preservative]:[Non-Lipid]])</f>
        <v>0</v>
      </c>
      <c r="U77" s="28" t="s">
        <v>670</v>
      </c>
    </row>
    <row r="78" spans="1:21">
      <c r="A78" t="b">
        <f>IF(Table14[[#This Row],[Column8]],Table14[[#This Row],[Column9]])</f>
        <v>0</v>
      </c>
      <c r="B78" s="20" t="b">
        <f>B4</f>
        <v>1</v>
      </c>
      <c r="C78" s="17"/>
      <c r="D78" s="17"/>
      <c r="E78" s="17"/>
      <c r="F78" s="17"/>
      <c r="G78" s="17"/>
      <c r="H78" s="20" t="b">
        <f>H2</f>
        <v>0</v>
      </c>
      <c r="I78" s="17"/>
      <c r="J78" s="20" t="b">
        <f>J2</f>
        <v>1</v>
      </c>
      <c r="K78" s="17"/>
      <c r="L78" s="20" t="b">
        <f>L2</f>
        <v>1</v>
      </c>
      <c r="M78" s="17"/>
      <c r="N78" s="20" t="b">
        <f>N2</f>
        <v>1</v>
      </c>
      <c r="O78" s="17"/>
      <c r="P78" s="17"/>
      <c r="Q78" s="20" t="b">
        <f>Q2</f>
        <v>1</v>
      </c>
      <c r="R78" s="17"/>
      <c r="S78" s="20" t="b">
        <f>S2</f>
        <v>1</v>
      </c>
      <c r="T78" t="b">
        <f>AND(Table14[[#This Row],[Preservative]:[Non-Lipid]])</f>
        <v>0</v>
      </c>
      <c r="U78" s="28" t="s">
        <v>671</v>
      </c>
    </row>
    <row r="79" spans="1:21">
      <c r="A79" t="b">
        <f>IF(Table14[[#This Row],[Column8]],Table14[[#This Row],[Column9]])</f>
        <v>0</v>
      </c>
      <c r="B79" s="17"/>
      <c r="C79" s="20" t="b">
        <f>C2</f>
        <v>1</v>
      </c>
      <c r="D79" s="17"/>
      <c r="E79" s="17"/>
      <c r="F79" s="17"/>
      <c r="G79" s="17"/>
      <c r="H79" s="20" t="b">
        <f>H2</f>
        <v>0</v>
      </c>
      <c r="I79" s="17"/>
      <c r="J79" s="20" t="b">
        <f>J2</f>
        <v>1</v>
      </c>
      <c r="K79" s="17"/>
      <c r="L79" s="20" t="b">
        <f>L2</f>
        <v>1</v>
      </c>
      <c r="M79" s="17"/>
      <c r="N79" s="20" t="b">
        <f>N2</f>
        <v>1</v>
      </c>
      <c r="O79" s="17"/>
      <c r="P79" s="17"/>
      <c r="Q79" s="20" t="b">
        <f>Q2</f>
        <v>1</v>
      </c>
      <c r="R79" s="17"/>
      <c r="S79" s="20" t="b">
        <f>S2</f>
        <v>1</v>
      </c>
      <c r="T79" t="b">
        <f>AND(Table14[[#This Row],[Preservative]:[Non-Lipid]])</f>
        <v>0</v>
      </c>
      <c r="U79" s="28" t="s">
        <v>672</v>
      </c>
    </row>
    <row r="80" spans="1:21">
      <c r="A80" t="b">
        <f>IF(Table14[[#This Row],[Column8]],Table14[[#This Row],[Column9]])</f>
        <v>0</v>
      </c>
      <c r="B80" s="17"/>
      <c r="C80" s="20" t="b">
        <f>C2</f>
        <v>1</v>
      </c>
      <c r="D80" s="17"/>
      <c r="E80" s="17"/>
      <c r="F80" s="17"/>
      <c r="G80" s="17"/>
      <c r="H80" s="20" t="b">
        <f>H2</f>
        <v>0</v>
      </c>
      <c r="I80" s="20" t="b">
        <f>I11</f>
        <v>1</v>
      </c>
      <c r="J80" s="17"/>
      <c r="K80" s="17"/>
      <c r="L80" s="20" t="b">
        <f>L2</f>
        <v>1</v>
      </c>
      <c r="M80" s="17"/>
      <c r="N80" s="20" t="b">
        <f>N2</f>
        <v>1</v>
      </c>
      <c r="O80" s="17"/>
      <c r="P80" s="17"/>
      <c r="Q80" s="20" t="b">
        <f>Q2</f>
        <v>1</v>
      </c>
      <c r="R80" s="17"/>
      <c r="S80" s="20" t="b">
        <f>S2</f>
        <v>1</v>
      </c>
      <c r="T80" t="b">
        <f>AND(Table14[[#This Row],[Preservative]:[Non-Lipid]])</f>
        <v>0</v>
      </c>
      <c r="U80" s="28" t="s">
        <v>673</v>
      </c>
    </row>
    <row r="81" spans="1:21">
      <c r="A81" t="b">
        <f>IF(Table14[[#This Row],[Column8]],Table14[[#This Row],[Column9]])</f>
        <v>0</v>
      </c>
      <c r="B81" s="17"/>
      <c r="C81" s="20" t="b">
        <f>C2</f>
        <v>1</v>
      </c>
      <c r="D81" s="17"/>
      <c r="E81" s="17"/>
      <c r="F81" s="17"/>
      <c r="G81" s="17"/>
      <c r="H81" s="20" t="b">
        <f>H2</f>
        <v>0</v>
      </c>
      <c r="I81" s="17"/>
      <c r="J81" s="20" t="b">
        <f>J2</f>
        <v>1</v>
      </c>
      <c r="K81" s="17"/>
      <c r="L81" s="20" t="b">
        <f>L2</f>
        <v>1</v>
      </c>
      <c r="M81" s="20" t="b">
        <f>M5</f>
        <v>0</v>
      </c>
      <c r="N81" s="17"/>
      <c r="O81" s="17"/>
      <c r="P81" s="17"/>
      <c r="Q81" s="20" t="b">
        <f>Q2</f>
        <v>1</v>
      </c>
      <c r="R81" s="17"/>
      <c r="S81" s="20" t="b">
        <f>S2</f>
        <v>1</v>
      </c>
      <c r="T81" t="b">
        <f>AND(Table14[[#This Row],[Preservative]:[Non-Lipid]])</f>
        <v>0</v>
      </c>
      <c r="U81" s="28" t="s">
        <v>674</v>
      </c>
    </row>
    <row r="82" spans="1:21">
      <c r="A82" t="b">
        <f>IF(Table14[[#This Row],[Column8]],Table14[[#This Row],[Column9]])</f>
        <v>0</v>
      </c>
      <c r="B82" s="20" t="b">
        <f>B4</f>
        <v>1</v>
      </c>
      <c r="C82" s="17"/>
      <c r="D82" s="17"/>
      <c r="E82" s="17"/>
      <c r="F82" s="17"/>
      <c r="G82" s="17"/>
      <c r="H82" s="20" t="b">
        <f>H2</f>
        <v>0</v>
      </c>
      <c r="I82" s="17"/>
      <c r="J82" s="20" t="b">
        <f>J2</f>
        <v>1</v>
      </c>
      <c r="K82" s="17"/>
      <c r="L82" s="20" t="b">
        <f>L2</f>
        <v>1</v>
      </c>
      <c r="M82" s="20" t="b">
        <f>M5</f>
        <v>0</v>
      </c>
      <c r="N82" s="17"/>
      <c r="O82" s="17"/>
      <c r="P82" s="17"/>
      <c r="Q82" s="20" t="b">
        <f>Q2</f>
        <v>1</v>
      </c>
      <c r="R82" s="17"/>
      <c r="S82" s="20" t="b">
        <f>S2</f>
        <v>1</v>
      </c>
      <c r="T82" t="b">
        <f>AND(Table14[[#This Row],[Preservative]:[Non-Lipid]])</f>
        <v>0</v>
      </c>
      <c r="U82" s="28" t="s">
        <v>675</v>
      </c>
    </row>
    <row r="83" spans="1:21">
      <c r="A83" s="16" t="e">
        <f>IF(Table14[[#This Row],[Column8]],Table14[[#This Row],[Column9]])</f>
        <v>#VALUE!</v>
      </c>
      <c r="B83" s="16"/>
      <c r="C83" s="16"/>
      <c r="D83" s="16"/>
      <c r="E83" s="16"/>
      <c r="F83" s="16"/>
      <c r="G83" s="16"/>
      <c r="H83" s="16"/>
      <c r="I83" s="16"/>
      <c r="J83" s="16"/>
      <c r="K83" s="16"/>
      <c r="L83" s="16"/>
      <c r="M83" s="16"/>
      <c r="N83" s="16"/>
      <c r="O83" s="16"/>
      <c r="P83" s="16"/>
      <c r="Q83" s="16"/>
      <c r="R83" s="16"/>
      <c r="S83" s="16"/>
      <c r="T83" s="16" t="e">
        <f>AND(Table14[[#This Row],[Preservative]:[Non-Lipid]])</f>
        <v>#VALUE!</v>
      </c>
      <c r="U83" s="16"/>
    </row>
    <row r="84" spans="1:21">
      <c r="A84" t="b">
        <f>IF(Table14[[#This Row],[Column8]],Table14[[#This Row],[Column9]])</f>
        <v>0</v>
      </c>
      <c r="B84" s="20" t="b">
        <f>B4</f>
        <v>1</v>
      </c>
      <c r="C84" s="17"/>
      <c r="D84" s="17"/>
      <c r="E84" s="17"/>
      <c r="F84" s="17"/>
      <c r="G84" s="17"/>
      <c r="H84" s="106" t="b">
        <f>AND('Eye Drop Criteria'!B15,'Eye Drop Criteria'!C16:C17)</f>
        <v>0</v>
      </c>
      <c r="I84" s="17"/>
      <c r="J84" s="20" t="b">
        <f>J2</f>
        <v>1</v>
      </c>
      <c r="K84" s="17"/>
      <c r="L84" s="20" t="b">
        <f>L2</f>
        <v>1</v>
      </c>
      <c r="M84" s="17"/>
      <c r="N84" s="20" t="b">
        <f>N2</f>
        <v>1</v>
      </c>
      <c r="O84" s="20" t="b">
        <f>AND('Eye Drop Criteria'!B5,'Eye Drop Criteria'!C3:C4)</f>
        <v>0</v>
      </c>
      <c r="P84" s="17"/>
      <c r="Q84" s="20" t="b">
        <f>Q2</f>
        <v>1</v>
      </c>
      <c r="R84" s="17"/>
      <c r="S84" s="20" t="b">
        <f>S2</f>
        <v>1</v>
      </c>
      <c r="T84" t="b">
        <f>AND(Table14[[#This Row],[Preservative]:[Non-Lipid]])</f>
        <v>0</v>
      </c>
      <c r="U84" s="28" t="s">
        <v>679</v>
      </c>
    </row>
    <row r="85" spans="1:21">
      <c r="A85" s="16" t="e">
        <f>IF(Table14[[#This Row],[Column8]],Table14[[#This Row],[Column9]])</f>
        <v>#VALUE!</v>
      </c>
      <c r="B85" s="16"/>
      <c r="C85" s="16"/>
      <c r="D85" s="16"/>
      <c r="E85" s="16"/>
      <c r="F85" s="16"/>
      <c r="G85" s="16"/>
      <c r="H85" s="16"/>
      <c r="I85" s="16"/>
      <c r="J85" s="16"/>
      <c r="K85" s="16"/>
      <c r="L85" s="16"/>
      <c r="M85" s="16"/>
      <c r="N85" s="16"/>
      <c r="O85" s="16"/>
      <c r="P85" s="16"/>
      <c r="Q85" s="16"/>
      <c r="R85" s="16"/>
      <c r="S85" s="16"/>
      <c r="T85" s="16" t="e">
        <f>AND(Table14[[#This Row],[Preservative]:[Non-Lipid]])</f>
        <v>#VALUE!</v>
      </c>
      <c r="U85" s="16"/>
    </row>
    <row r="86" spans="1:21">
      <c r="A86" t="b">
        <f>IF(Table14[[#This Row],[Column8]],Table14[[#This Row],[Column9]])</f>
        <v>0</v>
      </c>
      <c r="B86" s="20" t="b">
        <f>B4</f>
        <v>1</v>
      </c>
      <c r="C86" s="17"/>
      <c r="D86" s="17"/>
      <c r="E86" s="17"/>
      <c r="F86" s="17"/>
      <c r="G86" s="17"/>
      <c r="H86" s="20" t="b">
        <f>H84</f>
        <v>0</v>
      </c>
      <c r="I86" s="17"/>
      <c r="J86" s="20" t="b">
        <f>J2</f>
        <v>1</v>
      </c>
      <c r="K86" s="17"/>
      <c r="L86" s="20" t="b">
        <f>L2</f>
        <v>1</v>
      </c>
      <c r="M86" s="17"/>
      <c r="N86" s="20" t="b">
        <f>N2</f>
        <v>1</v>
      </c>
      <c r="O86" s="20" t="b">
        <f>O84</f>
        <v>0</v>
      </c>
      <c r="P86" s="17"/>
      <c r="Q86" s="20" t="b">
        <f>Q2</f>
        <v>1</v>
      </c>
      <c r="R86" s="17"/>
      <c r="S86" s="20" t="b">
        <f>S2</f>
        <v>1</v>
      </c>
      <c r="T86" t="b">
        <f>AND(Table14[[#This Row],[Preservative]:[Non-Lipid]])</f>
        <v>0</v>
      </c>
      <c r="U86" s="29" t="s">
        <v>681</v>
      </c>
    </row>
    <row r="87" spans="1:21">
      <c r="A87" s="16" t="e">
        <f>IF(Table14[[#This Row],[Column8]],Table14[[#This Row],[Column9]])</f>
        <v>#VALUE!</v>
      </c>
      <c r="B87" s="16"/>
      <c r="C87" s="16"/>
      <c r="D87" s="16"/>
      <c r="E87" s="16"/>
      <c r="F87" s="16"/>
      <c r="G87" s="16"/>
      <c r="H87" s="16"/>
      <c r="I87" s="16"/>
      <c r="J87" s="16"/>
      <c r="K87" s="16"/>
      <c r="L87" s="16"/>
      <c r="M87" s="16"/>
      <c r="N87" s="16"/>
      <c r="O87" s="16"/>
      <c r="P87" s="16"/>
      <c r="Q87" s="16"/>
      <c r="R87" s="16"/>
      <c r="S87" s="16"/>
      <c r="T87" s="16" t="e">
        <f>AND(Table14[[#This Row],[Preservative]:[Non-Lipid]])</f>
        <v>#VALUE!</v>
      </c>
      <c r="U87" s="16"/>
    </row>
    <row r="88" spans="1:21">
      <c r="A88" t="e">
        <f>IF(Table14[[#This Row],[Column8]],Table14[[#This Row],[Column9]])</f>
        <v>#VALUE!</v>
      </c>
      <c r="B88" s="17"/>
      <c r="C88" s="17"/>
      <c r="D88" s="17"/>
      <c r="E88" s="17"/>
      <c r="F88" s="17"/>
      <c r="G88" s="17"/>
      <c r="H88" s="17"/>
      <c r="I88" s="17"/>
      <c r="J88" s="17"/>
      <c r="K88" s="17"/>
      <c r="L88" s="17"/>
      <c r="M88" s="17"/>
      <c r="N88" s="17"/>
      <c r="O88" s="17"/>
      <c r="P88" s="17"/>
      <c r="Q88" s="17"/>
      <c r="R88" s="17"/>
      <c r="S88" s="17"/>
      <c r="T88" t="e">
        <f>AND(Table14[[#This Row],[Preservative]:[Non-Lipid]])</f>
        <v>#VALUE!</v>
      </c>
    </row>
  </sheetData>
  <hyperlinks>
    <hyperlink ref="U2" r:id="rId1" display="https://www.visine.ca/products/dry-eye/visine-environmental-relief" xr:uid="{00000000-0004-0000-1400-000000000000}"/>
    <hyperlink ref="U3" r:id="rId2" display="VISINE® Eye Revival" xr:uid="{00000000-0004-0000-1400-000001000000}"/>
    <hyperlink ref="U4" r:id="rId3" display="VISINE® Tired Eye Relief" xr:uid="{00000000-0004-0000-1400-000002000000}"/>
    <hyperlink ref="U9" r:id="rId4" xr:uid="{00000000-0004-0000-1400-000003000000}"/>
    <hyperlink ref="U10" r:id="rId5" xr:uid="{00000000-0004-0000-1400-000004000000}"/>
    <hyperlink ref="U11" r:id="rId6" xr:uid="{00000000-0004-0000-1400-000005000000}"/>
    <hyperlink ref="U12" r:id="rId7" xr:uid="{00000000-0004-0000-1400-000006000000}"/>
    <hyperlink ref="U13" r:id="rId8" xr:uid="{00000000-0004-0000-1400-000007000000}"/>
    <hyperlink ref="U14" r:id="rId9" xr:uid="{00000000-0004-0000-1400-000008000000}"/>
    <hyperlink ref="U15" r:id="rId10" xr:uid="{00000000-0004-0000-1400-000009000000}"/>
    <hyperlink ref="U16" r:id="rId11" xr:uid="{00000000-0004-0000-1400-00000A000000}"/>
    <hyperlink ref="U17" r:id="rId12" xr:uid="{00000000-0004-0000-1400-00000B000000}"/>
    <hyperlink ref="U18" r:id="rId13" xr:uid="{00000000-0004-0000-1400-00000C000000}"/>
    <hyperlink ref="U19" r:id="rId14" xr:uid="{00000000-0004-0000-1400-00000D000000}"/>
    <hyperlink ref="U20" r:id="rId15" xr:uid="{00000000-0004-0000-1400-00000E000000}"/>
    <hyperlink ref="U21" r:id="rId16" xr:uid="{00000000-0004-0000-1400-00000F000000}"/>
    <hyperlink ref="U22" r:id="rId17" xr:uid="{00000000-0004-0000-1400-000010000000}"/>
    <hyperlink ref="U23" r:id="rId18" xr:uid="{00000000-0004-0000-1400-000011000000}"/>
    <hyperlink ref="U24" r:id="rId19" xr:uid="{00000000-0004-0000-1400-000012000000}"/>
    <hyperlink ref="U25" r:id="rId20" xr:uid="{00000000-0004-0000-1400-000013000000}"/>
    <hyperlink ref="U27" r:id="rId21" display="https://systane-ca.myalcon.com/ca-en/eye-care/systane/products/systane-complete/" xr:uid="{00000000-0004-0000-1400-000014000000}"/>
    <hyperlink ref="U28" r:id="rId22" display="https://systane-ca.myalcon.com/ca-en/eye-care/systane/products/systane-ultra-hydration-preservative-free/" xr:uid="{00000000-0004-0000-1400-000015000000}"/>
    <hyperlink ref="U29" r:id="rId23" display="https://systane-ca.myalcon.com/ca-en/eye-care/systane/products/systane-ultra-hydration/" xr:uid="{00000000-0004-0000-1400-000016000000}"/>
    <hyperlink ref="U30" r:id="rId24" display="https://systane-ca.myalcon.com/ca-en/eye-care/systane/products/systane-ultra/" xr:uid="{00000000-0004-0000-1400-000017000000}"/>
    <hyperlink ref="U31" r:id="rId25" display="https://systane-ca.myalcon.com/ca-en/eye-care/systane/products/systane-balance/" xr:uid="{00000000-0004-0000-1400-000018000000}"/>
    <hyperlink ref="U32" r:id="rId26" display="https://systane-ca.myalcon.com/ca-en/eye-care/systane/products/systane-ultra-preservative-free/" xr:uid="{00000000-0004-0000-1400-000019000000}"/>
    <hyperlink ref="U33" r:id="rId27" display="https://systane-ca.myalcon.com/ca-en/eye-care/systane/products/systane-lubricant-gel/" xr:uid="{00000000-0004-0000-1400-00001A000000}"/>
    <hyperlink ref="U34" r:id="rId28" display="https://systane-ca.myalcon.com/ca-en/eye-care/systane/products/systane-gel/" xr:uid="{00000000-0004-0000-1400-00001B000000}"/>
    <hyperlink ref="U35" r:id="rId29" display="https://systane-ca.myalcon.com/ca-en/eye-care/systane/products/systane-bion-tears/" xr:uid="{00000000-0004-0000-1400-00001C000000}"/>
    <hyperlink ref="U36" r:id="rId30" display="https://systane-ca.myalcon.com/ca-en/eye-care/systane/products/systane-nighttime/" xr:uid="{00000000-0004-0000-1400-00001D000000}"/>
    <hyperlink ref="U38" r:id="rId31" xr:uid="{00000000-0004-0000-1400-00001E000000}"/>
    <hyperlink ref="U39" r:id="rId32" xr:uid="{00000000-0004-0000-1400-00001F000000}"/>
    <hyperlink ref="U40" r:id="rId33" xr:uid="{00000000-0004-0000-1400-000020000000}"/>
    <hyperlink ref="U41" r:id="rId34" xr:uid="{00000000-0004-0000-1400-000021000000}"/>
    <hyperlink ref="U43" r:id="rId35" display="http://www.bausch.com/our-products/dry-eye-products/dry-eye-products/soothe-xp-xtra-protection-emollient-lubricant-eye-drops" xr:uid="{00000000-0004-0000-1400-000022000000}"/>
    <hyperlink ref="U44" r:id="rId36" display="http://www.bausch.com/our-products/dry-eye-products/dry-eye-products/soothe-xp-emollient-lubricant-eye-drops-preservative-free" xr:uid="{00000000-0004-0000-1400-000023000000}"/>
    <hyperlink ref="U45" r:id="rId37" display="http://www.bausch.com/our-products/dry-eye-products/dry-eye-products/soothe-lubricant-eye-drops-maximum-hydration" xr:uid="{00000000-0004-0000-1400-000024000000}"/>
    <hyperlink ref="U46" r:id="rId38" display="http://www.bausch.com/our-products/dry-eye-products/dry-eye-products/soothe-hydration-lubricant-eye-drops" xr:uid="{00000000-0004-0000-1400-000025000000}"/>
    <hyperlink ref="U47" r:id="rId39" display="http://www.bausch.com/our-products/dry-eye-products/dry-eye-products/soothe-preservative-free-lubricant-eye-drops" xr:uid="{00000000-0004-0000-1400-000026000000}"/>
    <hyperlink ref="U48" r:id="rId40" display="http://www.bausch.com/our-products/dry-eye-products/dry-eye-products/soothe-night-time-ointment" xr:uid="{00000000-0004-0000-1400-000027000000}"/>
    <hyperlink ref="U49" r:id="rId41" display="http://www.bausch.com/our-products/dry-eye-products/dry-eye-products/advanced-eye-relief-dry-eye" xr:uid="{00000000-0004-0000-1400-000028000000}"/>
    <hyperlink ref="U51" r:id="rId42" xr:uid="{00000000-0004-0000-1400-000029000000}"/>
    <hyperlink ref="U52" r:id="rId43" xr:uid="{00000000-0004-0000-1400-00002A000000}"/>
    <hyperlink ref="U53" r:id="rId44" xr:uid="{00000000-0004-0000-1400-00002B000000}"/>
    <hyperlink ref="U55" r:id="rId45" display="https://www.justblink.com/find-your-products/contact-lens-lubricating-eye-drops/blink-contacts-lubricating-eye-drops" xr:uid="{00000000-0004-0000-1400-00002C000000}"/>
    <hyperlink ref="U56" r:id="rId46" display="https://www.justblink.com/find-your-products/dry-eye-lubricating-eye-drops/blink-tears-lubricating-eye-drops" xr:uid="{00000000-0004-0000-1400-00002D000000}"/>
    <hyperlink ref="U57" r:id="rId47" display="https://www.justblink.com/find-your-products/dry-eye-lubricating-eye-drops/blink-geltears-lubricating-eye-drops" xr:uid="{00000000-0004-0000-1400-00002E000000}"/>
    <hyperlink ref="U58" r:id="rId48" display="https://www.justblink.com/find-your-products/dry-eye-lubricating-eye-drops/blink-tears-preservative-free-lubricating-eye-drops" xr:uid="{00000000-0004-0000-1400-00002F000000}"/>
    <hyperlink ref="U60" r:id="rId49" xr:uid="{00000000-0004-0000-1400-000030000000}"/>
    <hyperlink ref="U61" r:id="rId50" xr:uid="{00000000-0004-0000-1400-000031000000}"/>
    <hyperlink ref="U62" r:id="rId51" xr:uid="{00000000-0004-0000-1400-000032000000}"/>
    <hyperlink ref="U63" r:id="rId52" xr:uid="{00000000-0004-0000-1400-000033000000}"/>
    <hyperlink ref="U65" r:id="rId53" xr:uid="{00000000-0004-0000-1400-000034000000}"/>
    <hyperlink ref="U66" r:id="rId54" display="GENTEAL® TearsMODERATE LIQUID DROPS" xr:uid="{00000000-0004-0000-1400-000035000000}"/>
    <hyperlink ref="U67" r:id="rId55" xr:uid="{00000000-0004-0000-1400-000036000000}"/>
    <hyperlink ref="U68" r:id="rId56" xr:uid="{00000000-0004-0000-1400-000037000000}"/>
    <hyperlink ref="U69" r:id="rId57" xr:uid="{00000000-0004-0000-1400-000038000000}"/>
    <hyperlink ref="U71" r:id="rId58" display="https://www.cleareyes.com/eye-drops/clear-eyes-pure-relief-eye-drops-for-dry-eyes/" xr:uid="{00000000-0004-0000-1400-000039000000}"/>
    <hyperlink ref="U72" r:id="rId59" display="https://www.cleareyes.com/eye-drops/clear-eyes-pure-relief-multi-symptom-eye-drops/" xr:uid="{00000000-0004-0000-1400-00003A000000}"/>
    <hyperlink ref="U73" r:id="rId60" display="https://www.cleareyes.com/eye-drops/redness-relief/clear-eyes-redness-relief-eye-drops/" xr:uid="{00000000-0004-0000-1400-00003B000000}"/>
    <hyperlink ref="U74" r:id="rId61" display="https://www.cleareyes.com/eye-drops/redness-relief/clear-eyes-maximum-redness-relief-eye-drops/" xr:uid="{00000000-0004-0000-1400-00003C000000}"/>
    <hyperlink ref="U75" r:id="rId62" display="https://www.cleareyes.com/eye-drops/redness-relief/clear-eyes-cooling-comfort-itchy-eye-relief/" xr:uid="{00000000-0004-0000-1400-00003D000000}"/>
    <hyperlink ref="U76" r:id="rId63" display="https://www.cleareyes.com/eye-drops/for-travelers/travelers-eye-relief/" xr:uid="{00000000-0004-0000-1400-00003E000000}"/>
    <hyperlink ref="U77" r:id="rId64" display="https://www.cleareyes.com/eye-drops/itchy-eye-relief/clear-eyes-maximum-itchy-eye-relief/" xr:uid="{00000000-0004-0000-1400-00003F000000}"/>
    <hyperlink ref="U78" r:id="rId65" display="https://www.cleareyes.com/eye-drops/dry-eye-relief/clear-eyes-natural-tears-lubricating-eye-drops/" xr:uid="{00000000-0004-0000-1400-000040000000}"/>
    <hyperlink ref="U79" r:id="rId66" display="https://www.cleareyes.com/eye-drops/clear-eyes-advanced-dry-and-itchy-eye-relief/" xr:uid="{00000000-0004-0000-1400-000041000000}"/>
    <hyperlink ref="U80" r:id="rId67" display="https://www.cleareyes.com/eye-drops/for-contacts/clear-eyes-multi-action-relief-eye-drops/" xr:uid="{00000000-0004-0000-1400-000042000000}"/>
    <hyperlink ref="U81" r:id="rId68" display="https://www.cleareyes.com/eye-drops/multi-symptom-relief/clear-eyes-complete-7-symptom-relief-eye-drops/" xr:uid="{00000000-0004-0000-1400-000043000000}"/>
    <hyperlink ref="U82" r:id="rId69" display="https://www.cleareyes.com/eye-drops/multi-symptom-relief/clear-eyes-triple-action-relief-eye-drops/" xr:uid="{00000000-0004-0000-1400-000044000000}"/>
    <hyperlink ref="U5" r:id="rId70" display="https://www.visine.ca/products/red-eye/visine-red-eye-workplace" xr:uid="{00000000-0004-0000-1400-000045000000}"/>
    <hyperlink ref="U6" r:id="rId71" display="https://www.visine.ca/products/red-eye/original" xr:uid="{00000000-0004-0000-1400-000046000000}"/>
    <hyperlink ref="U7" r:id="rId72" display="https://www.visine.ca/products/red-eye/advance-triple-action" xr:uid="{00000000-0004-0000-1400-000047000000}"/>
    <hyperlink ref="U84" r:id="rId73" display="https://www.polysporin.ca/products/antibiotic-eye-drops" xr:uid="{00000000-0004-0000-1400-000048000000}"/>
    <hyperlink ref="U86" r:id="rId74" xr:uid="{00000000-0004-0000-1400-000049000000}"/>
  </hyperlinks>
  <pageMargins left="0.7" right="0.7" top="0.75" bottom="0.75" header="0.3" footer="0.3"/>
  <pageSetup orientation="portrait" r:id="rId75"/>
  <tableParts count="1">
    <tablePart r:id="rId76"/>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14"/>
  <sheetViews>
    <sheetView workbookViewId="0">
      <selection activeCell="F19" sqref="F19"/>
    </sheetView>
  </sheetViews>
  <sheetFormatPr defaultRowHeight="15"/>
  <cols>
    <col min="1" max="1" width="51.42578125" customWidth="1"/>
  </cols>
  <sheetData>
    <row r="1" spans="1:3" ht="15.75" thickTop="1">
      <c r="A1" s="3" t="s">
        <v>15</v>
      </c>
      <c r="B1" s="7" t="s">
        <v>18</v>
      </c>
      <c r="C1" s="96"/>
    </row>
    <row r="2" spans="1:3" ht="15.75" thickBot="1">
      <c r="B2" s="4"/>
      <c r="C2" s="96"/>
    </row>
    <row r="3" spans="1:3" ht="15.75" thickBot="1">
      <c r="A3" s="158" t="s">
        <v>984</v>
      </c>
      <c r="B3" s="33" t="b">
        <v>0</v>
      </c>
      <c r="C3" s="96"/>
    </row>
    <row r="4" spans="1:3" ht="15.75" thickBot="1">
      <c r="A4" s="158" t="s">
        <v>992</v>
      </c>
      <c r="B4" s="33" t="b">
        <v>0</v>
      </c>
      <c r="C4" s="96"/>
    </row>
    <row r="5" spans="1:3" ht="15.75" thickBot="1">
      <c r="A5" s="158" t="s">
        <v>985</v>
      </c>
      <c r="B5" s="33" t="b">
        <v>0</v>
      </c>
      <c r="C5" s="96"/>
    </row>
    <row r="6" spans="1:3" ht="15.75" thickBot="1">
      <c r="A6" s="158" t="s">
        <v>987</v>
      </c>
      <c r="B6" s="33" t="b">
        <v>0</v>
      </c>
      <c r="C6" s="96" t="b">
        <f>NOT(B6)</f>
        <v>1</v>
      </c>
    </row>
    <row r="7" spans="1:3" ht="15.75" thickBot="1">
      <c r="A7" s="161" t="s">
        <v>991</v>
      </c>
      <c r="B7" s="33" t="b">
        <v>0</v>
      </c>
      <c r="C7" s="96" t="b">
        <f>NOT(B7)</f>
        <v>1</v>
      </c>
    </row>
    <row r="8" spans="1:3" ht="15.75" thickBot="1">
      <c r="A8" s="161" t="s">
        <v>986</v>
      </c>
      <c r="B8" s="33" t="b">
        <v>0</v>
      </c>
      <c r="C8" s="96" t="b">
        <f t="shared" ref="C8:C11" si="0">NOT(B8)</f>
        <v>1</v>
      </c>
    </row>
    <row r="9" spans="1:3" ht="15.75" thickBot="1">
      <c r="A9" s="161" t="s">
        <v>988</v>
      </c>
      <c r="B9" s="33" t="b">
        <v>0</v>
      </c>
      <c r="C9" s="96" t="b">
        <f t="shared" si="0"/>
        <v>1</v>
      </c>
    </row>
    <row r="10" spans="1:3" ht="15.75" thickBot="1">
      <c r="A10" s="161" t="s">
        <v>989</v>
      </c>
      <c r="B10" s="33" t="b">
        <v>0</v>
      </c>
      <c r="C10" s="96" t="b">
        <f t="shared" si="0"/>
        <v>1</v>
      </c>
    </row>
    <row r="11" spans="1:3" ht="15.75" thickBot="1">
      <c r="A11" s="161" t="s">
        <v>990</v>
      </c>
      <c r="B11" s="33" t="b">
        <v>0</v>
      </c>
      <c r="C11" s="96" t="b">
        <f t="shared" si="0"/>
        <v>1</v>
      </c>
    </row>
    <row r="12" spans="1:3" ht="15.75" thickBot="1">
      <c r="A12" s="170" t="s">
        <v>993</v>
      </c>
      <c r="B12" s="33" t="b">
        <v>0</v>
      </c>
      <c r="C12" s="96" t="b">
        <f>NOT(B12)</f>
        <v>1</v>
      </c>
    </row>
    <row r="13" spans="1:3" ht="15.75" thickBot="1">
      <c r="A13" s="170" t="s">
        <v>994</v>
      </c>
      <c r="B13" s="33" t="b">
        <v>0</v>
      </c>
      <c r="C13" s="96" t="b">
        <f>NOT(B13)</f>
        <v>1</v>
      </c>
    </row>
    <row r="14" spans="1:3" ht="15.75" thickBot="1">
      <c r="A14" s="158" t="s">
        <v>995</v>
      </c>
      <c r="B14" s="33" t="b">
        <v>0</v>
      </c>
      <c r="C14" s="96"/>
    </row>
  </sheetData>
  <dataValidations xWindow="199" yWindow="469" count="2">
    <dataValidation allowBlank="1" showInputMessage="1" showErrorMessage="1" prompt="Consult your physician if unsure" sqref="A3:A6 A14" xr:uid="{00000000-0002-0000-1500-000000000000}"/>
    <dataValidation allowBlank="1" showInputMessage="1" showErrorMessage="1" prompt="Consult your pharmacist if unsure" sqref="A7:A13" xr:uid="{00000000-0002-0000-15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199" yWindow="469" count="9">
        <x14:dataValidation type="list" showInputMessage="1" showErrorMessage="1" error="Please answer as Yes or No" prompt="Medicated shampoo trial may help resolve and/or reduce symptoms." xr:uid="{00000000-0002-0000-1500-000002000000}">
          <x14:formula1>
            <xm:f>random!$A$2:$A$3</xm:f>
          </x14:formula1>
          <xm:sqref>B3:B6</xm:sqref>
        </x14:dataValidation>
        <x14:dataValidation type="list" showInputMessage="1" showErrorMessage="1" error="Please answer as Yes or No" prompt="Selenium is antifungal and reduces dandruff/seborrhea. Excessive use cause oily hair/hair loss. May discolor light/permed hair if not washed out. Do not apply to damaged/inflamed skin as may sting. Remove all jewelry prior to use. " xr:uid="{00000000-0002-0000-1500-000003000000}">
          <x14:formula1>
            <xm:f>random!$A$2:$A$3</xm:f>
          </x14:formula1>
          <xm:sqref>B8</xm:sqref>
        </x14:dataValidation>
        <x14:dataValidation type="list" showInputMessage="1" showErrorMessage="1" error="Please answer as Yes or No" prompt="Zinc pyrithione is antifungal and can reduce dandruff. It has few side effects and can be used in pregnancy/nursing and can be applied to scalp, beard, face and body. Discoloration if used with metal hair dye shampoos." xr:uid="{00000000-0002-0000-1500-000004000000}">
          <x14:formula1>
            <xm:f>random!$A$2:$A$3</xm:f>
          </x14:formula1>
          <xm:sqref>B9</xm:sqref>
        </x14:dataValidation>
        <x14:dataValidation type="list" showInputMessage="1" showErrorMessage="1" error="Please answer as Yes or No" prompt="Salicylic acid detach flakes, increase penetration of other meds but not antifungal. Irritating and should not apply long or to large areas especially in children. Should discontinue other drying or alcohol-containing products. Best for severe disease." xr:uid="{00000000-0002-0000-1500-000005000000}">
          <x14:formula1>
            <xm:f>random!$A$2:$A$3</xm:f>
          </x14:formula1>
          <xm:sqref>B10</xm:sqref>
        </x14:dataValidation>
        <x14:dataValidation type="list" showInputMessage="1" showErrorMessage="1" error="Please answer as Yes or No" prompt="Coal tar reduces swelling, inflammation, flaking and itch but not antifungal. Can be messy, smelly and stain light hair/clothing. Can be irritating/burn and cause photosensitivity (apply sunblock outdoors). Best for severe disease. May cause folliculitis." xr:uid="{00000000-0002-0000-1500-000006000000}">
          <x14:formula1>
            <xm:f>random!$A$2:$A$3</xm:f>
          </x14:formula1>
          <xm:sqref>B11</xm:sqref>
        </x14:dataValidation>
        <x14:dataValidation type="list" showInputMessage="1" showErrorMessage="1" error="Please answer as Yes or No" prompt="Ketoconazole is most effective antifungal medicated shampoo ingredient and has fewest adverse effects. Treatment of fungal infection indirectly leads to reduced dandruff. Can be applied to scalp, beard, face and body. Least irritating. " xr:uid="{00000000-0002-0000-1500-000007000000}">
          <x14:formula1>
            <xm:f>random!$A$2:$A$3</xm:f>
          </x14:formula1>
          <xm:sqref>B7</xm:sqref>
        </x14:dataValidation>
        <x14:dataValidation type="list" showInputMessage="1" showErrorMessage="1" error="Please answer as Yes or No" prompt="Avoid use with selenium products. Compatible with zinc pyrithione use." xr:uid="{00000000-0002-0000-1500-000008000000}">
          <x14:formula1>
            <xm:f>random!$A$2:$A$3</xm:f>
          </x14:formula1>
          <xm:sqref>B12</xm:sqref>
        </x14:dataValidation>
        <x14:dataValidation type="list" showInputMessage="1" showErrorMessage="1" error="Please answer as Yes or No" prompt="Compatible with zinc pyrithione products." xr:uid="{00000000-0002-0000-1500-000009000000}">
          <x14:formula1>
            <xm:f>random!$A$2:$A$3</xm:f>
          </x14:formula1>
          <xm:sqref>B13</xm:sqref>
        </x14:dataValidation>
        <x14:dataValidation type="list" showInputMessage="1" showErrorMessage="1" error="Please answer as Yes or No" prompt="Severe dandruff or seborrhetic dermatitis typically involves scales, redness and inflammation of the scalp or affected areas. " xr:uid="{00000000-0002-0000-1500-00000A000000}">
          <x14:formula1>
            <xm:f>random!$A$2:$A$3</xm:f>
          </x14:formula1>
          <xm:sqref>B14</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T34"/>
  <sheetViews>
    <sheetView workbookViewId="0">
      <selection activeCell="J2" sqref="J2"/>
    </sheetView>
  </sheetViews>
  <sheetFormatPr defaultRowHeight="15"/>
  <cols>
    <col min="1" max="1" width="57.85546875" customWidth="1"/>
    <col min="2" max="9" width="11" customWidth="1"/>
    <col min="10" max="10" width="12" customWidth="1"/>
    <col min="11" max="11" width="80.7109375" customWidth="1"/>
  </cols>
  <sheetData>
    <row r="1" spans="1:20">
      <c r="A1" s="70" t="s">
        <v>1248</v>
      </c>
      <c r="B1" t="s">
        <v>36</v>
      </c>
      <c r="C1" s="204" t="s">
        <v>950</v>
      </c>
      <c r="D1" s="204" t="s">
        <v>947</v>
      </c>
      <c r="E1" t="s">
        <v>934</v>
      </c>
      <c r="F1" t="s">
        <v>954</v>
      </c>
      <c r="G1" t="s">
        <v>715</v>
      </c>
      <c r="H1" t="s">
        <v>726</v>
      </c>
      <c r="I1" t="s">
        <v>781</v>
      </c>
      <c r="J1" t="s">
        <v>688</v>
      </c>
      <c r="K1" t="s">
        <v>381</v>
      </c>
    </row>
    <row r="2" spans="1:20">
      <c r="A2" t="b">
        <f>IF(Table1526[[#This Row],[Column11]],Table1526[[#This Row],[Column12]])</f>
        <v>0</v>
      </c>
      <c r="B2" s="17"/>
      <c r="C2" s="17"/>
      <c r="D2" s="17"/>
      <c r="E2" s="17"/>
      <c r="F2" s="20" t="b">
        <f>AND('Medicated Shampoo Criteria'!C12,'Medicated Shampoo Criteria'!B9,OR('Medicated Shampoo Criteria'!B3:B4),'Medicated Shampoo Criteria'!C7:C8,'Medicated Shampoo Criteria'!C10:C11)</f>
        <v>0</v>
      </c>
      <c r="G2" s="17"/>
      <c r="H2" s="17"/>
      <c r="I2" s="17"/>
      <c r="J2" t="b">
        <f>AND(Table1526[[#This Row],[Menthol]:[Coal Tar]])</f>
        <v>0</v>
      </c>
      <c r="K2" s="11" t="s">
        <v>779</v>
      </c>
      <c r="M2" t="s">
        <v>977</v>
      </c>
    </row>
    <row r="3" spans="1:20">
      <c r="A3" t="b">
        <f>IF(Table1526[[#This Row],[Column11]],Table1526[[#This Row],[Column12]])</f>
        <v>0</v>
      </c>
      <c r="B3" s="17"/>
      <c r="C3" s="17"/>
      <c r="D3" s="17"/>
      <c r="E3" s="17"/>
      <c r="F3" s="17"/>
      <c r="G3" s="17"/>
      <c r="H3" s="17"/>
      <c r="I3" s="20" t="b">
        <f>AND('Medicated Shampoo Criteria'!B11,'Medicated Shampoo Criteria'!B14,'Medicated Shampoo Criteria'!C12:C13,OR('Medicated Shampoo Criteria'!B3:B4,'Medicated Shampoo Criteria'!B6),'Medicated Shampoo Criteria'!C7:C10)</f>
        <v>0</v>
      </c>
      <c r="J3" t="b">
        <f>AND(Table1526[[#This Row],[Menthol]:[Coal Tar]])</f>
        <v>0</v>
      </c>
      <c r="K3" s="11" t="s">
        <v>780</v>
      </c>
      <c r="M3" t="s">
        <v>978</v>
      </c>
      <c r="T3" t="s">
        <v>982</v>
      </c>
    </row>
    <row r="4" spans="1:20">
      <c r="A4" t="b">
        <f>IF(Table1526[[#This Row],[Column11]],Table1526[[#This Row],[Column12]])</f>
        <v>0</v>
      </c>
      <c r="B4" s="17"/>
      <c r="C4" s="17"/>
      <c r="D4" s="17"/>
      <c r="E4" s="17"/>
      <c r="F4" s="17"/>
      <c r="G4" s="17"/>
      <c r="H4" s="20" t="b">
        <f>AND('Medicated Shampoo Criteria'!B10,'Medicated Shampoo Criteria'!B14,'Medicated Shampoo Criteria'!B5,'Medicated Shampoo Criteria'!C7:C9,'Medicated Shampoo Criteria'!C11)</f>
        <v>0</v>
      </c>
      <c r="I4" s="17"/>
      <c r="J4" t="b">
        <f>AND(Table1526[[#This Row],[Menthol]:[Coal Tar]])</f>
        <v>0</v>
      </c>
      <c r="K4" s="11" t="s">
        <v>782</v>
      </c>
      <c r="M4" t="s">
        <v>979</v>
      </c>
    </row>
    <row r="5" spans="1:20">
      <c r="A5" t="b">
        <f>IF(Table1526[[#This Row],[Column11]],Table1526[[#This Row],[Column12]])</f>
        <v>0</v>
      </c>
      <c r="B5" s="20" t="b">
        <f>AND('Medicated Shampoo Criteria'!B4)</f>
        <v>0</v>
      </c>
      <c r="C5" s="17"/>
      <c r="D5" s="17"/>
      <c r="E5" s="17"/>
      <c r="F5" s="17"/>
      <c r="G5" s="17"/>
      <c r="H5" s="17"/>
      <c r="I5" s="20" t="b">
        <f>I3</f>
        <v>0</v>
      </c>
      <c r="J5" t="b">
        <f>AND(Table1526[[#This Row],[Menthol]:[Coal Tar]])</f>
        <v>0</v>
      </c>
      <c r="K5" s="11" t="s">
        <v>783</v>
      </c>
      <c r="M5" t="s">
        <v>980</v>
      </c>
    </row>
    <row r="6" spans="1:20">
      <c r="A6" t="b">
        <f>IF(Table1526[[#This Row],[Column11]],Table1526[[#This Row],[Column12]])</f>
        <v>0</v>
      </c>
      <c r="B6" s="17"/>
      <c r="C6" s="17"/>
      <c r="D6" s="17"/>
      <c r="E6" s="17"/>
      <c r="F6" s="17"/>
      <c r="G6" s="17"/>
      <c r="H6" s="17"/>
      <c r="I6" s="20" t="b">
        <f>I3</f>
        <v>0</v>
      </c>
      <c r="J6" t="b">
        <f>AND(Table1526[[#This Row],[Menthol]:[Coal Tar]])</f>
        <v>0</v>
      </c>
      <c r="K6" s="11" t="s">
        <v>784</v>
      </c>
      <c r="M6" t="s">
        <v>981</v>
      </c>
    </row>
    <row r="7" spans="1:20">
      <c r="A7" s="16" t="e">
        <f>IF(Table1526[[#This Row],[Column11]],Table1526[[#This Row],[Column12]])</f>
        <v>#VALUE!</v>
      </c>
      <c r="B7" s="16"/>
      <c r="C7" s="16"/>
      <c r="D7" s="16"/>
      <c r="E7" s="16"/>
      <c r="F7" s="16"/>
      <c r="G7" s="16"/>
      <c r="H7" s="16"/>
      <c r="I7" s="16"/>
      <c r="J7" s="16" t="e">
        <f>AND(Table1526[[#This Row],[Menthol]:[Coal Tar]])</f>
        <v>#VALUE!</v>
      </c>
      <c r="K7" s="16"/>
    </row>
    <row r="8" spans="1:20">
      <c r="A8" t="b">
        <f>IF(Table1526[[#This Row],[Column11]],Table1526[[#This Row],[Column12]])</f>
        <v>0</v>
      </c>
      <c r="B8" s="17"/>
      <c r="C8" s="17"/>
      <c r="D8" s="17"/>
      <c r="E8" s="17"/>
      <c r="F8" s="17"/>
      <c r="G8" s="20" t="b">
        <f>AND('Medicated Shampoo Criteria'!B7,OR('Medicated Shampoo Criteria'!B3:B6),'Medicated Shampoo Criteria'!C8:C11)</f>
        <v>0</v>
      </c>
      <c r="H8" s="17"/>
      <c r="I8" s="17"/>
      <c r="J8" t="b">
        <f>AND(Table1526[[#This Row],[Menthol]:[Coal Tar]])</f>
        <v>0</v>
      </c>
      <c r="K8" s="11" t="s">
        <v>933</v>
      </c>
      <c r="M8" t="s">
        <v>983</v>
      </c>
    </row>
    <row r="9" spans="1:20">
      <c r="A9" s="16" t="e">
        <f>IF(Table1526[[#This Row],[Column11]],Table1526[[#This Row],[Column12]])</f>
        <v>#VALUE!</v>
      </c>
      <c r="B9" s="16"/>
      <c r="C9" s="16"/>
      <c r="D9" s="16"/>
      <c r="E9" s="16"/>
      <c r="F9" s="16"/>
      <c r="G9" s="16"/>
      <c r="H9" s="16"/>
      <c r="I9" s="16"/>
      <c r="J9" s="16" t="e">
        <f>AND(Table1526[[#This Row],[Menthol]:[Coal Tar]])</f>
        <v>#VALUE!</v>
      </c>
      <c r="K9" s="85"/>
    </row>
    <row r="10" spans="1:20">
      <c r="A10" t="b">
        <f>IF(Table1526[[#This Row],[Column11]],Table1526[[#This Row],[Column12]])</f>
        <v>0</v>
      </c>
      <c r="B10" s="17"/>
      <c r="C10" s="17"/>
      <c r="D10" s="17"/>
      <c r="E10" s="20" t="b">
        <f>AND('Medicated Shampoo Criteria'!B8,'Medicated Shampoo Criteria'!C12:C13,'Medicated Shampoo Criteria'!C6,OR('Medicated Shampoo Criteria'!B3:B5),'Medicated Shampoo Criteria'!C7,'Medicated Shampoo Criteria'!C9:C11)</f>
        <v>0</v>
      </c>
      <c r="F10" s="17"/>
      <c r="G10" s="17"/>
      <c r="H10" s="17"/>
      <c r="I10" s="17"/>
      <c r="J10" t="b">
        <f>AND(Table1526[[#This Row],[Menthol]:[Coal Tar]])</f>
        <v>0</v>
      </c>
      <c r="K10" s="11" t="s">
        <v>935</v>
      </c>
      <c r="M10" t="s">
        <v>941</v>
      </c>
    </row>
    <row r="11" spans="1:20">
      <c r="A11" t="b">
        <f>IF(Table1526[[#This Row],[Column11]],Table1526[[#This Row],[Column12]])</f>
        <v>0</v>
      </c>
      <c r="B11" s="17"/>
      <c r="C11" s="17"/>
      <c r="D11" s="17"/>
      <c r="E11" s="20" t="b">
        <f>E10</f>
        <v>0</v>
      </c>
      <c r="F11" s="17"/>
      <c r="G11" s="17"/>
      <c r="H11" s="17"/>
      <c r="I11" s="17"/>
      <c r="J11" t="b">
        <f>AND(Table1526[[#This Row],[Menthol]:[Coal Tar]])</f>
        <v>0</v>
      </c>
      <c r="K11" s="11" t="s">
        <v>936</v>
      </c>
      <c r="M11" t="s">
        <v>941</v>
      </c>
    </row>
    <row r="12" spans="1:20">
      <c r="A12" t="b">
        <f>IF(Table1526[[#This Row],[Column11]],Table1526[[#This Row],[Column12]])</f>
        <v>0</v>
      </c>
      <c r="B12" s="17"/>
      <c r="C12" s="17"/>
      <c r="D12" s="17"/>
      <c r="E12" s="20" t="b">
        <f>E10</f>
        <v>0</v>
      </c>
      <c r="F12" s="17"/>
      <c r="G12" s="17"/>
      <c r="H12" s="17"/>
      <c r="I12" s="17"/>
      <c r="J12" t="b">
        <f>AND(Table1526[[#This Row],[Menthol]:[Coal Tar]])</f>
        <v>0</v>
      </c>
      <c r="K12" s="11" t="s">
        <v>937</v>
      </c>
      <c r="M12" t="s">
        <v>941</v>
      </c>
    </row>
    <row r="13" spans="1:20">
      <c r="A13" t="b">
        <f>IF(Table1526[[#This Row],[Column11]],Table1526[[#This Row],[Column12]])</f>
        <v>0</v>
      </c>
      <c r="B13" s="17"/>
      <c r="C13" s="17"/>
      <c r="D13" s="17"/>
      <c r="E13" s="17"/>
      <c r="F13" s="20" t="b">
        <f>F2</f>
        <v>0</v>
      </c>
      <c r="G13" s="17"/>
      <c r="H13" s="17"/>
      <c r="I13" s="17"/>
      <c r="J13" t="b">
        <f>AND(Table1526[[#This Row],[Menthol]:[Coal Tar]])</f>
        <v>0</v>
      </c>
      <c r="K13" s="11" t="s">
        <v>938</v>
      </c>
      <c r="M13" t="s">
        <v>943</v>
      </c>
    </row>
    <row r="14" spans="1:20">
      <c r="A14" t="b">
        <f>IF(Table1526[[#This Row],[Column11]],Table1526[[#This Row],[Column12]])</f>
        <v>0</v>
      </c>
      <c r="B14" s="17"/>
      <c r="C14" s="17"/>
      <c r="D14" s="17"/>
      <c r="E14" s="17"/>
      <c r="F14" s="17"/>
      <c r="G14" s="17"/>
      <c r="H14" s="20" t="b">
        <f>H4</f>
        <v>0</v>
      </c>
      <c r="I14" s="17"/>
      <c r="J14" t="b">
        <f>AND(Table1526[[#This Row],[Menthol]:[Coal Tar]])</f>
        <v>0</v>
      </c>
      <c r="K14" s="11" t="s">
        <v>939</v>
      </c>
      <c r="M14" t="s">
        <v>942</v>
      </c>
    </row>
    <row r="15" spans="1:20">
      <c r="A15" t="b">
        <f>IF(Table1526[[#This Row],[Column11]],Table1526[[#This Row],[Column12]])</f>
        <v>0</v>
      </c>
      <c r="B15" s="17"/>
      <c r="C15" s="17"/>
      <c r="D15" s="17"/>
      <c r="E15" s="20" t="b">
        <f>E10</f>
        <v>0</v>
      </c>
      <c r="F15" s="17"/>
      <c r="G15" s="17"/>
      <c r="H15" s="17"/>
      <c r="I15" s="17"/>
      <c r="J15" t="b">
        <f>AND(Table1526[[#This Row],[Menthol]:[Coal Tar]])</f>
        <v>0</v>
      </c>
      <c r="K15" s="11" t="s">
        <v>940</v>
      </c>
      <c r="M15" t="s">
        <v>944</v>
      </c>
    </row>
    <row r="16" spans="1:20" ht="15.75" customHeight="1">
      <c r="A16" s="16" t="e">
        <f>IF(Table1526[[#This Row],[Column11]],Table1526[[#This Row],[Column12]])</f>
        <v>#VALUE!</v>
      </c>
      <c r="B16" s="16"/>
      <c r="C16" s="16"/>
      <c r="D16" s="16"/>
      <c r="E16" s="16"/>
      <c r="F16" s="16"/>
      <c r="G16" s="16"/>
      <c r="H16" s="16"/>
      <c r="I16" s="16"/>
      <c r="J16" s="16" t="e">
        <f>AND(Table1526[[#This Row],[Menthol]:[Coal Tar]])</f>
        <v>#VALUE!</v>
      </c>
      <c r="K16" s="16"/>
    </row>
    <row r="17" spans="1:13" ht="15.75" customHeight="1">
      <c r="A17" t="b">
        <f>IF(Table1526[[#This Row],[Column11]],Table1526[[#This Row],[Column12]])</f>
        <v>0</v>
      </c>
      <c r="B17" s="17"/>
      <c r="C17" s="17"/>
      <c r="D17" s="17"/>
      <c r="E17" s="17"/>
      <c r="F17" s="17"/>
      <c r="G17" s="17"/>
      <c r="H17" s="17"/>
      <c r="I17" s="20" t="b">
        <f>I3</f>
        <v>0</v>
      </c>
      <c r="J17" t="b">
        <f>AND(Table1526[[#This Row],[Menthol]:[Coal Tar]])</f>
        <v>0</v>
      </c>
      <c r="K17" s="11" t="s">
        <v>945</v>
      </c>
      <c r="M17" s="92" t="s">
        <v>946</v>
      </c>
    </row>
    <row r="18" spans="1:13">
      <c r="A18" s="16" t="e">
        <f>IF(Table1526[[#This Row],[Column11]],Table1526[[#This Row],[Column12]])</f>
        <v>#VALUE!</v>
      </c>
      <c r="B18" s="16"/>
      <c r="C18" s="16"/>
      <c r="D18" s="16"/>
      <c r="E18" s="16"/>
      <c r="F18" s="16"/>
      <c r="G18" s="16"/>
      <c r="H18" s="16"/>
      <c r="I18" s="16"/>
      <c r="J18" s="16" t="e">
        <f>AND(Table1526[[#This Row],[Menthol]:[Coal Tar]])</f>
        <v>#VALUE!</v>
      </c>
      <c r="K18" s="16"/>
    </row>
    <row r="19" spans="1:13">
      <c r="A19" t="b">
        <f>IF(Table1526[[#This Row],[Column11]],Table1526[[#This Row],[Column12]])</f>
        <v>0</v>
      </c>
      <c r="B19" s="17"/>
      <c r="C19" s="20" t="b">
        <f>AND('Medicated Shampoo Criteria'!B4)</f>
        <v>0</v>
      </c>
      <c r="D19" s="20" t="b">
        <f>AND('Medicated Shampoo Criteria'!B4)</f>
        <v>0</v>
      </c>
      <c r="E19" s="17"/>
      <c r="F19" s="17"/>
      <c r="G19" s="17"/>
      <c r="H19" s="20" t="b">
        <f>H4</f>
        <v>0</v>
      </c>
      <c r="I19" s="17"/>
      <c r="J19" t="b">
        <f>AND(Table1526[[#This Row],[Menthol]:[Coal Tar]])</f>
        <v>0</v>
      </c>
      <c r="K19" s="28" t="s">
        <v>948</v>
      </c>
      <c r="M19" s="93" t="s">
        <v>952</v>
      </c>
    </row>
    <row r="20" spans="1:13">
      <c r="A20" t="b">
        <f>IF(Table1526[[#This Row],[Column11]],Table1526[[#This Row],[Column12]])</f>
        <v>0</v>
      </c>
      <c r="B20" s="17"/>
      <c r="C20" s="20" t="b">
        <f>C19</f>
        <v>0</v>
      </c>
      <c r="D20" s="20" t="b">
        <f>D19</f>
        <v>0</v>
      </c>
      <c r="E20" s="17"/>
      <c r="F20" s="17"/>
      <c r="G20" s="17"/>
      <c r="H20" s="20" t="b">
        <f>H4</f>
        <v>0</v>
      </c>
      <c r="I20" s="17"/>
      <c r="J20" t="b">
        <f>AND(Table1526[[#This Row],[Menthol]:[Coal Tar]])</f>
        <v>0</v>
      </c>
      <c r="K20" s="28" t="s">
        <v>949</v>
      </c>
      <c r="M20" t="s">
        <v>951</v>
      </c>
    </row>
    <row r="21" spans="1:13">
      <c r="A21" s="16" t="e">
        <f>IF(Table1526[[#This Row],[Column11]],Table1526[[#This Row],[Column12]])</f>
        <v>#VALUE!</v>
      </c>
      <c r="B21" s="16"/>
      <c r="C21" s="16"/>
      <c r="D21" s="16"/>
      <c r="E21" s="16"/>
      <c r="F21" s="16"/>
      <c r="G21" s="16"/>
      <c r="H21" s="16"/>
      <c r="I21" s="16"/>
      <c r="J21" s="16" t="e">
        <f>AND(Table1526[[#This Row],[Menthol]:[Coal Tar]])</f>
        <v>#VALUE!</v>
      </c>
      <c r="K21" s="16"/>
    </row>
    <row r="22" spans="1:13">
      <c r="A22" t="b">
        <f>IF(Table1526[[#This Row],[Column11]],Table1526[[#This Row],[Column12]])</f>
        <v>0</v>
      </c>
      <c r="B22" s="20" t="b">
        <f>B5</f>
        <v>0</v>
      </c>
      <c r="C22" s="17"/>
      <c r="D22" s="17"/>
      <c r="E22" s="17"/>
      <c r="F22" s="20" t="b">
        <f>F2</f>
        <v>0</v>
      </c>
      <c r="G22" s="17"/>
      <c r="H22" s="17"/>
      <c r="I22" s="17"/>
      <c r="J22" t="b">
        <f>AND(Table1526[[#This Row],[Menthol]:[Coal Tar]])</f>
        <v>0</v>
      </c>
      <c r="K22" s="11" t="s">
        <v>953</v>
      </c>
      <c r="M22" s="94" t="s">
        <v>955</v>
      </c>
    </row>
    <row r="23" spans="1:13">
      <c r="A23" s="16" t="e">
        <f>IF(Table1526[[#This Row],[Column11]],Table1526[[#This Row],[Column12]])</f>
        <v>#VALUE!</v>
      </c>
      <c r="B23" s="16"/>
      <c r="C23" s="16"/>
      <c r="D23" s="16"/>
      <c r="E23" s="16"/>
      <c r="F23" s="16"/>
      <c r="G23" s="16"/>
      <c r="H23" s="16"/>
      <c r="I23" s="16"/>
      <c r="J23" s="16" t="e">
        <f>AND(Table1526[[#This Row],[Menthol]:[Coal Tar]])</f>
        <v>#VALUE!</v>
      </c>
      <c r="K23" s="16"/>
    </row>
    <row r="24" spans="1:13">
      <c r="A24" t="b">
        <f>IF(Table1526[[#This Row],[Column11]],Table1526[[#This Row],[Column12]])</f>
        <v>0</v>
      </c>
      <c r="B24" s="20" t="b">
        <f>B5</f>
        <v>0</v>
      </c>
      <c r="C24" s="17"/>
      <c r="D24" s="17"/>
      <c r="E24" s="17"/>
      <c r="F24" s="20" t="b">
        <f>F2</f>
        <v>0</v>
      </c>
      <c r="G24" s="17"/>
      <c r="H24" s="17"/>
      <c r="I24" s="17"/>
      <c r="J24" t="b">
        <f>AND(Table1526[[#This Row],[Menthol]:[Coal Tar]])</f>
        <v>0</v>
      </c>
      <c r="K24" s="11" t="s">
        <v>971</v>
      </c>
      <c r="M24" t="s">
        <v>975</v>
      </c>
    </row>
    <row r="25" spans="1:13">
      <c r="A25" t="b">
        <f>IF(Table1526[[#This Row],[Column11]],Table1526[[#This Row],[Column12]])</f>
        <v>0</v>
      </c>
      <c r="B25" s="17"/>
      <c r="C25" s="17"/>
      <c r="D25" s="17"/>
      <c r="E25" s="17"/>
      <c r="F25" s="20" t="b">
        <f>F2</f>
        <v>0</v>
      </c>
      <c r="G25" s="17"/>
      <c r="H25" s="17"/>
      <c r="I25" s="17"/>
      <c r="J25" t="b">
        <f>AND(Table1526[[#This Row],[Menthol]:[Coal Tar]])</f>
        <v>0</v>
      </c>
      <c r="K25" s="11" t="s">
        <v>972</v>
      </c>
      <c r="M25" t="s">
        <v>975</v>
      </c>
    </row>
    <row r="26" spans="1:13">
      <c r="A26" t="b">
        <f>IF(Table1526[[#This Row],[Column11]],Table1526[[#This Row],[Column12]])</f>
        <v>0</v>
      </c>
      <c r="B26" s="20" t="b">
        <f>B5</f>
        <v>0</v>
      </c>
      <c r="C26" s="17"/>
      <c r="D26" s="17"/>
      <c r="E26" s="17"/>
      <c r="F26" s="20" t="b">
        <f>F2</f>
        <v>0</v>
      </c>
      <c r="G26" s="17"/>
      <c r="H26" s="17"/>
      <c r="I26" s="17"/>
      <c r="J26" t="b">
        <f>AND(Table1526[[#This Row],[Menthol]:[Coal Tar]])</f>
        <v>0</v>
      </c>
      <c r="K26" s="11" t="s">
        <v>973</v>
      </c>
      <c r="M26" t="s">
        <v>975</v>
      </c>
    </row>
    <row r="27" spans="1:13">
      <c r="A27" t="b">
        <f>IF(Table1526[[#This Row],[Column11]],Table1526[[#This Row],[Column12]])</f>
        <v>0</v>
      </c>
      <c r="B27" s="17"/>
      <c r="C27" s="17"/>
      <c r="D27" s="17"/>
      <c r="E27" s="20" t="b">
        <f>E10</f>
        <v>0</v>
      </c>
      <c r="F27" s="17"/>
      <c r="G27" s="17"/>
      <c r="H27" s="17"/>
      <c r="I27" s="17"/>
      <c r="J27" t="b">
        <f>AND(Table1526[[#This Row],[Menthol]:[Coal Tar]])</f>
        <v>0</v>
      </c>
      <c r="K27" s="11" t="s">
        <v>974</v>
      </c>
      <c r="M27" t="s">
        <v>976</v>
      </c>
    </row>
    <row r="28" spans="1:13">
      <c r="A28" s="16" t="e">
        <f>IF(Table1526[[#This Row],[Column11]],Table1526[[#This Row],[Column12]])</f>
        <v>#VALUE!</v>
      </c>
      <c r="B28" s="16"/>
      <c r="C28" s="16"/>
      <c r="D28" s="16"/>
      <c r="E28" s="16"/>
      <c r="F28" s="16"/>
      <c r="G28" s="16"/>
      <c r="H28" s="16"/>
      <c r="I28" s="16"/>
      <c r="J28" s="16" t="e">
        <f>AND(Table1526[[#This Row],[Menthol]:[Coal Tar]])</f>
        <v>#VALUE!</v>
      </c>
      <c r="K28" s="16"/>
    </row>
    <row r="29" spans="1:13">
      <c r="A29" t="b">
        <f>IF(Table1526[[#This Row],[Column11]],Table1526[[#This Row],[Column12]])</f>
        <v>0</v>
      </c>
    </row>
    <row r="30" spans="1:13">
      <c r="A30" t="b">
        <f>IF(Table1526[[#This Row],[Column11]],Table1526[[#This Row],[Column12]])</f>
        <v>0</v>
      </c>
    </row>
    <row r="31" spans="1:13">
      <c r="A31" t="b">
        <f>IF(Table1526[[#This Row],[Column11]],Table1526[[#This Row],[Column12]])</f>
        <v>0</v>
      </c>
    </row>
    <row r="32" spans="1:13">
      <c r="A32" t="b">
        <f>IF(Table1526[[#This Row],[Column11]],Table1526[[#This Row],[Column12]])</f>
        <v>0</v>
      </c>
    </row>
    <row r="33" spans="1:1">
      <c r="A33" t="b">
        <f>IF(Table1526[[#This Row],[Column11]],Table1526[[#This Row],[Column12]])</f>
        <v>0</v>
      </c>
    </row>
    <row r="34" spans="1:1">
      <c r="A34" t="b">
        <f>IF(Table1526[[#This Row],[Column11]],Table1526[[#This Row],[Column12]])</f>
        <v>0</v>
      </c>
    </row>
  </sheetData>
  <hyperlinks>
    <hyperlink ref="K2" r:id="rId1" tooltip="Go to Product: T/Gel Daily Control® 2-in-1 Dandruff Shampoo Plus Conditioner" display="https://www.neutrogena.com/haircare/haircare-itchyscalp/tgel-daily-control-2-in-1-dandruff-shampoo-plus-conditioner/6809000.html?cgid=haircare-itchyscalp" xr:uid="{00000000-0004-0000-1600-000000000000}"/>
    <hyperlink ref="K3" r:id="rId2" tooltip="Go to Product: T/Gel® Therapeutic Shampoo-Extra Strength" display="https://www.neutrogena.com/haircare/haircare-itchyscalp/tgel-therapeutic-shampoo-extra-strength/6809466.html?cgid=haircare-itchyscalp" xr:uid="{00000000-0004-0000-1600-000001000000}"/>
    <hyperlink ref="K4" r:id="rId3" tooltip="Go to Product: T/Sal® Therapeutic Shampoo-Scalp Build-Up Control" display="https://www.neutrogena.com/haircare/haircare-itchyscalp/tsal-therapeutic-shampoo-scalp-build-up-control/6809650.html?cgid=haircare-itchyscalp" xr:uid="{00000000-0004-0000-1600-000002000000}"/>
    <hyperlink ref="K5" r:id="rId4" tooltip="Go to Product: T/Gel® Therapeutic Shampoo-Stubborn Itch" display="https://www.neutrogena.com/haircare/haircare-itchyscalp/tgel-therapeutic-shampoo-stubborn-itch/6809250.html?cgid=haircare-itchyscalp" xr:uid="{00000000-0004-0000-1600-000003000000}"/>
    <hyperlink ref="K6" r:id="rId5" tooltip="Go to Product: T/Gel® Therapeutic Shampoo-Original Formula" display="https://www.neutrogena.com/haircare/haircare-itchyscalp/tgel-therapeutic-shampoo-original-formula/6809200XX.html?cgid=haircare-itchyscalp" xr:uid="{00000000-0004-0000-1600-000004000000}"/>
    <hyperlink ref="K8" r:id="rId6" xr:uid="{00000000-0004-0000-1600-000005000000}"/>
    <hyperlink ref="K10" r:id="rId7" xr:uid="{00000000-0004-0000-1600-000006000000}"/>
    <hyperlink ref="K11" r:id="rId8" xr:uid="{00000000-0004-0000-1600-000007000000}"/>
    <hyperlink ref="K12" r:id="rId9" xr:uid="{00000000-0004-0000-1600-000008000000}"/>
    <hyperlink ref="K13" r:id="rId10" xr:uid="{00000000-0004-0000-1600-000009000000}"/>
    <hyperlink ref="K14" r:id="rId11" xr:uid="{00000000-0004-0000-1600-00000A000000}"/>
    <hyperlink ref="K15" r:id="rId12" xr:uid="{00000000-0004-0000-1600-00000B000000}"/>
    <hyperlink ref="K17" r:id="rId13" display="Tarsum" xr:uid="{00000000-0004-0000-1600-00000C000000}"/>
    <hyperlink ref="K19" r:id="rId14" xr:uid="{00000000-0004-0000-1600-00000D000000}"/>
    <hyperlink ref="K20" r:id="rId15" xr:uid="{00000000-0004-0000-1600-00000E000000}"/>
    <hyperlink ref="K22" r:id="rId16" xr:uid="{00000000-0004-0000-1600-00000F000000}"/>
    <hyperlink ref="K24" r:id="rId17" xr:uid="{00000000-0004-0000-1600-000010000000}"/>
    <hyperlink ref="K25" r:id="rId18" xr:uid="{00000000-0004-0000-1600-000011000000}"/>
    <hyperlink ref="K26" r:id="rId19" xr:uid="{00000000-0004-0000-1600-000012000000}"/>
    <hyperlink ref="K27" r:id="rId20" xr:uid="{00000000-0004-0000-1600-000013000000}"/>
  </hyperlinks>
  <pageMargins left="0.7" right="0.7" top="0.75" bottom="0.75" header="0.3" footer="0.3"/>
  <pageSetup orientation="portrait" r:id="rId21"/>
  <tableParts count="1">
    <tablePart r:id="rId2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J18"/>
  <sheetViews>
    <sheetView workbookViewId="0">
      <selection activeCell="F21" sqref="F21"/>
    </sheetView>
  </sheetViews>
  <sheetFormatPr defaultRowHeight="15"/>
  <cols>
    <col min="1" max="1" width="37.85546875" customWidth="1"/>
  </cols>
  <sheetData>
    <row r="1" spans="1:10" ht="15.75" thickTop="1">
      <c r="A1" s="3" t="s">
        <v>15</v>
      </c>
      <c r="B1" s="7" t="s">
        <v>18</v>
      </c>
      <c r="C1" s="103"/>
    </row>
    <row r="2" spans="1:10" ht="15.75" thickBot="1">
      <c r="B2" s="4"/>
      <c r="C2" s="103"/>
    </row>
    <row r="3" spans="1:10" ht="15.75" thickBot="1">
      <c r="A3" s="161" t="s">
        <v>1085</v>
      </c>
      <c r="B3" s="33" t="b">
        <v>0</v>
      </c>
      <c r="C3" s="103"/>
    </row>
    <row r="4" spans="1:10" ht="15.75" thickBot="1">
      <c r="A4" s="161" t="s">
        <v>1086</v>
      </c>
      <c r="B4" s="33" t="b">
        <v>0</v>
      </c>
      <c r="C4" s="103" t="b">
        <f>NOT(B4)</f>
        <v>1</v>
      </c>
    </row>
    <row r="5" spans="1:10" ht="15.75" thickBot="1">
      <c r="A5" s="161" t="s">
        <v>1087</v>
      </c>
      <c r="B5" s="33" t="b">
        <v>0</v>
      </c>
      <c r="C5" s="103" t="b">
        <f>NOT(B5)</f>
        <v>1</v>
      </c>
    </row>
    <row r="6" spans="1:10" ht="15.75" thickBot="1">
      <c r="A6" s="158" t="s">
        <v>1096</v>
      </c>
      <c r="B6" s="33" t="b">
        <v>0</v>
      </c>
      <c r="C6" s="103" t="b">
        <f>NOT(B6)</f>
        <v>1</v>
      </c>
    </row>
    <row r="7" spans="1:10" ht="15.75" thickBot="1">
      <c r="A7" s="158" t="s">
        <v>1088</v>
      </c>
      <c r="B7" s="33" t="b">
        <v>0</v>
      </c>
      <c r="C7" s="103" t="b">
        <f t="shared" ref="C7:C10" si="0">NOT(B7)</f>
        <v>1</v>
      </c>
    </row>
    <row r="8" spans="1:10" ht="15.75" thickBot="1">
      <c r="A8" s="170" t="s">
        <v>1089</v>
      </c>
      <c r="B8" s="33" t="b">
        <v>0</v>
      </c>
      <c r="C8" s="103" t="b">
        <f t="shared" si="0"/>
        <v>1</v>
      </c>
    </row>
    <row r="9" spans="1:10" ht="15.75" thickBot="1">
      <c r="A9" s="170" t="s">
        <v>1090</v>
      </c>
      <c r="B9" s="33" t="b">
        <v>0</v>
      </c>
      <c r="C9" s="103" t="b">
        <f t="shared" si="0"/>
        <v>1</v>
      </c>
    </row>
    <row r="10" spans="1:10" ht="15.75" thickBot="1">
      <c r="A10" s="170" t="s">
        <v>1091</v>
      </c>
      <c r="B10" s="33" t="b">
        <v>0</v>
      </c>
      <c r="C10" s="103" t="b">
        <f t="shared" si="0"/>
        <v>1</v>
      </c>
    </row>
    <row r="11" spans="1:10" ht="15.75" thickBot="1">
      <c r="A11" s="162" t="s">
        <v>1092</v>
      </c>
      <c r="B11" s="33" t="b">
        <v>0</v>
      </c>
      <c r="C11" s="103" t="b">
        <f>NOT(B11)</f>
        <v>1</v>
      </c>
    </row>
    <row r="12" spans="1:10" ht="15.75" thickBot="1">
      <c r="A12" s="162" t="s">
        <v>1093</v>
      </c>
      <c r="B12" s="33" t="b">
        <v>0</v>
      </c>
      <c r="C12" s="103" t="b">
        <f t="shared" ref="C12:C14" si="1">NOT(B12)</f>
        <v>1</v>
      </c>
    </row>
    <row r="13" spans="1:10" ht="15.75" thickBot="1">
      <c r="A13" s="162" t="s">
        <v>1094</v>
      </c>
      <c r="B13" s="33" t="b">
        <v>0</v>
      </c>
      <c r="C13" s="103" t="b">
        <f t="shared" si="1"/>
        <v>1</v>
      </c>
    </row>
    <row r="14" spans="1:10" ht="15.75" thickBot="1">
      <c r="A14" s="162" t="s">
        <v>1095</v>
      </c>
      <c r="B14" s="33" t="b">
        <v>0</v>
      </c>
      <c r="C14" s="103" t="b">
        <f t="shared" si="1"/>
        <v>1</v>
      </c>
      <c r="J14" t="s">
        <v>1097</v>
      </c>
    </row>
    <row r="15" spans="1:10" ht="15.75" thickBot="1">
      <c r="A15" s="55" t="s">
        <v>1100</v>
      </c>
      <c r="B15" s="33" t="b">
        <v>0</v>
      </c>
      <c r="C15" s="103" t="b">
        <f>NOT(B15)</f>
        <v>1</v>
      </c>
    </row>
    <row r="16" spans="1:10" ht="15.75" thickBot="1">
      <c r="A16" s="184" t="s">
        <v>921</v>
      </c>
      <c r="B16" s="33" t="b">
        <v>0</v>
      </c>
      <c r="C16" s="103" t="b">
        <f>NOT(B16)</f>
        <v>1</v>
      </c>
    </row>
    <row r="17" spans="1:3" ht="15.75" thickBot="1">
      <c r="A17" s="184" t="s">
        <v>1099</v>
      </c>
      <c r="B17" s="33" t="b">
        <v>0</v>
      </c>
      <c r="C17" s="103" t="b">
        <f t="shared" ref="C17:C18" si="2">NOT(B17)</f>
        <v>1</v>
      </c>
    </row>
    <row r="18" spans="1:3" ht="15.75" thickBot="1">
      <c r="A18" s="184" t="s">
        <v>919</v>
      </c>
      <c r="B18" s="33" t="b">
        <v>0</v>
      </c>
      <c r="C18" s="103" t="b">
        <f t="shared" si="2"/>
        <v>1</v>
      </c>
    </row>
  </sheetData>
  <dataValidations xWindow="319" yWindow="448" count="2">
    <dataValidation allowBlank="1" showInputMessage="1" showErrorMessage="1" prompt="Consult your physician if unsure." sqref="A3:A7" xr:uid="{00000000-0002-0000-1700-000000000000}"/>
    <dataValidation allowBlank="1" showInputMessage="1" showErrorMessage="1" prompt="Consult your pharmacist if unsure." sqref="A8:A18" xr:uid="{00000000-0002-0000-17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319" yWindow="448" count="16">
        <x14:dataValidation type="list" showInputMessage="1" showErrorMessage="1" error="Please answer as Yes or No" prompt="Products with hydrocortisone, colloidal oat, zinc, pramoxine, zinc,calamine and menthol can help sooth itchy skin." xr:uid="{00000000-0002-0000-1700-000002000000}">
          <x14:formula1>
            <xm:f>random!$A$2:$A$3</xm:f>
          </x14:formula1>
          <xm:sqref>B3</xm:sqref>
        </x14:dataValidation>
        <x14:dataValidation type="list" showInputMessage="1" showErrorMessage="1" error="Please answer as Yes or No" prompt="Severe dry skin may require products with urea or other humectants which help draw water back into the skin. Should select humectant along with this option." xr:uid="{00000000-0002-0000-1700-000003000000}">
          <x14:formula1>
            <xm:f>random!$A$2:$A$3</xm:f>
          </x14:formula1>
          <xm:sqref>B5</xm:sqref>
        </x14:dataValidation>
        <x14:dataValidation type="list" showInputMessage="1" showErrorMessage="1" error="Please answer as Yes or No" prompt="Occlusive products or ointments may block skin pores and worsen acne. Such products should be avoided in those prone to acne. Use of non-comedogenic formulations is preferred in the presence of acne. ****Note, may limit options available***" xr:uid="{00000000-0002-0000-1700-000004000000}">
          <x14:formula1>
            <xm:f>random!$A$2:$A$3</xm:f>
          </x14:formula1>
          <xm:sqref>B6</xm:sqref>
        </x14:dataValidation>
        <x14:dataValidation type="list" showInputMessage="1" showErrorMessage="1" error="Please answer as Yes or No" prompt="Those with sensitive skin should consider more gentle or hypoallergic options to treat dry skin. ****Note, may limit options available***" xr:uid="{00000000-0002-0000-1700-000005000000}">
          <x14:formula1>
            <xm:f>random!$A$2:$A$3</xm:f>
          </x14:formula1>
          <xm:sqref>B7</xm:sqref>
        </x14:dataValidation>
        <x14:dataValidation type="list" showInputMessage="1" showErrorMessage="1" error="Please answer as Yes or No" prompt="Avoid fragrances or select fragrance-free products should you have sensitivity or irritation when exposed to fragrances. ****Note, may limit options available***" xr:uid="{00000000-0002-0000-1700-000006000000}">
          <x14:formula1>
            <xm:f>random!$A$2:$A$3</xm:f>
          </x14:formula1>
          <xm:sqref>B8</xm:sqref>
        </x14:dataValidation>
        <x14:dataValidation type="list" showInputMessage="1" showErrorMessage="1" error="Please answer as Yes or No" prompt="Those who are sensitive to wool or experience irritation with use of wool products should avoid products which contain lanolin. ****Note, may limit options available***" xr:uid="{00000000-0002-0000-1700-000007000000}">
          <x14:formula1>
            <xm:f>random!$A$2:$A$3</xm:f>
          </x14:formula1>
          <xm:sqref>B9</xm:sqref>
        </x14:dataValidation>
        <x14:dataValidation type="list" showInputMessage="1" showErrorMessage="1" error="Please answer as Yes or No" prompt="Those who are sensitive or experience irritation with parabens should select paraben-free products. ****Note, may limit options available***" xr:uid="{00000000-0002-0000-1700-000008000000}">
          <x14:formula1>
            <xm:f>random!$A$2:$A$3</xm:f>
          </x14:formula1>
          <xm:sqref>B10</xm:sqref>
        </x14:dataValidation>
        <x14:dataValidation type="list" showInputMessage="1" showErrorMessage="1" error="Please answer as Yes or No" prompt="Occlusives block skin surface and prevent further water loss. Generally not as well tolerated on facial skin or in hot/humid climate due to greasy feel. May be less cosmetically appealing and more difficult to spread/remove." xr:uid="{00000000-0002-0000-1700-000009000000}">
          <x14:formula1>
            <xm:f>random!$A$2:$A$3</xm:f>
          </x14:formula1>
          <xm:sqref>B13</xm:sqref>
        </x14:dataValidation>
        <x14:dataValidation type="list" showInputMessage="1" showErrorMessage="1" error="Please answer as Yes or No" prompt="Humectants help retain and draw moisture. Should be used in combination with occlusive. Urea and lactic acid should be used for severe dry skin and help remove dead skin. May cause stinging/burning on open lesions." xr:uid="{00000000-0002-0000-1700-00000A000000}">
          <x14:formula1>
            <xm:f>random!$A$2:$A$3</xm:f>
          </x14:formula1>
          <xm:sqref>B12</xm:sqref>
        </x14:dataValidation>
        <x14:dataValidation type="list" showInputMessage="1" showErrorMessage="1" error="Please answer as Yes or No" prompt="Emollients smoothen and soften the skin. Usually combined with occlusive to decrease water loss. " xr:uid="{00000000-0002-0000-1700-00000B000000}">
          <x14:formula1>
            <xm:f>random!$A$2:$A$3</xm:f>
          </x14:formula1>
          <xm:sqref>B11</xm:sqref>
        </x14:dataValidation>
        <x14:dataValidation type="list" showInputMessage="1" showErrorMessage="1" error="Please answer as Yes or No" prompt="Bath oils provide oil layer on skin and prevent water evaporation. Best applied after bathing. Can increase risk of slipping and falls if applied to bath water or feet." xr:uid="{00000000-0002-0000-1700-00000C000000}">
          <x14:formula1>
            <xm:f>random!$A$2:$A$3</xm:f>
          </x14:formula1>
          <xm:sqref>B14</xm:sqref>
        </x14:dataValidation>
        <x14:dataValidation type="list" showInputMessage="1" showErrorMessage="1" error="Please answer as Yes or No" prompt="Non-prescription dry skin products may require 3-4 daily applications for 7-10 days for relief. May consider use of more than 1 product formulation or product with urea/lactic acid for severe dry skin. " xr:uid="{00000000-0002-0000-1700-00000D000000}">
          <x14:formula1>
            <xm:f>random!$A$2:$A$3</xm:f>
          </x14:formula1>
          <xm:sqref>B4</xm:sqref>
        </x14:dataValidation>
        <x14:dataValidation type="list" showInputMessage="1" showErrorMessage="1" error="Please answer as Yes or No" prompt="Ointments provide most barrier protection and minimize water loss. Generally longer acting but greasy feel, difficult to spread and less cosmetically appealing. Not ideal for facial skin." xr:uid="{00000000-0002-0000-1700-00000E000000}">
          <x14:formula1>
            <xm:f>random!$A$2:$A$3</xm:f>
          </x14:formula1>
          <xm:sqref>B17</xm:sqref>
        </x14:dataValidation>
        <x14:dataValidation type="list" showInputMessage="1" showErrorMessage="1" error="Please answer as Yes or No" prompt="Creams help prevent moisture evaporation and provide better barrier protection than lotions. More easily applied, spread and cosmetically appealing than ointments but shorter acting and less effective." xr:uid="{00000000-0002-0000-1700-00000F000000}">
          <x14:formula1>
            <xm:f>random!$A$2:$A$3</xm:f>
          </x14:formula1>
          <xm:sqref>B16</xm:sqref>
        </x14:dataValidation>
        <x14:dataValidation type="list" showInputMessage="1" showErrorMessage="1" error="Please answer as Yes or No" prompt="Lotions are easiest to apply/spread and well absorbed by skin. Cosmetically appealing but shorter acting than creams and ointments." xr:uid="{00000000-0002-0000-1700-000010000000}">
          <x14:formula1>
            <xm:f>random!$A$2:$A$3</xm:f>
          </x14:formula1>
          <xm:sqref>B18</xm:sqref>
        </x14:dataValidation>
        <x14:dataValidation type="list" showInputMessage="1" showErrorMessage="1" error="Please answer as Yes or No" prompt="Colloidal oat sooth itchy dry skin and can help restore barrier properties of the skin. May leave skin with an oily feel after application. ***Colloidal oat are a type of bath oil, please select both*** " xr:uid="{00000000-0002-0000-1700-000011000000}">
          <x14:formula1>
            <xm:f>random!$A$2:$A$3</xm:f>
          </x14:formula1>
          <xm:sqref>B15</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T100"/>
  <sheetViews>
    <sheetView workbookViewId="0">
      <selection activeCell="D17" sqref="D17"/>
    </sheetView>
  </sheetViews>
  <sheetFormatPr defaultRowHeight="15"/>
  <cols>
    <col min="1" max="1" width="64.140625" customWidth="1"/>
    <col min="2" max="2" width="11.85546875" customWidth="1"/>
    <col min="3" max="3" width="12.7109375" customWidth="1"/>
    <col min="4" max="4" width="12.42578125" customWidth="1"/>
    <col min="5" max="9" width="9.85546875" customWidth="1"/>
    <col min="10" max="11" width="11" customWidth="1"/>
    <col min="12" max="19" width="12" customWidth="1"/>
    <col min="20" max="20" width="80.7109375" customWidth="1"/>
  </cols>
  <sheetData>
    <row r="1" spans="1:20">
      <c r="A1" s="70" t="s">
        <v>1248</v>
      </c>
      <c r="B1" s="124" t="s">
        <v>1014</v>
      </c>
      <c r="C1" s="124" t="s">
        <v>1015</v>
      </c>
      <c r="D1" s="124" t="s">
        <v>1016</v>
      </c>
      <c r="E1" s="124" t="s">
        <v>1017</v>
      </c>
      <c r="F1" s="124" t="s">
        <v>1018</v>
      </c>
      <c r="G1" s="124" t="s">
        <v>947</v>
      </c>
      <c r="H1" s="124" t="s">
        <v>636</v>
      </c>
      <c r="I1" s="124" t="s">
        <v>1076</v>
      </c>
      <c r="J1" s="204" t="s">
        <v>81</v>
      </c>
      <c r="K1" s="204" t="s">
        <v>2022</v>
      </c>
      <c r="L1" t="s">
        <v>923</v>
      </c>
      <c r="M1" t="s">
        <v>595</v>
      </c>
      <c r="N1" t="s">
        <v>812</v>
      </c>
      <c r="O1" t="s">
        <v>1019</v>
      </c>
      <c r="P1" s="204" t="s">
        <v>1020</v>
      </c>
      <c r="Q1" s="204" t="s">
        <v>1098</v>
      </c>
      <c r="R1" s="204" t="s">
        <v>1027</v>
      </c>
      <c r="S1" t="s">
        <v>688</v>
      </c>
      <c r="T1" t="s">
        <v>381</v>
      </c>
    </row>
    <row r="2" spans="1:20">
      <c r="A2" t="b">
        <f>IF(Table152516[[#This Row],[Column11]],Table152516[[#This Row],[Column12]])</f>
        <v>0</v>
      </c>
      <c r="B2" s="20" t="b">
        <f>AND('Dry Skin Criteria'!B13)</f>
        <v>0</v>
      </c>
      <c r="C2" s="20" t="b">
        <f>AND('Dry Skin Criteria'!B12)</f>
        <v>0</v>
      </c>
      <c r="D2" s="20" t="b">
        <f>AND('Dry Skin Criteria'!B11)</f>
        <v>0</v>
      </c>
      <c r="E2" s="20" t="b">
        <f>AND('Dry Skin Criteria'!B14)</f>
        <v>0</v>
      </c>
      <c r="F2" s="20" t="b">
        <f>AND('Dry Skin Criteria'!B15,'Dry Skin Criteria'!B3)</f>
        <v>0</v>
      </c>
      <c r="G2" s="17" t="b">
        <f>AND('Dry Skin Criteria'!C5)</f>
        <v>1</v>
      </c>
      <c r="H2" s="17" t="b">
        <f>OR('Dry Skin Criteria'!B9:C9)</f>
        <v>1</v>
      </c>
      <c r="I2" s="17" t="b">
        <f>OR('Dry Skin Criteria'!B10:C10)</f>
        <v>1</v>
      </c>
      <c r="J2" s="17" t="b">
        <f>AND('Dry Skin Criteria'!C5)</f>
        <v>1</v>
      </c>
      <c r="K2" s="17"/>
      <c r="L2" s="20" t="b">
        <f>AND('Dry Skin Criteria'!B16,'Dry Skin Criteria'!C17:C18)</f>
        <v>0</v>
      </c>
      <c r="M2" s="17"/>
      <c r="N2" s="17"/>
      <c r="O2" s="17"/>
      <c r="P2" s="17" t="b">
        <f>AND('Dry Skin Criteria'!C7)</f>
        <v>1</v>
      </c>
      <c r="Q2" s="17" t="b">
        <f>AND('Dry Skin Criteria'!C8)</f>
        <v>1</v>
      </c>
      <c r="R2" s="17" t="b">
        <f>AND('Dry Skin Criteria'!C6)</f>
        <v>1</v>
      </c>
      <c r="S2" t="b">
        <f>AND(Table152516[[#This Row],[Colloidal Oat]:[Non-comedogenic]],OR(Table152516[[#This Row],[Occlusive]:[Bath Oil]]))</f>
        <v>0</v>
      </c>
      <c r="T2" s="28" t="s">
        <v>696</v>
      </c>
    </row>
    <row r="3" spans="1:20">
      <c r="A3" t="b">
        <f>IF(Table152516[[#This Row],[Column11]],Table152516[[#This Row],[Column12]])</f>
        <v>0</v>
      </c>
      <c r="B3" s="20" t="b">
        <f>B2</f>
        <v>0</v>
      </c>
      <c r="C3" s="20" t="b">
        <f>C2</f>
        <v>0</v>
      </c>
      <c r="D3" s="20" t="b">
        <f>D2</f>
        <v>0</v>
      </c>
      <c r="E3" s="17"/>
      <c r="F3" s="17" t="b">
        <f>AND('Dry Skin Criteria'!C15)</f>
        <v>1</v>
      </c>
      <c r="G3" s="106"/>
      <c r="H3" s="17" t="b">
        <f>H2</f>
        <v>1</v>
      </c>
      <c r="I3" s="20" t="b">
        <f>AND('Dry Skin Criteria'!C10)</f>
        <v>1</v>
      </c>
      <c r="J3" s="20" t="b">
        <f>AND('Dry Skin Criteria'!B3,'Dry Skin Criteria'!B5,'Dry Skin Criteria'!C4)</f>
        <v>0</v>
      </c>
      <c r="K3" s="17"/>
      <c r="L3" s="20" t="b">
        <f>L2</f>
        <v>0</v>
      </c>
      <c r="M3" s="17"/>
      <c r="N3" s="17"/>
      <c r="O3" s="17"/>
      <c r="P3" s="17" t="b">
        <f>P2</f>
        <v>1</v>
      </c>
      <c r="Q3" s="20" t="b">
        <f>OR('Dry Skin Criteria'!B8:C8)</f>
        <v>1</v>
      </c>
      <c r="R3" s="17" t="b">
        <f>R2</f>
        <v>1</v>
      </c>
      <c r="S3" t="b">
        <f>AND(Table152516[[#This Row],[Colloidal Oat]:[Non-comedogenic]],OR(Table152516[[#This Row],[Occlusive]:[Bath Oil]]))</f>
        <v>0</v>
      </c>
      <c r="T3" s="28" t="s">
        <v>697</v>
      </c>
    </row>
    <row r="4" spans="1:20">
      <c r="A4" t="b">
        <f>IF(Table152516[[#This Row],[Column11]],Table152516[[#This Row],[Column12]])</f>
        <v>0</v>
      </c>
      <c r="B4" s="20" t="b">
        <f>B2</f>
        <v>0</v>
      </c>
      <c r="C4" s="20" t="b">
        <f>C2</f>
        <v>0</v>
      </c>
      <c r="D4" s="20" t="b">
        <f>D2</f>
        <v>0</v>
      </c>
      <c r="E4" s="17"/>
      <c r="F4" s="17" t="b">
        <f>F3</f>
        <v>1</v>
      </c>
      <c r="G4" s="106"/>
      <c r="H4" s="17" t="b">
        <f>H2</f>
        <v>1</v>
      </c>
      <c r="I4" s="20" t="b">
        <f>I3</f>
        <v>1</v>
      </c>
      <c r="J4" s="20" t="b">
        <f>J3</f>
        <v>0</v>
      </c>
      <c r="K4" s="17"/>
      <c r="L4" s="20" t="b">
        <f>L2</f>
        <v>0</v>
      </c>
      <c r="M4" s="17"/>
      <c r="N4" s="17"/>
      <c r="O4" s="17"/>
      <c r="P4" s="17" t="b">
        <f>P2</f>
        <v>1</v>
      </c>
      <c r="Q4" s="20" t="b">
        <f>Q3</f>
        <v>1</v>
      </c>
      <c r="R4" s="17" t="b">
        <f>R2</f>
        <v>1</v>
      </c>
      <c r="S4" t="b">
        <f>AND(Table152516[[#This Row],[Colloidal Oat]:[Non-comedogenic]],OR(Table152516[[#This Row],[Occlusive]:[Bath Oil]]))</f>
        <v>0</v>
      </c>
      <c r="T4" s="28" t="s">
        <v>698</v>
      </c>
    </row>
    <row r="5" spans="1:20">
      <c r="A5" t="b">
        <f>IF(Table152516[[#This Row],[Column11]],Table152516[[#This Row],[Column12]])</f>
        <v>0</v>
      </c>
      <c r="B5" s="17"/>
      <c r="C5" s="20" t="b">
        <f>C2</f>
        <v>0</v>
      </c>
      <c r="D5" s="17"/>
      <c r="E5" s="17"/>
      <c r="F5" s="17" t="b">
        <f>F3</f>
        <v>1</v>
      </c>
      <c r="G5" s="17" t="b">
        <f>G2</f>
        <v>1</v>
      </c>
      <c r="H5" s="17" t="b">
        <f>H2</f>
        <v>1</v>
      </c>
      <c r="I5" s="20" t="b">
        <f>I3</f>
        <v>1</v>
      </c>
      <c r="J5" s="17" t="b">
        <f>J2</f>
        <v>1</v>
      </c>
      <c r="K5" s="20" t="b">
        <f>AND('Dry Skin Criteria'!B3)</f>
        <v>0</v>
      </c>
      <c r="L5" s="17"/>
      <c r="M5" s="17"/>
      <c r="N5" s="20" t="b">
        <f>AND('Dry Skin Criteria'!B18,'Dry Skin Criteria'!C16:C17)</f>
        <v>0</v>
      </c>
      <c r="O5" s="17"/>
      <c r="P5" s="17" t="b">
        <f>P2</f>
        <v>1</v>
      </c>
      <c r="Q5" s="17" t="b">
        <f>Q2</f>
        <v>1</v>
      </c>
      <c r="R5" s="17" t="b">
        <f>R2</f>
        <v>1</v>
      </c>
      <c r="S5" t="b">
        <f>AND(Table152516[[#This Row],[Colloidal Oat]:[Non-comedogenic]],OR(Table152516[[#This Row],[Occlusive]:[Bath Oil]]))</f>
        <v>0</v>
      </c>
      <c r="T5" s="28" t="s">
        <v>699</v>
      </c>
    </row>
    <row r="6" spans="1:20">
      <c r="A6" t="b">
        <f>IF(Table152516[[#This Row],[Column11]],Table152516[[#This Row],[Column12]])</f>
        <v>0</v>
      </c>
      <c r="B6" s="20" t="b">
        <f t="shared" ref="B6:J6" si="0">B2</f>
        <v>0</v>
      </c>
      <c r="C6" s="20" t="b">
        <f t="shared" si="0"/>
        <v>0</v>
      </c>
      <c r="D6" s="20" t="b">
        <f t="shared" si="0"/>
        <v>0</v>
      </c>
      <c r="E6" s="20" t="b">
        <f t="shared" si="0"/>
        <v>0</v>
      </c>
      <c r="F6" s="20" t="b">
        <f t="shared" si="0"/>
        <v>0</v>
      </c>
      <c r="G6" s="17" t="b">
        <f t="shared" si="0"/>
        <v>1</v>
      </c>
      <c r="H6" s="17" t="b">
        <f t="shared" si="0"/>
        <v>1</v>
      </c>
      <c r="I6" s="17" t="b">
        <f t="shared" si="0"/>
        <v>1</v>
      </c>
      <c r="J6" s="17" t="b">
        <f t="shared" si="0"/>
        <v>1</v>
      </c>
      <c r="K6" s="17"/>
      <c r="L6" s="17"/>
      <c r="M6" s="20" t="b">
        <f>AND('Dry Skin Criteria'!B17,'Dry Skin Criteria'!C16,'Dry Skin Criteria'!C18)</f>
        <v>0</v>
      </c>
      <c r="N6" s="17"/>
      <c r="O6" s="17"/>
      <c r="P6" s="17" t="b">
        <f>P2</f>
        <v>1</v>
      </c>
      <c r="Q6" s="20" t="b">
        <f>Q3</f>
        <v>1</v>
      </c>
      <c r="R6" s="17" t="b">
        <f>R2</f>
        <v>1</v>
      </c>
      <c r="S6" t="b">
        <f>AND(Table152516[[#This Row],[Colloidal Oat]:[Non-comedogenic]],OR(Table152516[[#This Row],[Occlusive]:[Bath Oil]]))</f>
        <v>0</v>
      </c>
      <c r="T6" s="28" t="s">
        <v>700</v>
      </c>
    </row>
    <row r="7" spans="1:20">
      <c r="A7" t="b">
        <f>IF(Table152516[[#This Row],[Column11]],Table152516[[#This Row],[Column12]])</f>
        <v>0</v>
      </c>
      <c r="B7" s="20" t="b">
        <f t="shared" ref="B7:J7" si="1">B2</f>
        <v>0</v>
      </c>
      <c r="C7" s="20" t="b">
        <f t="shared" si="1"/>
        <v>0</v>
      </c>
      <c r="D7" s="20" t="b">
        <f t="shared" si="1"/>
        <v>0</v>
      </c>
      <c r="E7" s="20" t="b">
        <f t="shared" si="1"/>
        <v>0</v>
      </c>
      <c r="F7" s="20" t="b">
        <f t="shared" si="1"/>
        <v>0</v>
      </c>
      <c r="G7" s="17" t="b">
        <f t="shared" si="1"/>
        <v>1</v>
      </c>
      <c r="H7" s="17" t="b">
        <f t="shared" si="1"/>
        <v>1</v>
      </c>
      <c r="I7" s="17" t="b">
        <f t="shared" si="1"/>
        <v>1</v>
      </c>
      <c r="J7" s="17" t="b">
        <f t="shared" si="1"/>
        <v>1</v>
      </c>
      <c r="K7" s="17"/>
      <c r="L7" s="20" t="b">
        <f>L2</f>
        <v>0</v>
      </c>
      <c r="M7" s="17"/>
      <c r="N7" s="17"/>
      <c r="O7" s="20" t="b">
        <f>AND('Dry Skin Criteria'!B17,'Dry Skin Criteria'!C16,'Dry Skin Criteria'!C18)</f>
        <v>0</v>
      </c>
      <c r="P7" s="20" t="b">
        <f>OR('Dry Skin Criteria'!C7,'Dry Skin Criteria'!B7)</f>
        <v>1</v>
      </c>
      <c r="Q7" s="20" t="b">
        <f>Q3</f>
        <v>1</v>
      </c>
      <c r="R7" s="17" t="b">
        <f>R2</f>
        <v>1</v>
      </c>
      <c r="S7" t="b">
        <f>AND(Table152516[[#This Row],[Colloidal Oat]:[Non-comedogenic]],OR(Table152516[[#This Row],[Occlusive]:[Bath Oil]]))</f>
        <v>0</v>
      </c>
      <c r="T7" s="28" t="s">
        <v>701</v>
      </c>
    </row>
    <row r="8" spans="1:20">
      <c r="A8" t="b">
        <f>IF(Table152516[[#This Row],[Column11]],Table152516[[#This Row],[Column12]])</f>
        <v>0</v>
      </c>
      <c r="B8" s="20" t="b">
        <f>B2</f>
        <v>0</v>
      </c>
      <c r="C8" s="17"/>
      <c r="D8" s="20" t="b">
        <f>D2</f>
        <v>0</v>
      </c>
      <c r="E8" s="17"/>
      <c r="F8" s="17" t="b">
        <f>F3</f>
        <v>1</v>
      </c>
      <c r="G8" s="17" t="b">
        <f>G2</f>
        <v>1</v>
      </c>
      <c r="H8" s="20" t="b">
        <f>AND('Dry Skin Criteria'!C9)</f>
        <v>1</v>
      </c>
      <c r="I8" s="17" t="b">
        <f>I2</f>
        <v>1</v>
      </c>
      <c r="J8" s="17" t="b">
        <f>J2</f>
        <v>1</v>
      </c>
      <c r="K8" s="17"/>
      <c r="L8" s="20" t="b">
        <f>L2</f>
        <v>0</v>
      </c>
      <c r="M8" s="17"/>
      <c r="N8" s="17"/>
      <c r="O8" s="17"/>
      <c r="P8" s="17" t="b">
        <f>P2</f>
        <v>1</v>
      </c>
      <c r="Q8" s="17" t="b">
        <f>Q2</f>
        <v>1</v>
      </c>
      <c r="R8" s="17" t="b">
        <f>R2</f>
        <v>1</v>
      </c>
      <c r="S8" t="b">
        <f>AND(Table152516[[#This Row],[Colloidal Oat]:[Non-comedogenic]],OR(Table152516[[#This Row],[Occlusive]:[Bath Oil]]))</f>
        <v>0</v>
      </c>
      <c r="T8" s="28" t="s">
        <v>702</v>
      </c>
    </row>
    <row r="9" spans="1:20">
      <c r="A9" s="16" t="e">
        <f>IF(Table152516[[#This Row],[Column11]],Table152516[[#This Row],[Column12]])</f>
        <v>#VALUE!</v>
      </c>
      <c r="B9" s="16"/>
      <c r="C9" s="16"/>
      <c r="D9" s="16"/>
      <c r="E9" s="16"/>
      <c r="F9" s="16"/>
      <c r="G9" s="16"/>
      <c r="H9" s="16"/>
      <c r="I9" s="16"/>
      <c r="J9" s="16"/>
      <c r="K9" s="16"/>
      <c r="L9" s="16"/>
      <c r="M9" s="16"/>
      <c r="N9" s="16"/>
      <c r="O9" s="16"/>
      <c r="P9" s="16"/>
      <c r="Q9" s="16"/>
      <c r="R9" s="16"/>
      <c r="S9" s="16" t="e">
        <f>AND(Table152516[[#This Row],[Colloidal Oat]:[Non-comedogenic]],OR(Table152516[[#This Row],[Occlusive]:[Bath Oil]]))</f>
        <v>#VALUE!</v>
      </c>
      <c r="T9" s="16"/>
    </row>
    <row r="10" spans="1:20">
      <c r="A10" t="b">
        <f>IF(Table152516[[#This Row],[Column11]],Table152516[[#This Row],[Column12]])</f>
        <v>0</v>
      </c>
      <c r="B10" s="20" t="b">
        <f>B2</f>
        <v>0</v>
      </c>
      <c r="C10" s="20" t="b">
        <f>C2</f>
        <v>0</v>
      </c>
      <c r="D10" s="20" t="b">
        <f>D2</f>
        <v>0</v>
      </c>
      <c r="E10" s="17"/>
      <c r="F10" s="17" t="b">
        <f>F3</f>
        <v>1</v>
      </c>
      <c r="G10" s="106"/>
      <c r="H10" s="17" t="b">
        <f>H2</f>
        <v>1</v>
      </c>
      <c r="I10" s="17" t="b">
        <f>I2</f>
        <v>1</v>
      </c>
      <c r="J10" s="20" t="b">
        <f>J3</f>
        <v>0</v>
      </c>
      <c r="K10" s="17"/>
      <c r="L10" s="20" t="b">
        <f>L2</f>
        <v>0</v>
      </c>
      <c r="M10" s="17"/>
      <c r="N10" s="17"/>
      <c r="O10" s="17"/>
      <c r="P10" s="20" t="b">
        <f>P7</f>
        <v>1</v>
      </c>
      <c r="Q10" s="20" t="b">
        <f>Q3</f>
        <v>1</v>
      </c>
      <c r="R10" s="17" t="b">
        <f>R2</f>
        <v>1</v>
      </c>
      <c r="S10" t="b">
        <f>AND(Table152516[[#This Row],[Colloidal Oat]:[Non-comedogenic]],OR(Table152516[[#This Row],[Occlusive]:[Bath Oil]]))</f>
        <v>0</v>
      </c>
      <c r="T10" s="29" t="s">
        <v>710</v>
      </c>
    </row>
    <row r="11" spans="1:20">
      <c r="A11" t="b">
        <f>IF(Table152516[[#This Row],[Column11]],Table152516[[#This Row],[Column12]])</f>
        <v>0</v>
      </c>
      <c r="B11" s="17"/>
      <c r="C11" s="17"/>
      <c r="D11" s="20" t="b">
        <f>D2</f>
        <v>0</v>
      </c>
      <c r="E11" s="17"/>
      <c r="F11" s="17" t="b">
        <f>F3</f>
        <v>1</v>
      </c>
      <c r="G11" s="17" t="b">
        <f>G2</f>
        <v>1</v>
      </c>
      <c r="H11" s="17" t="b">
        <f>H2</f>
        <v>1</v>
      </c>
      <c r="I11" s="17" t="b">
        <f>I2</f>
        <v>1</v>
      </c>
      <c r="J11" s="17" t="b">
        <f>J2</f>
        <v>1</v>
      </c>
      <c r="K11" s="20" t="b">
        <f>K5</f>
        <v>0</v>
      </c>
      <c r="L11" s="20" t="b">
        <f>L2</f>
        <v>0</v>
      </c>
      <c r="M11" s="17"/>
      <c r="N11" s="17"/>
      <c r="O11" s="17"/>
      <c r="P11" s="17" t="b">
        <f>P2</f>
        <v>1</v>
      </c>
      <c r="Q11" s="20" t="b">
        <f>Q3</f>
        <v>1</v>
      </c>
      <c r="R11" s="17" t="b">
        <f>R2</f>
        <v>1</v>
      </c>
      <c r="S11" t="b">
        <f>AND(Table152516[[#This Row],[Colloidal Oat]:[Non-comedogenic]],OR(Table152516[[#This Row],[Occlusive]:[Bath Oil]]))</f>
        <v>0</v>
      </c>
      <c r="T11" s="29" t="s">
        <v>711</v>
      </c>
    </row>
    <row r="12" spans="1:20">
      <c r="A12" t="b">
        <f>IF(Table152516[[#This Row],[Column11]],Table152516[[#This Row],[Column12]])</f>
        <v>0</v>
      </c>
      <c r="B12" s="20" t="b">
        <f>B2</f>
        <v>0</v>
      </c>
      <c r="C12" s="17"/>
      <c r="D12" s="17"/>
      <c r="E12" s="17"/>
      <c r="F12" s="17" t="b">
        <f>F3</f>
        <v>1</v>
      </c>
      <c r="G12" s="17" t="b">
        <f>G2</f>
        <v>1</v>
      </c>
      <c r="H12" s="17" t="b">
        <f>H2</f>
        <v>1</v>
      </c>
      <c r="I12" s="17" t="b">
        <f>I2</f>
        <v>1</v>
      </c>
      <c r="J12" s="17" t="b">
        <f>J2</f>
        <v>1</v>
      </c>
      <c r="K12" s="20" t="b">
        <f>K5</f>
        <v>0</v>
      </c>
      <c r="L12" s="17"/>
      <c r="M12" s="17"/>
      <c r="N12" s="20" t="b">
        <f>N5</f>
        <v>0</v>
      </c>
      <c r="O12" s="17"/>
      <c r="P12" s="17" t="b">
        <f>P2</f>
        <v>1</v>
      </c>
      <c r="Q12" s="20" t="b">
        <f>Q3</f>
        <v>1</v>
      </c>
      <c r="R12" s="17" t="b">
        <f>R2</f>
        <v>1</v>
      </c>
      <c r="S12" t="b">
        <f>AND(Table152516[[#This Row],[Colloidal Oat]:[Non-comedogenic]],OR(Table152516[[#This Row],[Occlusive]:[Bath Oil]]))</f>
        <v>0</v>
      </c>
      <c r="T12" s="29" t="s">
        <v>716</v>
      </c>
    </row>
    <row r="13" spans="1:20">
      <c r="A13" t="b">
        <f>IF(Table152516[[#This Row],[Column11]],Table152516[[#This Row],[Column12]])</f>
        <v>0</v>
      </c>
      <c r="B13" s="17"/>
      <c r="C13" s="17"/>
      <c r="D13" s="20" t="b">
        <f>D2</f>
        <v>0</v>
      </c>
      <c r="E13" s="17"/>
      <c r="F13" s="17" t="b">
        <f>F3</f>
        <v>1</v>
      </c>
      <c r="G13" s="17" t="b">
        <f>G2</f>
        <v>1</v>
      </c>
      <c r="H13" s="17" t="b">
        <f>H2</f>
        <v>1</v>
      </c>
      <c r="I13" s="17" t="b">
        <f>I2</f>
        <v>1</v>
      </c>
      <c r="J13" s="17" t="b">
        <f>J2</f>
        <v>1</v>
      </c>
      <c r="K13" s="20" t="b">
        <f>K5</f>
        <v>0</v>
      </c>
      <c r="L13" s="20" t="b">
        <f>L2</f>
        <v>0</v>
      </c>
      <c r="M13" s="17"/>
      <c r="N13" s="17"/>
      <c r="O13" s="17"/>
      <c r="P13" s="17" t="b">
        <f>P2</f>
        <v>1</v>
      </c>
      <c r="Q13" s="17" t="b">
        <f>Q2</f>
        <v>1</v>
      </c>
      <c r="R13" s="17" t="b">
        <f>R2</f>
        <v>1</v>
      </c>
      <c r="S13" t="b">
        <f>AND(Table152516[[#This Row],[Colloidal Oat]:[Non-comedogenic]],OR(Table152516[[#This Row],[Occlusive]:[Bath Oil]]))</f>
        <v>0</v>
      </c>
      <c r="T13" s="29" t="s">
        <v>717</v>
      </c>
    </row>
    <row r="14" spans="1:20">
      <c r="A14" t="b">
        <f>IF(Table152516[[#This Row],[Column11]],Table152516[[#This Row],[Column12]])</f>
        <v>0</v>
      </c>
      <c r="B14" s="17"/>
      <c r="C14" s="17"/>
      <c r="D14" s="20" t="b">
        <f>D2</f>
        <v>0</v>
      </c>
      <c r="E14" s="17"/>
      <c r="F14" s="17" t="b">
        <f>F3</f>
        <v>1</v>
      </c>
      <c r="G14" s="17" t="b">
        <f>G2</f>
        <v>1</v>
      </c>
      <c r="H14" s="17" t="b">
        <f>H2</f>
        <v>1</v>
      </c>
      <c r="I14" s="17" t="b">
        <f>I2</f>
        <v>1</v>
      </c>
      <c r="J14" s="17" t="b">
        <f>J2</f>
        <v>1</v>
      </c>
      <c r="K14" s="17"/>
      <c r="L14" s="20" t="b">
        <f>L2</f>
        <v>0</v>
      </c>
      <c r="M14" s="17"/>
      <c r="N14" s="17"/>
      <c r="O14" s="17"/>
      <c r="P14" s="17" t="b">
        <f>P2</f>
        <v>1</v>
      </c>
      <c r="Q14" s="17" t="b">
        <f>Q2</f>
        <v>1</v>
      </c>
      <c r="R14" s="17" t="b">
        <f>R2</f>
        <v>1</v>
      </c>
      <c r="S14" t="b">
        <f>AND(Table152516[[#This Row],[Colloidal Oat]:[Non-comedogenic]],OR(Table152516[[#This Row],[Occlusive]:[Bath Oil]]))</f>
        <v>0</v>
      </c>
      <c r="T14" s="29" t="s">
        <v>718</v>
      </c>
    </row>
    <row r="15" spans="1:20">
      <c r="A15" t="b">
        <f>IF(Table152516[[#This Row],[Column11]],Table152516[[#This Row],[Column12]])</f>
        <v>0</v>
      </c>
      <c r="B15" s="17"/>
      <c r="C15" s="17"/>
      <c r="D15" s="20" t="b">
        <f>D2</f>
        <v>0</v>
      </c>
      <c r="E15" s="17"/>
      <c r="F15" s="17" t="b">
        <f>F3</f>
        <v>1</v>
      </c>
      <c r="G15" s="17" t="b">
        <f>G2</f>
        <v>1</v>
      </c>
      <c r="H15" s="17" t="b">
        <f>H2</f>
        <v>1</v>
      </c>
      <c r="I15" s="17" t="b">
        <f>I2</f>
        <v>1</v>
      </c>
      <c r="J15" s="17" t="b">
        <f>J2</f>
        <v>1</v>
      </c>
      <c r="K15" s="20" t="b">
        <f>K5</f>
        <v>0</v>
      </c>
      <c r="L15" s="17"/>
      <c r="M15" s="17"/>
      <c r="N15" s="20" t="b">
        <f>N5</f>
        <v>0</v>
      </c>
      <c r="O15" s="17"/>
      <c r="P15" s="17" t="b">
        <f>P2</f>
        <v>1</v>
      </c>
      <c r="Q15" s="17" t="b">
        <f>Q2</f>
        <v>1</v>
      </c>
      <c r="R15" s="17" t="b">
        <f>R2</f>
        <v>1</v>
      </c>
      <c r="S15" t="b">
        <f>AND(Table152516[[#This Row],[Colloidal Oat]:[Non-comedogenic]],OR(Table152516[[#This Row],[Occlusive]:[Bath Oil]]))</f>
        <v>0</v>
      </c>
      <c r="T15" s="29" t="s">
        <v>719</v>
      </c>
    </row>
    <row r="16" spans="1:20">
      <c r="A16" t="b">
        <f>IF(Table152516[[#This Row],[Column11]],Table152516[[#This Row],[Column12]])</f>
        <v>0</v>
      </c>
      <c r="B16" s="17"/>
      <c r="C16" s="17"/>
      <c r="D16" s="20" t="b">
        <f>D2</f>
        <v>0</v>
      </c>
      <c r="E16" s="17"/>
      <c r="F16" s="17" t="b">
        <f>F3</f>
        <v>1</v>
      </c>
      <c r="G16" s="17" t="b">
        <f>G2</f>
        <v>1</v>
      </c>
      <c r="H16" s="17" t="b">
        <f>H2</f>
        <v>1</v>
      </c>
      <c r="I16" s="17" t="b">
        <f>I2</f>
        <v>1</v>
      </c>
      <c r="J16" s="17" t="b">
        <f>J2</f>
        <v>1</v>
      </c>
      <c r="K16" s="20" t="b">
        <f>K5</f>
        <v>0</v>
      </c>
      <c r="L16" s="17"/>
      <c r="M16" s="17"/>
      <c r="N16" s="20" t="b">
        <f>N5</f>
        <v>0</v>
      </c>
      <c r="O16" s="17"/>
      <c r="P16" s="17" t="b">
        <f>P2</f>
        <v>1</v>
      </c>
      <c r="Q16" s="17" t="b">
        <f>Q2</f>
        <v>1</v>
      </c>
      <c r="R16" s="17" t="b">
        <f>R2</f>
        <v>1</v>
      </c>
      <c r="S16" t="b">
        <f>AND(Table152516[[#This Row],[Colloidal Oat]:[Non-comedogenic]],OR(Table152516[[#This Row],[Occlusive]:[Bath Oil]]))</f>
        <v>0</v>
      </c>
      <c r="T16" s="29" t="s">
        <v>720</v>
      </c>
    </row>
    <row r="17" spans="1:20">
      <c r="A17" t="b">
        <f>IF(Table152516[[#This Row],[Column11]],Table152516[[#This Row],[Column12]])</f>
        <v>0</v>
      </c>
      <c r="B17" s="20" t="b">
        <f>B2</f>
        <v>0</v>
      </c>
      <c r="C17" s="20" t="b">
        <f>C2</f>
        <v>0</v>
      </c>
      <c r="D17" s="20" t="b">
        <f>D2</f>
        <v>0</v>
      </c>
      <c r="E17" s="17"/>
      <c r="F17" s="17" t="b">
        <f>F3</f>
        <v>1</v>
      </c>
      <c r="G17" s="17" t="b">
        <f>G2</f>
        <v>1</v>
      </c>
      <c r="H17" s="17" t="b">
        <f>H2</f>
        <v>1</v>
      </c>
      <c r="I17" s="17" t="b">
        <f>I2</f>
        <v>1</v>
      </c>
      <c r="J17" s="17" t="b">
        <f>J2</f>
        <v>1</v>
      </c>
      <c r="K17" s="17"/>
      <c r="L17" s="20" t="b">
        <f>L2</f>
        <v>0</v>
      </c>
      <c r="M17" s="17"/>
      <c r="N17" s="17"/>
      <c r="O17" s="17"/>
      <c r="P17" s="20" t="b">
        <f>P7</f>
        <v>1</v>
      </c>
      <c r="Q17" s="20" t="b">
        <f>Q3</f>
        <v>1</v>
      </c>
      <c r="R17" s="17" t="b">
        <f>R2</f>
        <v>1</v>
      </c>
      <c r="S17" t="b">
        <f>AND(Table152516[[#This Row],[Colloidal Oat]:[Non-comedogenic]],OR(Table152516[[#This Row],[Occlusive]:[Bath Oil]]))</f>
        <v>0</v>
      </c>
      <c r="T17" s="29" t="s">
        <v>721</v>
      </c>
    </row>
    <row r="18" spans="1:20">
      <c r="A18" t="b">
        <f>IF(Table152516[[#This Row],[Column11]],Table152516[[#This Row],[Column12]])</f>
        <v>0</v>
      </c>
      <c r="B18" s="20" t="b">
        <f t="shared" ref="B18:J18" si="2">B2</f>
        <v>0</v>
      </c>
      <c r="C18" s="20" t="b">
        <f t="shared" si="2"/>
        <v>0</v>
      </c>
      <c r="D18" s="20" t="b">
        <f t="shared" si="2"/>
        <v>0</v>
      </c>
      <c r="E18" s="20" t="b">
        <f t="shared" si="2"/>
        <v>0</v>
      </c>
      <c r="F18" s="20" t="b">
        <f t="shared" si="2"/>
        <v>0</v>
      </c>
      <c r="G18" s="17" t="b">
        <f t="shared" si="2"/>
        <v>1</v>
      </c>
      <c r="H18" s="17" t="b">
        <f t="shared" si="2"/>
        <v>1</v>
      </c>
      <c r="I18" s="17" t="b">
        <f t="shared" si="2"/>
        <v>1</v>
      </c>
      <c r="J18" s="17" t="b">
        <f t="shared" si="2"/>
        <v>1</v>
      </c>
      <c r="K18" s="17"/>
      <c r="L18" s="17"/>
      <c r="M18" s="17"/>
      <c r="N18" s="20" t="b">
        <f>N5</f>
        <v>0</v>
      </c>
      <c r="O18" s="17"/>
      <c r="P18" s="20" t="b">
        <f>P7</f>
        <v>1</v>
      </c>
      <c r="Q18" s="20" t="b">
        <f>Q3</f>
        <v>1</v>
      </c>
      <c r="R18" s="17" t="b">
        <f>R2</f>
        <v>1</v>
      </c>
      <c r="S18" t="b">
        <f>AND(Table152516[[#This Row],[Colloidal Oat]:[Non-comedogenic]],OR(Table152516[[#This Row],[Occlusive]:[Bath Oil]]))</f>
        <v>0</v>
      </c>
      <c r="T18" s="29" t="s">
        <v>1022</v>
      </c>
    </row>
    <row r="19" spans="1:20">
      <c r="A19" t="b">
        <f>IF(Table152516[[#This Row],[Column11]],Table152516[[#This Row],[Column12]])</f>
        <v>0</v>
      </c>
      <c r="B19" s="20" t="b">
        <f t="shared" ref="B19:J19" si="3">B2</f>
        <v>0</v>
      </c>
      <c r="C19" s="20" t="b">
        <f t="shared" si="3"/>
        <v>0</v>
      </c>
      <c r="D19" s="20" t="b">
        <f t="shared" si="3"/>
        <v>0</v>
      </c>
      <c r="E19" s="20" t="b">
        <f t="shared" si="3"/>
        <v>0</v>
      </c>
      <c r="F19" s="20" t="b">
        <f t="shared" si="3"/>
        <v>0</v>
      </c>
      <c r="G19" s="17" t="b">
        <f t="shared" si="3"/>
        <v>1</v>
      </c>
      <c r="H19" s="17" t="b">
        <f t="shared" si="3"/>
        <v>1</v>
      </c>
      <c r="I19" s="17" t="b">
        <f t="shared" si="3"/>
        <v>1</v>
      </c>
      <c r="J19" s="17" t="b">
        <f t="shared" si="3"/>
        <v>1</v>
      </c>
      <c r="K19" s="17"/>
      <c r="L19" s="20" t="b">
        <f>L2</f>
        <v>0</v>
      </c>
      <c r="M19" s="17"/>
      <c r="N19" s="17"/>
      <c r="O19" s="17"/>
      <c r="P19" s="20" t="b">
        <f>P7</f>
        <v>1</v>
      </c>
      <c r="Q19" s="20" t="b">
        <f>Q3</f>
        <v>1</v>
      </c>
      <c r="R19" s="17" t="b">
        <f>R2</f>
        <v>1</v>
      </c>
      <c r="S19" t="b">
        <f>AND(Table152516[[#This Row],[Colloidal Oat]:[Non-comedogenic]],OR(Table152516[[#This Row],[Occlusive]:[Bath Oil]]))</f>
        <v>0</v>
      </c>
      <c r="T19" s="29" t="s">
        <v>1021</v>
      </c>
    </row>
    <row r="20" spans="1:20">
      <c r="A20" t="b">
        <f>IF(Table152516[[#This Row],[Column11]],Table152516[[#This Row],[Column12]])</f>
        <v>0</v>
      </c>
      <c r="B20" s="20" t="b">
        <f>B2</f>
        <v>0</v>
      </c>
      <c r="C20" s="20" t="b">
        <f>C2</f>
        <v>0</v>
      </c>
      <c r="D20" s="20" t="b">
        <f>D2</f>
        <v>0</v>
      </c>
      <c r="E20" s="17"/>
      <c r="F20" s="17" t="b">
        <f>F3</f>
        <v>1</v>
      </c>
      <c r="G20" s="17" t="b">
        <f>G2</f>
        <v>1</v>
      </c>
      <c r="H20" s="17" t="b">
        <f>H2</f>
        <v>1</v>
      </c>
      <c r="I20" s="17" t="b">
        <f>I2</f>
        <v>1</v>
      </c>
      <c r="J20" s="17" t="b">
        <f>J2</f>
        <v>1</v>
      </c>
      <c r="K20" s="17"/>
      <c r="L20" s="20" t="b">
        <f>L2</f>
        <v>0</v>
      </c>
      <c r="M20" s="17"/>
      <c r="N20" s="17"/>
      <c r="O20" s="17"/>
      <c r="P20" s="20" t="b">
        <f>P7</f>
        <v>1</v>
      </c>
      <c r="Q20" s="17" t="b">
        <f>Q2</f>
        <v>1</v>
      </c>
      <c r="R20" s="17" t="b">
        <f>R2</f>
        <v>1</v>
      </c>
      <c r="S20" t="b">
        <f>AND(Table152516[[#This Row],[Colloidal Oat]:[Non-comedogenic]],OR(Table152516[[#This Row],[Occlusive]:[Bath Oil]]))</f>
        <v>0</v>
      </c>
      <c r="T20" s="29" t="s">
        <v>722</v>
      </c>
    </row>
    <row r="21" spans="1:20">
      <c r="A21" t="b">
        <f>IF(Table152516[[#This Row],[Column11]],Table152516[[#This Row],[Column12]])</f>
        <v>0</v>
      </c>
      <c r="B21" s="20" t="b">
        <f>B2</f>
        <v>0</v>
      </c>
      <c r="C21" s="20" t="b">
        <f>C2</f>
        <v>0</v>
      </c>
      <c r="D21" s="20" t="b">
        <f>D2</f>
        <v>0</v>
      </c>
      <c r="E21" s="17"/>
      <c r="F21" s="17" t="b">
        <f>F3</f>
        <v>1</v>
      </c>
      <c r="G21" s="20" t="b">
        <f>AND('Dry Skin Criteria'!B5,'Dry Skin Criteria'!C4)</f>
        <v>0</v>
      </c>
      <c r="H21" s="17" t="b">
        <f>H2</f>
        <v>1</v>
      </c>
      <c r="I21" s="17" t="b">
        <f>I2</f>
        <v>1</v>
      </c>
      <c r="J21" s="106"/>
      <c r="K21" s="17"/>
      <c r="L21" s="17"/>
      <c r="M21" s="17"/>
      <c r="N21" s="20" t="b">
        <f>N5</f>
        <v>0</v>
      </c>
      <c r="O21" s="17"/>
      <c r="P21" s="17" t="b">
        <f>P2</f>
        <v>1</v>
      </c>
      <c r="Q21" s="17" t="b">
        <f>Q2</f>
        <v>1</v>
      </c>
      <c r="R21" s="17" t="b">
        <f>R2</f>
        <v>1</v>
      </c>
      <c r="S21" t="b">
        <f>AND(Table152516[[#This Row],[Colloidal Oat]:[Non-comedogenic]],OR(Table152516[[#This Row],[Occlusive]:[Bath Oil]]))</f>
        <v>0</v>
      </c>
      <c r="T21" s="29" t="s">
        <v>723</v>
      </c>
    </row>
    <row r="22" spans="1:20">
      <c r="A22" t="b">
        <f>IF(Table152516[[#This Row],[Column11]],Table152516[[#This Row],[Column12]])</f>
        <v>0</v>
      </c>
      <c r="B22" s="20" t="b">
        <f>B2</f>
        <v>0</v>
      </c>
      <c r="C22" s="20" t="b">
        <f>C2</f>
        <v>0</v>
      </c>
      <c r="D22" s="20" t="b">
        <f>D2</f>
        <v>0</v>
      </c>
      <c r="E22" s="17"/>
      <c r="F22" s="17" t="b">
        <f>F3</f>
        <v>1</v>
      </c>
      <c r="G22" s="17" t="b">
        <f>G2</f>
        <v>1</v>
      </c>
      <c r="H22" s="17" t="b">
        <f>H2</f>
        <v>1</v>
      </c>
      <c r="I22" s="17" t="b">
        <f>I2</f>
        <v>1</v>
      </c>
      <c r="J22" s="17" t="b">
        <f>J2</f>
        <v>1</v>
      </c>
      <c r="K22" s="17"/>
      <c r="L22" s="17"/>
      <c r="M22" s="17"/>
      <c r="N22" s="20" t="b">
        <f>N5</f>
        <v>0</v>
      </c>
      <c r="O22" s="17"/>
      <c r="P22" s="17" t="b">
        <f>P2</f>
        <v>1</v>
      </c>
      <c r="Q22" s="17" t="b">
        <f>Q2</f>
        <v>1</v>
      </c>
      <c r="R22" s="17" t="b">
        <f>R2</f>
        <v>1</v>
      </c>
      <c r="S22" t="b">
        <f>AND(Table152516[[#This Row],[Colloidal Oat]:[Non-comedogenic]],OR(Table152516[[#This Row],[Occlusive]:[Bath Oil]]))</f>
        <v>0</v>
      </c>
      <c r="T22" s="29" t="s">
        <v>1023</v>
      </c>
    </row>
    <row r="23" spans="1:20">
      <c r="A23" t="b">
        <f>IF(Table152516[[#This Row],[Column11]],Table152516[[#This Row],[Column12]])</f>
        <v>0</v>
      </c>
      <c r="B23" s="20" t="b">
        <f>B2</f>
        <v>0</v>
      </c>
      <c r="C23" s="20" t="b">
        <f>C2</f>
        <v>0</v>
      </c>
      <c r="D23" s="20" t="b">
        <f>D2</f>
        <v>0</v>
      </c>
      <c r="E23" s="17"/>
      <c r="F23" s="17" t="b">
        <f>F3</f>
        <v>1</v>
      </c>
      <c r="G23" s="17" t="b">
        <f>G2</f>
        <v>1</v>
      </c>
      <c r="H23" s="17" t="b">
        <f>H2</f>
        <v>1</v>
      </c>
      <c r="I23" s="17" t="b">
        <f>I2</f>
        <v>1</v>
      </c>
      <c r="J23" s="17" t="b">
        <f>J2</f>
        <v>1</v>
      </c>
      <c r="K23" s="17"/>
      <c r="L23" s="20" t="b">
        <f>L2</f>
        <v>0</v>
      </c>
      <c r="M23" s="17"/>
      <c r="N23" s="17"/>
      <c r="O23" s="17"/>
      <c r="P23" s="17" t="b">
        <f>P2</f>
        <v>1</v>
      </c>
      <c r="Q23" s="17" t="b">
        <f>Q2</f>
        <v>1</v>
      </c>
      <c r="R23" s="17" t="b">
        <f>R2</f>
        <v>1</v>
      </c>
      <c r="S23" t="b">
        <f>AND(Table152516[[#This Row],[Colloidal Oat]:[Non-comedogenic]],OR(Table152516[[#This Row],[Occlusive]:[Bath Oil]]))</f>
        <v>0</v>
      </c>
      <c r="T23" s="29" t="s">
        <v>1024</v>
      </c>
    </row>
    <row r="24" spans="1:20">
      <c r="A24" s="16" t="e">
        <f>IF(Table152516[[#This Row],[Column11]],Table152516[[#This Row],[Column12]])</f>
        <v>#VALUE!</v>
      </c>
      <c r="B24" s="16"/>
      <c r="C24" s="16"/>
      <c r="D24" s="16"/>
      <c r="E24" s="16"/>
      <c r="F24" s="16"/>
      <c r="G24" s="16"/>
      <c r="H24" s="16"/>
      <c r="I24" s="16"/>
      <c r="J24" s="16"/>
      <c r="K24" s="16"/>
      <c r="L24" s="16"/>
      <c r="M24" s="16"/>
      <c r="N24" s="16"/>
      <c r="O24" s="16"/>
      <c r="P24" s="16"/>
      <c r="Q24" s="16"/>
      <c r="R24" s="16"/>
      <c r="S24" s="16" t="e">
        <f>AND(Table152516[[#This Row],[Colloidal Oat]:[Non-comedogenic]],OR(Table152516[[#This Row],[Occlusive]:[Bath Oil]]))</f>
        <v>#VALUE!</v>
      </c>
      <c r="T24" s="16"/>
    </row>
    <row r="25" spans="1:20">
      <c r="A25" t="b">
        <f>IF(Table152516[[#This Row],[Column11]],Table152516[[#This Row],[Column12]])</f>
        <v>0</v>
      </c>
      <c r="B25" s="20" t="b">
        <f>B2</f>
        <v>0</v>
      </c>
      <c r="C25" s="20" t="b">
        <f>C2</f>
        <v>0</v>
      </c>
      <c r="D25" s="17"/>
      <c r="E25" s="17"/>
      <c r="F25" s="17" t="b">
        <f>F3</f>
        <v>1</v>
      </c>
      <c r="G25" s="17" t="b">
        <f>G2</f>
        <v>1</v>
      </c>
      <c r="H25" s="17" t="b">
        <f>H2</f>
        <v>1</v>
      </c>
      <c r="I25" s="17" t="b">
        <f>I2</f>
        <v>1</v>
      </c>
      <c r="J25" s="17" t="b">
        <f>J2</f>
        <v>1</v>
      </c>
      <c r="K25" s="17"/>
      <c r="L25" s="20" t="b">
        <f>L2</f>
        <v>0</v>
      </c>
      <c r="M25" s="17"/>
      <c r="N25" s="17"/>
      <c r="O25" s="17"/>
      <c r="P25" s="17" t="b">
        <f>P2</f>
        <v>1</v>
      </c>
      <c r="Q25" s="17" t="b">
        <f>Q2</f>
        <v>1</v>
      </c>
      <c r="R25" s="17" t="b">
        <f>R2</f>
        <v>1</v>
      </c>
      <c r="S25" t="b">
        <f>AND(Table152516[[#This Row],[Colloidal Oat]:[Non-comedogenic]],OR(Table152516[[#This Row],[Occlusive]:[Bath Oil]]))</f>
        <v>0</v>
      </c>
      <c r="T25" s="28" t="s">
        <v>1025</v>
      </c>
    </row>
    <row r="26" spans="1:20">
      <c r="A26" t="b">
        <f>IF(Table152516[[#This Row],[Column11]],Table152516[[#This Row],[Column12]])</f>
        <v>0</v>
      </c>
      <c r="B26" s="20" t="b">
        <f>B2</f>
        <v>0</v>
      </c>
      <c r="C26" s="20" t="b">
        <f>C2</f>
        <v>0</v>
      </c>
      <c r="D26" s="17"/>
      <c r="E26" s="17"/>
      <c r="F26" s="17" t="b">
        <f>F3</f>
        <v>1</v>
      </c>
      <c r="G26" s="17" t="b">
        <f>G2</f>
        <v>1</v>
      </c>
      <c r="H26" s="17" t="b">
        <f>H2</f>
        <v>1</v>
      </c>
      <c r="I26" s="17" t="b">
        <f>I2</f>
        <v>1</v>
      </c>
      <c r="J26" s="17" t="b">
        <f>J2</f>
        <v>1</v>
      </c>
      <c r="K26" s="17"/>
      <c r="L26" s="20" t="b">
        <f>L2</f>
        <v>0</v>
      </c>
      <c r="M26" s="17"/>
      <c r="N26" s="17"/>
      <c r="O26" s="17"/>
      <c r="P26" s="17" t="b">
        <f>P2</f>
        <v>1</v>
      </c>
      <c r="Q26" s="20" t="b">
        <f>Q3</f>
        <v>1</v>
      </c>
      <c r="R26" s="17" t="b">
        <f>R2</f>
        <v>1</v>
      </c>
      <c r="S26" t="b">
        <f>AND(Table152516[[#This Row],[Colloidal Oat]:[Non-comedogenic]],OR(Table152516[[#This Row],[Occlusive]:[Bath Oil]]))</f>
        <v>0</v>
      </c>
      <c r="T26" s="28" t="s">
        <v>1026</v>
      </c>
    </row>
    <row r="27" spans="1:20">
      <c r="A27" t="b">
        <f>IF(Table152516[[#This Row],[Column11]],Table152516[[#This Row],[Column12]])</f>
        <v>0</v>
      </c>
      <c r="B27" s="20" t="b">
        <f>B2</f>
        <v>0</v>
      </c>
      <c r="C27" s="20" t="b">
        <f>C2</f>
        <v>0</v>
      </c>
      <c r="D27" s="17"/>
      <c r="E27" s="17"/>
      <c r="F27" s="17" t="b">
        <f>F3</f>
        <v>1</v>
      </c>
      <c r="G27" s="17" t="b">
        <f>G2</f>
        <v>1</v>
      </c>
      <c r="H27" s="17" t="b">
        <f>H2</f>
        <v>1</v>
      </c>
      <c r="I27" s="17" t="b">
        <f>I2</f>
        <v>1</v>
      </c>
      <c r="J27" s="17" t="b">
        <f>J2</f>
        <v>1</v>
      </c>
      <c r="K27" s="17"/>
      <c r="L27" s="20" t="b">
        <f>L2</f>
        <v>0</v>
      </c>
      <c r="M27" s="17"/>
      <c r="N27" s="17"/>
      <c r="O27" s="17"/>
      <c r="P27" s="17" t="b">
        <f>P2</f>
        <v>1</v>
      </c>
      <c r="Q27" s="20" t="b">
        <f>Q3</f>
        <v>1</v>
      </c>
      <c r="R27" s="20" t="b">
        <f>OR('Dry Skin Criteria'!B6:C6)</f>
        <v>1</v>
      </c>
      <c r="S27" t="b">
        <f>AND(Table152516[[#This Row],[Colloidal Oat]:[Non-comedogenic]],OR(Table152516[[#This Row],[Occlusive]:[Bath Oil]]))</f>
        <v>0</v>
      </c>
      <c r="T27" s="28" t="s">
        <v>1028</v>
      </c>
    </row>
    <row r="28" spans="1:20">
      <c r="A28" t="b">
        <f>IF(Table152516[[#This Row],[Column11]],Table152516[[#This Row],[Column12]])</f>
        <v>0</v>
      </c>
      <c r="B28" s="17"/>
      <c r="C28" s="20" t="b">
        <f>C2</f>
        <v>0</v>
      </c>
      <c r="D28" s="20" t="b">
        <f>D2</f>
        <v>0</v>
      </c>
      <c r="E28" s="17"/>
      <c r="F28" s="17" t="b">
        <f>F3</f>
        <v>1</v>
      </c>
      <c r="G28" s="17" t="b">
        <f>G2</f>
        <v>1</v>
      </c>
      <c r="H28" s="17" t="b">
        <f>H2</f>
        <v>1</v>
      </c>
      <c r="I28" s="17" t="b">
        <f>I2</f>
        <v>1</v>
      </c>
      <c r="J28" s="17" t="b">
        <f>J2</f>
        <v>1</v>
      </c>
      <c r="K28" s="17"/>
      <c r="L28" s="20" t="b">
        <f>L2</f>
        <v>0</v>
      </c>
      <c r="M28" s="17"/>
      <c r="N28" s="17"/>
      <c r="O28" s="17"/>
      <c r="P28" s="17" t="b">
        <f>P2</f>
        <v>1</v>
      </c>
      <c r="Q28" s="17" t="b">
        <f>Q2</f>
        <v>1</v>
      </c>
      <c r="R28" s="17" t="b">
        <f>R2</f>
        <v>1</v>
      </c>
      <c r="S28" t="b">
        <f>AND(Table152516[[#This Row],[Colloidal Oat]:[Non-comedogenic]],OR(Table152516[[#This Row],[Occlusive]:[Bath Oil]]))</f>
        <v>0</v>
      </c>
      <c r="T28" s="28" t="s">
        <v>1029</v>
      </c>
    </row>
    <row r="29" spans="1:20">
      <c r="A29" t="b">
        <f>IF(Table152516[[#This Row],[Column11]],Table152516[[#This Row],[Column12]])</f>
        <v>0</v>
      </c>
      <c r="B29" s="20" t="b">
        <f>B2</f>
        <v>0</v>
      </c>
      <c r="C29" s="20" t="b">
        <f>C2</f>
        <v>0</v>
      </c>
      <c r="D29" s="20" t="b">
        <f>D2</f>
        <v>0</v>
      </c>
      <c r="E29" s="17"/>
      <c r="F29" s="17" t="b">
        <f>F3</f>
        <v>1</v>
      </c>
      <c r="G29" s="17" t="b">
        <f>G2</f>
        <v>1</v>
      </c>
      <c r="H29" s="17" t="b">
        <f>H2</f>
        <v>1</v>
      </c>
      <c r="I29" s="17" t="b">
        <f>I2</f>
        <v>1</v>
      </c>
      <c r="J29" s="17" t="b">
        <f>J2</f>
        <v>1</v>
      </c>
      <c r="K29" s="17"/>
      <c r="L29" s="20" t="b">
        <f>L2</f>
        <v>0</v>
      </c>
      <c r="M29" s="17"/>
      <c r="N29" s="17"/>
      <c r="O29" s="17"/>
      <c r="P29" s="17" t="b">
        <f>P2</f>
        <v>1</v>
      </c>
      <c r="Q29" s="17" t="b">
        <f>Q2</f>
        <v>1</v>
      </c>
      <c r="R29" s="20" t="b">
        <f>R27</f>
        <v>1</v>
      </c>
      <c r="S29" t="b">
        <f>AND(Table152516[[#This Row],[Colloidal Oat]:[Non-comedogenic]],OR(Table152516[[#This Row],[Occlusive]:[Bath Oil]]))</f>
        <v>0</v>
      </c>
      <c r="T29" s="28" t="s">
        <v>1030</v>
      </c>
    </row>
    <row r="30" spans="1:20">
      <c r="A30" t="b">
        <f>IF(Table152516[[#This Row],[Column11]],Table152516[[#This Row],[Column12]])</f>
        <v>0</v>
      </c>
      <c r="B30" s="20" t="b">
        <f>B2</f>
        <v>0</v>
      </c>
      <c r="C30" s="20" t="b">
        <f>C2</f>
        <v>0</v>
      </c>
      <c r="D30" s="17"/>
      <c r="E30" s="17"/>
      <c r="F30" s="17" t="b">
        <f>F3</f>
        <v>1</v>
      </c>
      <c r="G30" s="17" t="b">
        <f>G2</f>
        <v>1</v>
      </c>
      <c r="H30" s="17" t="b">
        <f>H2</f>
        <v>1</v>
      </c>
      <c r="I30" s="17" t="b">
        <f>I2</f>
        <v>1</v>
      </c>
      <c r="J30" s="17" t="b">
        <f>J2</f>
        <v>1</v>
      </c>
      <c r="K30" s="17"/>
      <c r="L30" s="20" t="b">
        <f>L2</f>
        <v>0</v>
      </c>
      <c r="M30" s="17"/>
      <c r="N30" s="17"/>
      <c r="O30" s="17"/>
      <c r="P30" s="17" t="b">
        <f>P2</f>
        <v>1</v>
      </c>
      <c r="Q30" s="20" t="b">
        <f>Q3</f>
        <v>1</v>
      </c>
      <c r="R30" s="20" t="b">
        <f>R27</f>
        <v>1</v>
      </c>
      <c r="S30" t="b">
        <f>AND(Table152516[[#This Row],[Colloidal Oat]:[Non-comedogenic]],OR(Table152516[[#This Row],[Occlusive]:[Bath Oil]]))</f>
        <v>0</v>
      </c>
      <c r="T30" s="28" t="s">
        <v>1031</v>
      </c>
    </row>
    <row r="31" spans="1:20">
      <c r="A31" t="b">
        <f>IF(Table152516[[#This Row],[Column11]],Table152516[[#This Row],[Column12]])</f>
        <v>0</v>
      </c>
      <c r="B31" s="20" t="b">
        <f>B2</f>
        <v>0</v>
      </c>
      <c r="C31" s="20" t="b">
        <f>C2</f>
        <v>0</v>
      </c>
      <c r="D31" s="17"/>
      <c r="E31" s="17"/>
      <c r="F31" s="17" t="b">
        <f>F3</f>
        <v>1</v>
      </c>
      <c r="G31" s="17" t="b">
        <f>G2</f>
        <v>1</v>
      </c>
      <c r="H31" s="17" t="b">
        <f>H2</f>
        <v>1</v>
      </c>
      <c r="I31" s="17" t="b">
        <f>I2</f>
        <v>1</v>
      </c>
      <c r="J31" s="17" t="b">
        <f>J2</f>
        <v>1</v>
      </c>
      <c r="K31" s="17"/>
      <c r="L31" s="20" t="b">
        <f>L2</f>
        <v>0</v>
      </c>
      <c r="M31" s="17"/>
      <c r="N31" s="17"/>
      <c r="O31" s="17"/>
      <c r="P31" s="17" t="b">
        <f>P2</f>
        <v>1</v>
      </c>
      <c r="Q31" s="17" t="b">
        <f>Q2</f>
        <v>1</v>
      </c>
      <c r="R31" s="20" t="b">
        <f>R27</f>
        <v>1</v>
      </c>
      <c r="S31" t="b">
        <f>AND(Table152516[[#This Row],[Colloidal Oat]:[Non-comedogenic]],OR(Table152516[[#This Row],[Occlusive]:[Bath Oil]]))</f>
        <v>0</v>
      </c>
      <c r="T31" s="28" t="s">
        <v>1032</v>
      </c>
    </row>
    <row r="32" spans="1:20">
      <c r="A32" s="16" t="e">
        <f>IF(Table152516[[#This Row],[Column11]],Table152516[[#This Row],[Column12]])</f>
        <v>#VALUE!</v>
      </c>
      <c r="B32" s="16"/>
      <c r="C32" s="16"/>
      <c r="D32" s="16"/>
      <c r="E32" s="16"/>
      <c r="F32" s="16"/>
      <c r="G32" s="16"/>
      <c r="H32" s="16"/>
      <c r="I32" s="16"/>
      <c r="J32" s="16"/>
      <c r="K32" s="16"/>
      <c r="L32" s="16"/>
      <c r="M32" s="16"/>
      <c r="N32" s="16"/>
      <c r="O32" s="16"/>
      <c r="P32" s="16"/>
      <c r="Q32" s="16"/>
      <c r="R32" s="16"/>
      <c r="S32" s="16" t="e">
        <f>AND(Table152516[[#This Row],[Colloidal Oat]:[Non-comedogenic]],OR(Table152516[[#This Row],[Occlusive]:[Bath Oil]]))</f>
        <v>#VALUE!</v>
      </c>
      <c r="T32" s="16"/>
    </row>
    <row r="33" spans="1:20">
      <c r="A33" t="b">
        <f>IF(Table152516[[#This Row],[Column11]],Table152516[[#This Row],[Column12]])</f>
        <v>0</v>
      </c>
      <c r="B33" s="20" t="b">
        <f t="shared" ref="B33:J33" si="4">B2</f>
        <v>0</v>
      </c>
      <c r="C33" s="20" t="b">
        <f t="shared" si="4"/>
        <v>0</v>
      </c>
      <c r="D33" s="20" t="b">
        <f t="shared" si="4"/>
        <v>0</v>
      </c>
      <c r="E33" s="20" t="b">
        <f t="shared" si="4"/>
        <v>0</v>
      </c>
      <c r="F33" s="20" t="b">
        <f t="shared" si="4"/>
        <v>0</v>
      </c>
      <c r="G33" s="17" t="b">
        <f t="shared" si="4"/>
        <v>1</v>
      </c>
      <c r="H33" s="17" t="b">
        <f t="shared" si="4"/>
        <v>1</v>
      </c>
      <c r="I33" s="17" t="b">
        <f t="shared" si="4"/>
        <v>1</v>
      </c>
      <c r="J33" s="17" t="b">
        <f t="shared" si="4"/>
        <v>1</v>
      </c>
      <c r="K33" s="17"/>
      <c r="L33" s="17"/>
      <c r="M33" s="17"/>
      <c r="N33" s="17"/>
      <c r="O33" s="20" t="b">
        <f>O7</f>
        <v>0</v>
      </c>
      <c r="P33" s="20" t="b">
        <f>P7</f>
        <v>1</v>
      </c>
      <c r="Q33" s="20" t="b">
        <f>Q3</f>
        <v>1</v>
      </c>
      <c r="R33" s="17" t="b">
        <f>R2</f>
        <v>1</v>
      </c>
      <c r="S33" t="b">
        <f>AND(Table152516[[#This Row],[Colloidal Oat]:[Non-comedogenic]],OR(Table152516[[#This Row],[Occlusive]:[Bath Oil]]))</f>
        <v>0</v>
      </c>
      <c r="T33" s="28" t="s">
        <v>917</v>
      </c>
    </row>
    <row r="34" spans="1:20">
      <c r="A34" t="b">
        <f>IF(Table152516[[#This Row],[Column11]],Table152516[[#This Row],[Column12]])</f>
        <v>0</v>
      </c>
      <c r="B34" s="20" t="b">
        <f t="shared" ref="B34:J34" si="5">B2</f>
        <v>0</v>
      </c>
      <c r="C34" s="20" t="b">
        <f t="shared" si="5"/>
        <v>0</v>
      </c>
      <c r="D34" s="20" t="b">
        <f t="shared" si="5"/>
        <v>0</v>
      </c>
      <c r="E34" s="20" t="b">
        <f t="shared" si="5"/>
        <v>0</v>
      </c>
      <c r="F34" s="20" t="b">
        <f t="shared" si="5"/>
        <v>0</v>
      </c>
      <c r="G34" s="17" t="b">
        <f t="shared" si="5"/>
        <v>1</v>
      </c>
      <c r="H34" s="17" t="b">
        <f t="shared" si="5"/>
        <v>1</v>
      </c>
      <c r="I34" s="17" t="b">
        <f t="shared" si="5"/>
        <v>1</v>
      </c>
      <c r="J34" s="17" t="b">
        <f t="shared" si="5"/>
        <v>1</v>
      </c>
      <c r="K34" s="17"/>
      <c r="L34" s="17"/>
      <c r="M34" s="20" t="b">
        <f>M6</f>
        <v>0</v>
      </c>
      <c r="N34" s="17"/>
      <c r="O34" s="17"/>
      <c r="P34" s="17" t="b">
        <f>P2</f>
        <v>1</v>
      </c>
      <c r="Q34" s="20" t="b">
        <f>Q3</f>
        <v>1</v>
      </c>
      <c r="R34" s="17" t="b">
        <f>R2</f>
        <v>1</v>
      </c>
      <c r="S34" t="b">
        <f>AND(Table152516[[#This Row],[Colloidal Oat]:[Non-comedogenic]],OR(Table152516[[#This Row],[Occlusive]:[Bath Oil]]))</f>
        <v>0</v>
      </c>
      <c r="T34" s="28" t="s">
        <v>918</v>
      </c>
    </row>
    <row r="35" spans="1:20">
      <c r="A35" t="b">
        <f>IF(Table152516[[#This Row],[Column11]],Table152516[[#This Row],[Column12]])</f>
        <v>0</v>
      </c>
      <c r="B35" s="20" t="b">
        <f>B2</f>
        <v>0</v>
      </c>
      <c r="C35" s="20" t="b">
        <f>C2</f>
        <v>0</v>
      </c>
      <c r="D35" s="17"/>
      <c r="E35" s="20" t="b">
        <f t="shared" ref="E35:J35" si="6">E2</f>
        <v>0</v>
      </c>
      <c r="F35" s="20" t="b">
        <f t="shared" si="6"/>
        <v>0</v>
      </c>
      <c r="G35" s="17" t="b">
        <f t="shared" si="6"/>
        <v>1</v>
      </c>
      <c r="H35" s="17" t="b">
        <f t="shared" si="6"/>
        <v>1</v>
      </c>
      <c r="I35" s="17" t="b">
        <f t="shared" si="6"/>
        <v>1</v>
      </c>
      <c r="J35" s="17" t="b">
        <f t="shared" si="6"/>
        <v>1</v>
      </c>
      <c r="K35" s="17"/>
      <c r="L35" s="17"/>
      <c r="M35" s="17"/>
      <c r="N35" s="20" t="b">
        <f>N5</f>
        <v>0</v>
      </c>
      <c r="O35" s="17"/>
      <c r="P35" s="17" t="b">
        <f>P2</f>
        <v>1</v>
      </c>
      <c r="Q35" s="17" t="b">
        <f>Q2</f>
        <v>1</v>
      </c>
      <c r="R35" s="17" t="b">
        <f>R2</f>
        <v>1</v>
      </c>
      <c r="S35" t="b">
        <f>AND(Table152516[[#This Row],[Colloidal Oat]:[Non-comedogenic]],OR(Table152516[[#This Row],[Occlusive]:[Bath Oil]]))</f>
        <v>0</v>
      </c>
      <c r="T35" s="11" t="s">
        <v>1033</v>
      </c>
    </row>
    <row r="36" spans="1:20">
      <c r="A36" t="b">
        <f>IF(Table152516[[#This Row],[Column11]],Table152516[[#This Row],[Column12]])</f>
        <v>0</v>
      </c>
      <c r="B36" s="20" t="b">
        <f t="shared" ref="B36:J36" si="7">B2</f>
        <v>0</v>
      </c>
      <c r="C36" s="20" t="b">
        <f t="shared" si="7"/>
        <v>0</v>
      </c>
      <c r="D36" s="20" t="b">
        <f t="shared" si="7"/>
        <v>0</v>
      </c>
      <c r="E36" s="20" t="b">
        <f t="shared" si="7"/>
        <v>0</v>
      </c>
      <c r="F36" s="20" t="b">
        <f t="shared" si="7"/>
        <v>0</v>
      </c>
      <c r="G36" s="17" t="b">
        <f t="shared" si="7"/>
        <v>1</v>
      </c>
      <c r="H36" s="17" t="b">
        <f t="shared" si="7"/>
        <v>1</v>
      </c>
      <c r="I36" s="17" t="b">
        <f t="shared" si="7"/>
        <v>1</v>
      </c>
      <c r="J36" s="17" t="b">
        <f t="shared" si="7"/>
        <v>1</v>
      </c>
      <c r="K36" s="17"/>
      <c r="L36" s="17"/>
      <c r="M36" s="17"/>
      <c r="N36" s="20" t="b">
        <f>N5</f>
        <v>0</v>
      </c>
      <c r="O36" s="17"/>
      <c r="P36" s="17" t="b">
        <f>P2</f>
        <v>1</v>
      </c>
      <c r="Q36" s="20" t="b">
        <f>Q3</f>
        <v>1</v>
      </c>
      <c r="R36" s="17" t="b">
        <f>R2</f>
        <v>1</v>
      </c>
      <c r="S36" t="b">
        <f>AND(Table152516[[#This Row],[Colloidal Oat]:[Non-comedogenic]],OR(Table152516[[#This Row],[Occlusive]:[Bath Oil]]))</f>
        <v>0</v>
      </c>
      <c r="T36" s="11" t="s">
        <v>1034</v>
      </c>
    </row>
    <row r="37" spans="1:20">
      <c r="A37" t="b">
        <f>IF(Table152516[[#This Row],[Column11]],Table152516[[#This Row],[Column12]])</f>
        <v>0</v>
      </c>
      <c r="B37" s="20" t="b">
        <f t="shared" ref="B37:J37" si="8">B2</f>
        <v>0</v>
      </c>
      <c r="C37" s="20" t="b">
        <f t="shared" si="8"/>
        <v>0</v>
      </c>
      <c r="D37" s="20" t="b">
        <f t="shared" si="8"/>
        <v>0</v>
      </c>
      <c r="E37" s="20" t="b">
        <f t="shared" si="8"/>
        <v>0</v>
      </c>
      <c r="F37" s="20" t="b">
        <f t="shared" si="8"/>
        <v>0</v>
      </c>
      <c r="G37" s="17" t="b">
        <f t="shared" si="8"/>
        <v>1</v>
      </c>
      <c r="H37" s="17" t="b">
        <f t="shared" si="8"/>
        <v>1</v>
      </c>
      <c r="I37" s="17" t="b">
        <f t="shared" si="8"/>
        <v>1</v>
      </c>
      <c r="J37" s="17" t="b">
        <f t="shared" si="8"/>
        <v>1</v>
      </c>
      <c r="K37" s="17"/>
      <c r="L37" s="20" t="b">
        <f>L2</f>
        <v>0</v>
      </c>
      <c r="M37" s="17"/>
      <c r="N37" s="17"/>
      <c r="O37" s="17"/>
      <c r="P37" s="17" t="b">
        <f>P2</f>
        <v>1</v>
      </c>
      <c r="Q37" s="20" t="b">
        <f>Q3</f>
        <v>1</v>
      </c>
      <c r="R37" s="20" t="b">
        <f>R27</f>
        <v>1</v>
      </c>
      <c r="S37" t="b">
        <f>AND(Table152516[[#This Row],[Colloidal Oat]:[Non-comedogenic]],OR(Table152516[[#This Row],[Occlusive]:[Bath Oil]]))</f>
        <v>0</v>
      </c>
      <c r="T37" s="11" t="s">
        <v>1035</v>
      </c>
    </row>
    <row r="38" spans="1:20">
      <c r="A38" t="b">
        <f>IF(Table152516[[#This Row],[Column11]],Table152516[[#This Row],[Column12]])</f>
        <v>0</v>
      </c>
      <c r="B38" s="20" t="b">
        <f>B2</f>
        <v>0</v>
      </c>
      <c r="C38" s="20" t="b">
        <f>C2</f>
        <v>0</v>
      </c>
      <c r="D38" s="17"/>
      <c r="E38" s="20" t="b">
        <f t="shared" ref="E38:J38" si="9">E2</f>
        <v>0</v>
      </c>
      <c r="F38" s="20" t="b">
        <f t="shared" si="9"/>
        <v>0</v>
      </c>
      <c r="G38" s="17" t="b">
        <f t="shared" si="9"/>
        <v>1</v>
      </c>
      <c r="H38" s="17" t="b">
        <f t="shared" si="9"/>
        <v>1</v>
      </c>
      <c r="I38" s="17" t="b">
        <f t="shared" si="9"/>
        <v>1</v>
      </c>
      <c r="J38" s="17" t="b">
        <f t="shared" si="9"/>
        <v>1</v>
      </c>
      <c r="K38" s="20" t="b">
        <f>K5</f>
        <v>0</v>
      </c>
      <c r="L38" s="17"/>
      <c r="M38" s="17"/>
      <c r="N38" s="20" t="b">
        <f>N5</f>
        <v>0</v>
      </c>
      <c r="O38" s="17"/>
      <c r="P38" s="17" t="b">
        <f>P2</f>
        <v>1</v>
      </c>
      <c r="Q38" s="17" t="b">
        <f>Q2</f>
        <v>1</v>
      </c>
      <c r="R38" s="17" t="b">
        <f>R2</f>
        <v>1</v>
      </c>
      <c r="S38" t="b">
        <f>AND(Table152516[[#This Row],[Colloidal Oat]:[Non-comedogenic]],OR(Table152516[[#This Row],[Occlusive]:[Bath Oil]]))</f>
        <v>0</v>
      </c>
      <c r="T38" s="11" t="s">
        <v>1036</v>
      </c>
    </row>
    <row r="39" spans="1:20">
      <c r="A39" t="b">
        <f>IF(Table152516[[#This Row],[Column11]],Table152516[[#This Row],[Column12]])</f>
        <v>0</v>
      </c>
      <c r="B39" s="20" t="b">
        <f>B2</f>
        <v>0</v>
      </c>
      <c r="C39" s="20" t="b">
        <f>C2</f>
        <v>0</v>
      </c>
      <c r="D39" s="17"/>
      <c r="E39" s="20" t="b">
        <f t="shared" ref="E39:J39" si="10">E2</f>
        <v>0</v>
      </c>
      <c r="F39" s="20" t="b">
        <f t="shared" si="10"/>
        <v>0</v>
      </c>
      <c r="G39" s="17" t="b">
        <f t="shared" si="10"/>
        <v>1</v>
      </c>
      <c r="H39" s="17" t="b">
        <f t="shared" si="10"/>
        <v>1</v>
      </c>
      <c r="I39" s="17" t="b">
        <f t="shared" si="10"/>
        <v>1</v>
      </c>
      <c r="J39" s="17" t="b">
        <f t="shared" si="10"/>
        <v>1</v>
      </c>
      <c r="K39" s="17"/>
      <c r="L39" s="17"/>
      <c r="M39" s="17"/>
      <c r="N39" s="20" t="b">
        <f>N5</f>
        <v>0</v>
      </c>
      <c r="O39" s="17"/>
      <c r="P39" s="17" t="b">
        <f>P2</f>
        <v>1</v>
      </c>
      <c r="Q39" s="17" t="b">
        <f>Q2</f>
        <v>1</v>
      </c>
      <c r="R39" s="17" t="b">
        <f>R2</f>
        <v>1</v>
      </c>
      <c r="S39" t="b">
        <f>AND(Table152516[[#This Row],[Colloidal Oat]:[Non-comedogenic]],OR(Table152516[[#This Row],[Occlusive]:[Bath Oil]]))</f>
        <v>0</v>
      </c>
      <c r="T39" s="11" t="s">
        <v>1037</v>
      </c>
    </row>
    <row r="40" spans="1:20">
      <c r="A40" t="b">
        <f>IF(Table152516[[#This Row],[Column11]],Table152516[[#This Row],[Column12]])</f>
        <v>0</v>
      </c>
      <c r="B40" s="20" t="b">
        <f>B2</f>
        <v>0</v>
      </c>
      <c r="C40" s="20" t="b">
        <f>C2</f>
        <v>0</v>
      </c>
      <c r="D40" s="17"/>
      <c r="E40" s="20" t="b">
        <f t="shared" ref="E40:J40" si="11">E2</f>
        <v>0</v>
      </c>
      <c r="F40" s="20" t="b">
        <f t="shared" si="11"/>
        <v>0</v>
      </c>
      <c r="G40" s="17" t="b">
        <f t="shared" si="11"/>
        <v>1</v>
      </c>
      <c r="H40" s="17" t="b">
        <f t="shared" si="11"/>
        <v>1</v>
      </c>
      <c r="I40" s="17" t="b">
        <f t="shared" si="11"/>
        <v>1</v>
      </c>
      <c r="J40" s="17" t="b">
        <f t="shared" si="11"/>
        <v>1</v>
      </c>
      <c r="K40" s="17"/>
      <c r="L40" s="17"/>
      <c r="M40" s="17"/>
      <c r="N40" s="20" t="b">
        <f>N5</f>
        <v>0</v>
      </c>
      <c r="O40" s="17"/>
      <c r="P40" s="17" t="b">
        <f>P2</f>
        <v>1</v>
      </c>
      <c r="Q40" s="17" t="b">
        <f>Q2</f>
        <v>1</v>
      </c>
      <c r="R40" s="17" t="b">
        <f>R2</f>
        <v>1</v>
      </c>
      <c r="S40" t="b">
        <f>AND(Table152516[[#This Row],[Colloidal Oat]:[Non-comedogenic]],OR(Table152516[[#This Row],[Occlusive]:[Bath Oil]]))</f>
        <v>0</v>
      </c>
      <c r="T40" s="11" t="s">
        <v>1038</v>
      </c>
    </row>
    <row r="41" spans="1:20">
      <c r="A41" t="b">
        <f>IF(Table152516[[#This Row],[Column11]],Table152516[[#This Row],[Column12]])</f>
        <v>0</v>
      </c>
      <c r="B41" s="20" t="b">
        <f>B2</f>
        <v>0</v>
      </c>
      <c r="C41" s="20" t="b">
        <f>C2</f>
        <v>0</v>
      </c>
      <c r="D41" s="17"/>
      <c r="E41" s="20" t="b">
        <f t="shared" ref="E41:J41" si="12">E2</f>
        <v>0</v>
      </c>
      <c r="F41" s="20" t="b">
        <f t="shared" si="12"/>
        <v>0</v>
      </c>
      <c r="G41" s="17" t="b">
        <f t="shared" si="12"/>
        <v>1</v>
      </c>
      <c r="H41" s="17" t="b">
        <f t="shared" si="12"/>
        <v>1</v>
      </c>
      <c r="I41" s="17" t="b">
        <f t="shared" si="12"/>
        <v>1</v>
      </c>
      <c r="J41" s="17" t="b">
        <f t="shared" si="12"/>
        <v>1</v>
      </c>
      <c r="K41" s="17"/>
      <c r="L41" s="17"/>
      <c r="M41" s="17"/>
      <c r="N41" s="20" t="b">
        <f>N5</f>
        <v>0</v>
      </c>
      <c r="O41" s="17"/>
      <c r="P41" s="17" t="b">
        <f>P2</f>
        <v>1</v>
      </c>
      <c r="Q41" s="20" t="b">
        <f>Q3</f>
        <v>1</v>
      </c>
      <c r="R41" s="17" t="b">
        <f>R2</f>
        <v>1</v>
      </c>
      <c r="S41" t="b">
        <f>AND(Table152516[[#This Row],[Colloidal Oat]:[Non-comedogenic]],OR(Table152516[[#This Row],[Occlusive]:[Bath Oil]]))</f>
        <v>0</v>
      </c>
      <c r="T41" s="11" t="s">
        <v>1039</v>
      </c>
    </row>
    <row r="42" spans="1:20">
      <c r="A42" t="b">
        <f>IF(Table152516[[#This Row],[Column11]],Table152516[[#This Row],[Column12]])</f>
        <v>0</v>
      </c>
      <c r="B42" s="20" t="b">
        <f t="shared" ref="B42:J42" si="13">B2</f>
        <v>0</v>
      </c>
      <c r="C42" s="20" t="b">
        <f t="shared" si="13"/>
        <v>0</v>
      </c>
      <c r="D42" s="20" t="b">
        <f t="shared" si="13"/>
        <v>0</v>
      </c>
      <c r="E42" s="20" t="b">
        <f t="shared" si="13"/>
        <v>0</v>
      </c>
      <c r="F42" s="20" t="b">
        <f t="shared" si="13"/>
        <v>0</v>
      </c>
      <c r="G42" s="17" t="b">
        <f t="shared" si="13"/>
        <v>1</v>
      </c>
      <c r="H42" s="17" t="b">
        <f t="shared" si="13"/>
        <v>1</v>
      </c>
      <c r="I42" s="17" t="b">
        <f t="shared" si="13"/>
        <v>1</v>
      </c>
      <c r="J42" s="17" t="b">
        <f t="shared" si="13"/>
        <v>1</v>
      </c>
      <c r="K42" s="17"/>
      <c r="L42" s="17"/>
      <c r="M42" s="17"/>
      <c r="N42" s="20" t="b">
        <f>N5</f>
        <v>0</v>
      </c>
      <c r="O42" s="17"/>
      <c r="P42" s="17" t="b">
        <f>P2</f>
        <v>1</v>
      </c>
      <c r="Q42" s="20" t="b">
        <f>Q3</f>
        <v>1</v>
      </c>
      <c r="R42" s="20" t="b">
        <f>R27</f>
        <v>1</v>
      </c>
      <c r="S42" t="b">
        <f>AND(Table152516[[#This Row],[Colloidal Oat]:[Non-comedogenic]],OR(Table152516[[#This Row],[Occlusive]:[Bath Oil]]))</f>
        <v>0</v>
      </c>
      <c r="T42" s="11" t="s">
        <v>1040</v>
      </c>
    </row>
    <row r="43" spans="1:20">
      <c r="A43" t="b">
        <f>IF(Table152516[[#This Row],[Column11]],Table152516[[#This Row],[Column12]])</f>
        <v>0</v>
      </c>
      <c r="B43" s="20" t="b">
        <f t="shared" ref="B43:J43" si="14">B2</f>
        <v>0</v>
      </c>
      <c r="C43" s="20" t="b">
        <f t="shared" si="14"/>
        <v>0</v>
      </c>
      <c r="D43" s="20" t="b">
        <f t="shared" si="14"/>
        <v>0</v>
      </c>
      <c r="E43" s="20" t="b">
        <f t="shared" si="14"/>
        <v>0</v>
      </c>
      <c r="F43" s="20" t="b">
        <f t="shared" si="14"/>
        <v>0</v>
      </c>
      <c r="G43" s="17" t="b">
        <f t="shared" si="14"/>
        <v>1</v>
      </c>
      <c r="H43" s="17" t="b">
        <f t="shared" si="14"/>
        <v>1</v>
      </c>
      <c r="I43" s="17" t="b">
        <f t="shared" si="14"/>
        <v>1</v>
      </c>
      <c r="J43" s="17" t="b">
        <f t="shared" si="14"/>
        <v>1</v>
      </c>
      <c r="K43" s="17"/>
      <c r="L43" s="20" t="b">
        <f>L2</f>
        <v>0</v>
      </c>
      <c r="M43" s="17"/>
      <c r="N43" s="17"/>
      <c r="O43" s="17"/>
      <c r="P43" s="17" t="b">
        <f>P2</f>
        <v>1</v>
      </c>
      <c r="Q43" s="20" t="b">
        <f>Q3</f>
        <v>1</v>
      </c>
      <c r="R43" s="17" t="b">
        <f>R2</f>
        <v>1</v>
      </c>
      <c r="S43" t="b">
        <f>AND(Table152516[[#This Row],[Colloidal Oat]:[Non-comedogenic]],OR(Table152516[[#This Row],[Occlusive]:[Bath Oil]]))</f>
        <v>0</v>
      </c>
      <c r="T43" s="11" t="s">
        <v>1041</v>
      </c>
    </row>
    <row r="44" spans="1:20">
      <c r="A44" t="b">
        <f>IF(Table152516[[#This Row],[Column11]],Table152516[[#This Row],[Column12]])</f>
        <v>0</v>
      </c>
      <c r="B44" s="20" t="b">
        <f t="shared" ref="B44:J44" si="15">B2</f>
        <v>0</v>
      </c>
      <c r="C44" s="20" t="b">
        <f t="shared" si="15"/>
        <v>0</v>
      </c>
      <c r="D44" s="20" t="b">
        <f t="shared" si="15"/>
        <v>0</v>
      </c>
      <c r="E44" s="20" t="b">
        <f t="shared" si="15"/>
        <v>0</v>
      </c>
      <c r="F44" s="20" t="b">
        <f t="shared" si="15"/>
        <v>0</v>
      </c>
      <c r="G44" s="17" t="b">
        <f t="shared" si="15"/>
        <v>1</v>
      </c>
      <c r="H44" s="17" t="b">
        <f t="shared" si="15"/>
        <v>1</v>
      </c>
      <c r="I44" s="17" t="b">
        <f t="shared" si="15"/>
        <v>1</v>
      </c>
      <c r="J44" s="17" t="b">
        <f t="shared" si="15"/>
        <v>1</v>
      </c>
      <c r="K44" s="17"/>
      <c r="L44" s="17"/>
      <c r="M44" s="17"/>
      <c r="N44" s="17"/>
      <c r="O44" s="20" t="b">
        <f>O7</f>
        <v>0</v>
      </c>
      <c r="P44" s="20" t="b">
        <f>P7</f>
        <v>1</v>
      </c>
      <c r="Q44" s="20" t="b">
        <f>Q3</f>
        <v>1</v>
      </c>
      <c r="R44" s="17" t="b">
        <f>R2</f>
        <v>1</v>
      </c>
      <c r="S44" t="b">
        <f>AND(Table152516[[#This Row],[Colloidal Oat]:[Non-comedogenic]],OR(Table152516[[#This Row],[Occlusive]:[Bath Oil]]))</f>
        <v>0</v>
      </c>
      <c r="T44" s="11" t="s">
        <v>1042</v>
      </c>
    </row>
    <row r="45" spans="1:20">
      <c r="A45" t="b">
        <f>IF(Table152516[[#This Row],[Column11]],Table152516[[#This Row],[Column12]])</f>
        <v>0</v>
      </c>
      <c r="B45" s="20" t="b">
        <f>B2</f>
        <v>0</v>
      </c>
      <c r="C45" s="20" t="b">
        <f>C2</f>
        <v>0</v>
      </c>
      <c r="D45" s="20" t="b">
        <f>D2</f>
        <v>0</v>
      </c>
      <c r="E45" s="17"/>
      <c r="F45" s="17" t="b">
        <f>F3</f>
        <v>1</v>
      </c>
      <c r="G45" s="17" t="b">
        <f>G2</f>
        <v>1</v>
      </c>
      <c r="H45" s="17" t="b">
        <f>H2</f>
        <v>1</v>
      </c>
      <c r="I45" s="17" t="b">
        <f>I2</f>
        <v>1</v>
      </c>
      <c r="J45" s="17" t="b">
        <f>J2</f>
        <v>1</v>
      </c>
      <c r="K45" s="17"/>
      <c r="L45" s="17"/>
      <c r="M45" s="17"/>
      <c r="N45" s="20" t="b">
        <f>N5</f>
        <v>0</v>
      </c>
      <c r="O45" s="17"/>
      <c r="P45" s="20" t="b">
        <f>P7</f>
        <v>1</v>
      </c>
      <c r="Q45" s="17" t="b">
        <f>Q2</f>
        <v>1</v>
      </c>
      <c r="R45" s="17" t="b">
        <f>R2</f>
        <v>1</v>
      </c>
      <c r="S45" t="b">
        <f>AND(Table152516[[#This Row],[Colloidal Oat]:[Non-comedogenic]],OR(Table152516[[#This Row],[Occlusive]:[Bath Oil]]))</f>
        <v>0</v>
      </c>
      <c r="T45" s="11" t="s">
        <v>1043</v>
      </c>
    </row>
    <row r="46" spans="1:20">
      <c r="A46" t="b">
        <f>IF(Table152516[[#This Row],[Column11]],Table152516[[#This Row],[Column12]])</f>
        <v>0</v>
      </c>
      <c r="B46" s="20" t="b">
        <f t="shared" ref="B46:J46" si="16">B2</f>
        <v>0</v>
      </c>
      <c r="C46" s="20" t="b">
        <f t="shared" si="16"/>
        <v>0</v>
      </c>
      <c r="D46" s="20" t="b">
        <f t="shared" si="16"/>
        <v>0</v>
      </c>
      <c r="E46" s="20" t="b">
        <f t="shared" si="16"/>
        <v>0</v>
      </c>
      <c r="F46" s="20" t="b">
        <f t="shared" si="16"/>
        <v>0</v>
      </c>
      <c r="G46" s="17" t="b">
        <f t="shared" si="16"/>
        <v>1</v>
      </c>
      <c r="H46" s="17" t="b">
        <f t="shared" si="16"/>
        <v>1</v>
      </c>
      <c r="I46" s="17" t="b">
        <f t="shared" si="16"/>
        <v>1</v>
      </c>
      <c r="J46" s="17" t="b">
        <f t="shared" si="16"/>
        <v>1</v>
      </c>
      <c r="K46" s="17"/>
      <c r="L46" s="17"/>
      <c r="M46" s="17"/>
      <c r="N46" s="20" t="b">
        <f>N5</f>
        <v>0</v>
      </c>
      <c r="O46" s="17"/>
      <c r="P46" s="17" t="b">
        <f>P2</f>
        <v>1</v>
      </c>
      <c r="Q46" s="20" t="b">
        <f>Q3</f>
        <v>1</v>
      </c>
      <c r="R46" s="17" t="b">
        <f>R2</f>
        <v>1</v>
      </c>
      <c r="S46" t="b">
        <f>AND(Table152516[[#This Row],[Colloidal Oat]:[Non-comedogenic]],OR(Table152516[[#This Row],[Occlusive]:[Bath Oil]]))</f>
        <v>0</v>
      </c>
      <c r="T46" s="11" t="s">
        <v>1044</v>
      </c>
    </row>
    <row r="47" spans="1:20">
      <c r="A47" t="b">
        <f>IF(Table152516[[#This Row],[Column11]],Table152516[[#This Row],[Column12]])</f>
        <v>0</v>
      </c>
      <c r="B47" s="20" t="b">
        <f>B2</f>
        <v>0</v>
      </c>
      <c r="C47" s="20" t="b">
        <f>C2</f>
        <v>0</v>
      </c>
      <c r="D47" s="17"/>
      <c r="E47" s="20" t="b">
        <f t="shared" ref="E47:J47" si="17">E2</f>
        <v>0</v>
      </c>
      <c r="F47" s="20" t="b">
        <f t="shared" si="17"/>
        <v>0</v>
      </c>
      <c r="G47" s="17" t="b">
        <f t="shared" si="17"/>
        <v>1</v>
      </c>
      <c r="H47" s="17" t="b">
        <f t="shared" si="17"/>
        <v>1</v>
      </c>
      <c r="I47" s="17" t="b">
        <f t="shared" si="17"/>
        <v>1</v>
      </c>
      <c r="J47" s="17" t="b">
        <f t="shared" si="17"/>
        <v>1</v>
      </c>
      <c r="K47" s="17"/>
      <c r="L47" s="17"/>
      <c r="M47" s="17"/>
      <c r="N47" s="20" t="b">
        <f>N5</f>
        <v>0</v>
      </c>
      <c r="O47" s="17"/>
      <c r="P47" s="17" t="b">
        <f>P2</f>
        <v>1</v>
      </c>
      <c r="Q47" s="20" t="b">
        <f>Q3</f>
        <v>1</v>
      </c>
      <c r="R47" s="17" t="b">
        <f>R2</f>
        <v>1</v>
      </c>
      <c r="S47" t="b">
        <f>AND(Table152516[[#This Row],[Colloidal Oat]:[Non-comedogenic]],OR(Table152516[[#This Row],[Occlusive]:[Bath Oil]]))</f>
        <v>0</v>
      </c>
      <c r="T47" s="11" t="s">
        <v>1045</v>
      </c>
    </row>
    <row r="48" spans="1:20">
      <c r="A48" t="b">
        <f>IF(Table152516[[#This Row],[Column11]],Table152516[[#This Row],[Column12]])</f>
        <v>0</v>
      </c>
      <c r="B48" s="20" t="b">
        <f>B2</f>
        <v>0</v>
      </c>
      <c r="C48" s="20" t="b">
        <f>C2</f>
        <v>0</v>
      </c>
      <c r="D48" s="17"/>
      <c r="E48" s="20" t="b">
        <f t="shared" ref="E48:J48" si="18">E2</f>
        <v>0</v>
      </c>
      <c r="F48" s="20" t="b">
        <f t="shared" si="18"/>
        <v>0</v>
      </c>
      <c r="G48" s="17" t="b">
        <f t="shared" si="18"/>
        <v>1</v>
      </c>
      <c r="H48" s="17" t="b">
        <f t="shared" si="18"/>
        <v>1</v>
      </c>
      <c r="I48" s="17" t="b">
        <f t="shared" si="18"/>
        <v>1</v>
      </c>
      <c r="J48" s="17" t="b">
        <f t="shared" si="18"/>
        <v>1</v>
      </c>
      <c r="K48" s="17"/>
      <c r="L48" s="17"/>
      <c r="M48" s="17"/>
      <c r="N48" s="20" t="b">
        <f>N5</f>
        <v>0</v>
      </c>
      <c r="O48" s="17"/>
      <c r="P48" s="17" t="b">
        <f>P2</f>
        <v>1</v>
      </c>
      <c r="Q48" s="20" t="b">
        <f>Q3</f>
        <v>1</v>
      </c>
      <c r="R48" s="17" t="b">
        <f>R2</f>
        <v>1</v>
      </c>
      <c r="S48" t="b">
        <f>AND(Table152516[[#This Row],[Colloidal Oat]:[Non-comedogenic]],OR(Table152516[[#This Row],[Occlusive]:[Bath Oil]]))</f>
        <v>0</v>
      </c>
      <c r="T48" s="11" t="s">
        <v>1046</v>
      </c>
    </row>
    <row r="49" spans="1:20">
      <c r="A49" t="b">
        <f>IF(Table152516[[#This Row],[Column11]],Table152516[[#This Row],[Column12]])</f>
        <v>0</v>
      </c>
      <c r="B49" s="20" t="b">
        <f>B2</f>
        <v>0</v>
      </c>
      <c r="C49" s="20" t="b">
        <f>C2</f>
        <v>0</v>
      </c>
      <c r="D49" s="17"/>
      <c r="E49" s="20" t="b">
        <f t="shared" ref="E49:J49" si="19">E2</f>
        <v>0</v>
      </c>
      <c r="F49" s="20" t="b">
        <f t="shared" si="19"/>
        <v>0</v>
      </c>
      <c r="G49" s="17" t="b">
        <f t="shared" si="19"/>
        <v>1</v>
      </c>
      <c r="H49" s="17" t="b">
        <f t="shared" si="19"/>
        <v>1</v>
      </c>
      <c r="I49" s="17" t="b">
        <f t="shared" si="19"/>
        <v>1</v>
      </c>
      <c r="J49" s="17" t="b">
        <f t="shared" si="19"/>
        <v>1</v>
      </c>
      <c r="K49" s="17"/>
      <c r="L49" s="20" t="b">
        <f>L2</f>
        <v>0</v>
      </c>
      <c r="M49" s="17"/>
      <c r="N49" s="17"/>
      <c r="O49" s="17"/>
      <c r="P49" s="17" t="b">
        <f>P2</f>
        <v>1</v>
      </c>
      <c r="Q49" s="20" t="b">
        <f>Q3</f>
        <v>1</v>
      </c>
      <c r="R49" s="17" t="b">
        <f>R2</f>
        <v>1</v>
      </c>
      <c r="S49" t="b">
        <f>AND(Table152516[[#This Row],[Colloidal Oat]:[Non-comedogenic]],OR(Table152516[[#This Row],[Occlusive]:[Bath Oil]]))</f>
        <v>0</v>
      </c>
      <c r="T49" s="11" t="s">
        <v>1047</v>
      </c>
    </row>
    <row r="50" spans="1:20">
      <c r="A50" t="b">
        <f>IF(Table152516[[#This Row],[Column11]],Table152516[[#This Row],[Column12]])</f>
        <v>0</v>
      </c>
      <c r="B50" s="20" t="b">
        <f t="shared" ref="B50:J50" si="20">B2</f>
        <v>0</v>
      </c>
      <c r="C50" s="20" t="b">
        <f t="shared" si="20"/>
        <v>0</v>
      </c>
      <c r="D50" s="20" t="b">
        <f t="shared" si="20"/>
        <v>0</v>
      </c>
      <c r="E50" s="20" t="b">
        <f t="shared" si="20"/>
        <v>0</v>
      </c>
      <c r="F50" s="20" t="b">
        <f t="shared" si="20"/>
        <v>0</v>
      </c>
      <c r="G50" s="17" t="b">
        <f t="shared" si="20"/>
        <v>1</v>
      </c>
      <c r="H50" s="17" t="b">
        <f t="shared" si="20"/>
        <v>1</v>
      </c>
      <c r="I50" s="17" t="b">
        <f t="shared" si="20"/>
        <v>1</v>
      </c>
      <c r="J50" s="17" t="b">
        <f t="shared" si="20"/>
        <v>1</v>
      </c>
      <c r="K50" s="17"/>
      <c r="L50" s="20" t="b">
        <f>L2</f>
        <v>0</v>
      </c>
      <c r="M50" s="17"/>
      <c r="N50" s="17"/>
      <c r="O50" s="17"/>
      <c r="P50" s="17" t="b">
        <f>P2</f>
        <v>1</v>
      </c>
      <c r="Q50" s="20" t="b">
        <f>Q3</f>
        <v>1</v>
      </c>
      <c r="R50" s="17" t="b">
        <f>R2</f>
        <v>1</v>
      </c>
      <c r="S50" t="b">
        <f>AND(Table152516[[#This Row],[Colloidal Oat]:[Non-comedogenic]],OR(Table152516[[#This Row],[Occlusive]:[Bath Oil]]))</f>
        <v>0</v>
      </c>
      <c r="T50" s="11" t="s">
        <v>1048</v>
      </c>
    </row>
    <row r="51" spans="1:20">
      <c r="A51" t="b">
        <f>IF(Table152516[[#This Row],[Column11]],Table152516[[#This Row],[Column12]])</f>
        <v>0</v>
      </c>
      <c r="B51" s="20" t="b">
        <f>B2</f>
        <v>0</v>
      </c>
      <c r="C51" s="20" t="b">
        <f>C2</f>
        <v>0</v>
      </c>
      <c r="D51" s="17"/>
      <c r="E51" s="17"/>
      <c r="F51" s="17" t="b">
        <f>F3</f>
        <v>1</v>
      </c>
      <c r="G51" s="20" t="b">
        <f>G21</f>
        <v>0</v>
      </c>
      <c r="H51" s="17" t="b">
        <f>H2</f>
        <v>1</v>
      </c>
      <c r="I51" s="17" t="b">
        <f>I2</f>
        <v>1</v>
      </c>
      <c r="J51" s="106"/>
      <c r="K51" s="17"/>
      <c r="L51" s="20" t="b">
        <f>L2</f>
        <v>0</v>
      </c>
      <c r="M51" s="17"/>
      <c r="N51" s="17"/>
      <c r="O51" s="17"/>
      <c r="P51" s="20" t="b">
        <f>P7</f>
        <v>1</v>
      </c>
      <c r="Q51" s="17" t="b">
        <f>Q2</f>
        <v>1</v>
      </c>
      <c r="R51" s="20" t="b">
        <f>R27</f>
        <v>1</v>
      </c>
      <c r="S51" t="b">
        <f>AND(Table152516[[#This Row],[Colloidal Oat]:[Non-comedogenic]],OR(Table152516[[#This Row],[Occlusive]:[Bath Oil]]))</f>
        <v>0</v>
      </c>
      <c r="T51" s="11" t="s">
        <v>1049</v>
      </c>
    </row>
    <row r="52" spans="1:20">
      <c r="A52" t="b">
        <f>IF(Table152516[[#This Row],[Column11]],Table152516[[#This Row],[Column12]])</f>
        <v>0</v>
      </c>
      <c r="B52" s="20" t="b">
        <f>B2</f>
        <v>0</v>
      </c>
      <c r="C52" s="20" t="b">
        <f>C2</f>
        <v>0</v>
      </c>
      <c r="D52" s="17"/>
      <c r="E52" s="20" t="b">
        <f t="shared" ref="E52:J52" si="21">E2</f>
        <v>0</v>
      </c>
      <c r="F52" s="20" t="b">
        <f t="shared" si="21"/>
        <v>0</v>
      </c>
      <c r="G52" s="17" t="b">
        <f t="shared" si="21"/>
        <v>1</v>
      </c>
      <c r="H52" s="17" t="b">
        <f t="shared" si="21"/>
        <v>1</v>
      </c>
      <c r="I52" s="17" t="b">
        <f t="shared" si="21"/>
        <v>1</v>
      </c>
      <c r="J52" s="17" t="b">
        <f t="shared" si="21"/>
        <v>1</v>
      </c>
      <c r="K52" s="17"/>
      <c r="L52" s="20" t="b">
        <f>L2</f>
        <v>0</v>
      </c>
      <c r="M52" s="17"/>
      <c r="N52" s="17"/>
      <c r="O52" s="17"/>
      <c r="P52" s="17" t="b">
        <f>P2</f>
        <v>1</v>
      </c>
      <c r="Q52" s="20" t="b">
        <f>Q3</f>
        <v>1</v>
      </c>
      <c r="R52" s="17" t="b">
        <f>R2</f>
        <v>1</v>
      </c>
      <c r="S52" t="b">
        <f>AND(Table152516[[#This Row],[Colloidal Oat]:[Non-comedogenic]],OR(Table152516[[#This Row],[Occlusive]:[Bath Oil]]))</f>
        <v>0</v>
      </c>
      <c r="T52" s="11" t="s">
        <v>1050</v>
      </c>
    </row>
    <row r="53" spans="1:20">
      <c r="A53" t="b">
        <f>IF(Table152516[[#This Row],[Column11]],Table152516[[#This Row],[Column12]])</f>
        <v>0</v>
      </c>
      <c r="B53" s="20" t="b">
        <f t="shared" ref="B53:J53" si="22">B2</f>
        <v>0</v>
      </c>
      <c r="C53" s="20" t="b">
        <f t="shared" si="22"/>
        <v>0</v>
      </c>
      <c r="D53" s="20" t="b">
        <f t="shared" si="22"/>
        <v>0</v>
      </c>
      <c r="E53" s="20" t="b">
        <f t="shared" si="22"/>
        <v>0</v>
      </c>
      <c r="F53" s="20" t="b">
        <f t="shared" si="22"/>
        <v>0</v>
      </c>
      <c r="G53" s="17" t="b">
        <f t="shared" si="22"/>
        <v>1</v>
      </c>
      <c r="H53" s="17" t="b">
        <f t="shared" si="22"/>
        <v>1</v>
      </c>
      <c r="I53" s="17" t="b">
        <f t="shared" si="22"/>
        <v>1</v>
      </c>
      <c r="J53" s="17" t="b">
        <f t="shared" si="22"/>
        <v>1</v>
      </c>
      <c r="K53" s="17"/>
      <c r="L53" s="20" t="b">
        <f>L2</f>
        <v>0</v>
      </c>
      <c r="M53" s="17"/>
      <c r="N53" s="17"/>
      <c r="O53" s="17"/>
      <c r="P53" s="17" t="b">
        <f>P2</f>
        <v>1</v>
      </c>
      <c r="Q53" s="20" t="b">
        <f>Q3</f>
        <v>1</v>
      </c>
      <c r="R53" s="20" t="b">
        <f>R27</f>
        <v>1</v>
      </c>
      <c r="S53" t="b">
        <f>AND(Table152516[[#This Row],[Colloidal Oat]:[Non-comedogenic]],OR(Table152516[[#This Row],[Occlusive]:[Bath Oil]]))</f>
        <v>0</v>
      </c>
      <c r="T53" s="11" t="s">
        <v>1051</v>
      </c>
    </row>
    <row r="54" spans="1:20">
      <c r="A54" t="b">
        <f>IF(Table152516[[#This Row],[Column11]],Table152516[[#This Row],[Column12]])</f>
        <v>0</v>
      </c>
      <c r="B54" s="20" t="b">
        <f>B2</f>
        <v>0</v>
      </c>
      <c r="C54" s="20" t="b">
        <f>C2</f>
        <v>0</v>
      </c>
      <c r="D54" s="17"/>
      <c r="E54" s="20" t="b">
        <f t="shared" ref="E54:J54" si="23">E2</f>
        <v>0</v>
      </c>
      <c r="F54" s="20" t="b">
        <f t="shared" si="23"/>
        <v>0</v>
      </c>
      <c r="G54" s="17" t="b">
        <f t="shared" si="23"/>
        <v>1</v>
      </c>
      <c r="H54" s="17" t="b">
        <f t="shared" si="23"/>
        <v>1</v>
      </c>
      <c r="I54" s="17" t="b">
        <f t="shared" si="23"/>
        <v>1</v>
      </c>
      <c r="J54" s="17" t="b">
        <f t="shared" si="23"/>
        <v>1</v>
      </c>
      <c r="K54" s="17"/>
      <c r="L54" s="20" t="b">
        <f>L2</f>
        <v>0</v>
      </c>
      <c r="M54" s="17"/>
      <c r="N54" s="17"/>
      <c r="O54" s="17"/>
      <c r="P54" s="17" t="b">
        <f>P2</f>
        <v>1</v>
      </c>
      <c r="Q54" s="17" t="b">
        <f>Q2</f>
        <v>1</v>
      </c>
      <c r="R54" s="17" t="b">
        <f>R2</f>
        <v>1</v>
      </c>
      <c r="S54" t="b">
        <f>AND(Table152516[[#This Row],[Colloidal Oat]:[Non-comedogenic]],OR(Table152516[[#This Row],[Occlusive]:[Bath Oil]]))</f>
        <v>0</v>
      </c>
      <c r="T54" s="11" t="s">
        <v>1052</v>
      </c>
    </row>
    <row r="55" spans="1:20">
      <c r="A55" t="b">
        <f>IF(Table152516[[#This Row],[Column11]],Table152516[[#This Row],[Column12]])</f>
        <v>0</v>
      </c>
      <c r="B55" s="20" t="b">
        <f>B2</f>
        <v>0</v>
      </c>
      <c r="C55" s="20" t="b">
        <f>C2</f>
        <v>0</v>
      </c>
      <c r="D55" s="17"/>
      <c r="E55" s="20" t="b">
        <f t="shared" ref="E55:J55" si="24">E2</f>
        <v>0</v>
      </c>
      <c r="F55" s="20" t="b">
        <f t="shared" si="24"/>
        <v>0</v>
      </c>
      <c r="G55" s="17" t="b">
        <f t="shared" si="24"/>
        <v>1</v>
      </c>
      <c r="H55" s="17" t="b">
        <f t="shared" si="24"/>
        <v>1</v>
      </c>
      <c r="I55" s="17" t="b">
        <f t="shared" si="24"/>
        <v>1</v>
      </c>
      <c r="J55" s="17" t="b">
        <f t="shared" si="24"/>
        <v>1</v>
      </c>
      <c r="K55" s="20" t="b">
        <f>K5</f>
        <v>0</v>
      </c>
      <c r="L55" s="17"/>
      <c r="M55" s="17"/>
      <c r="N55" s="20" t="b">
        <f>N5</f>
        <v>0</v>
      </c>
      <c r="O55" s="17"/>
      <c r="P55" s="17" t="b">
        <f>P2</f>
        <v>1</v>
      </c>
      <c r="Q55" s="17" t="b">
        <f>Q2</f>
        <v>1</v>
      </c>
      <c r="R55" s="17" t="b">
        <f>R2</f>
        <v>1</v>
      </c>
      <c r="S55" t="b">
        <f>AND(Table152516[[#This Row],[Colloidal Oat]:[Non-comedogenic]],OR(Table152516[[#This Row],[Occlusive]:[Bath Oil]]))</f>
        <v>0</v>
      </c>
      <c r="T55" s="11" t="s">
        <v>1053</v>
      </c>
    </row>
    <row r="56" spans="1:20">
      <c r="A56" t="b">
        <f>IF(Table152516[[#This Row],[Column11]],Table152516[[#This Row],[Column12]])</f>
        <v>0</v>
      </c>
      <c r="B56" s="20" t="b">
        <f t="shared" ref="B56:J56" si="25">B2</f>
        <v>0</v>
      </c>
      <c r="C56" s="20" t="b">
        <f t="shared" si="25"/>
        <v>0</v>
      </c>
      <c r="D56" s="20" t="b">
        <f t="shared" si="25"/>
        <v>0</v>
      </c>
      <c r="E56" s="20" t="b">
        <f t="shared" si="25"/>
        <v>0</v>
      </c>
      <c r="F56" s="20" t="b">
        <f t="shared" si="25"/>
        <v>0</v>
      </c>
      <c r="G56" s="17" t="b">
        <f t="shared" si="25"/>
        <v>1</v>
      </c>
      <c r="H56" s="17" t="b">
        <f t="shared" si="25"/>
        <v>1</v>
      </c>
      <c r="I56" s="17" t="b">
        <f t="shared" si="25"/>
        <v>1</v>
      </c>
      <c r="J56" s="17" t="b">
        <f t="shared" si="25"/>
        <v>1</v>
      </c>
      <c r="K56" s="17"/>
      <c r="L56" s="20" t="b">
        <f>L2</f>
        <v>0</v>
      </c>
      <c r="M56" s="17"/>
      <c r="N56" s="17"/>
      <c r="O56" s="17"/>
      <c r="P56" s="17" t="b">
        <f>P2</f>
        <v>1</v>
      </c>
      <c r="Q56" s="17" t="b">
        <f>Q2</f>
        <v>1</v>
      </c>
      <c r="R56" s="17" t="b">
        <f>R2</f>
        <v>1</v>
      </c>
      <c r="S56" t="b">
        <f>AND(Table152516[[#This Row],[Colloidal Oat]:[Non-comedogenic]],OR(Table152516[[#This Row],[Occlusive]:[Bath Oil]]))</f>
        <v>0</v>
      </c>
      <c r="T56" s="11" t="s">
        <v>1054</v>
      </c>
    </row>
    <row r="57" spans="1:20">
      <c r="A57" s="16" t="e">
        <f>IF(Table152516[[#This Row],[Column11]],Table152516[[#This Row],[Column12]])</f>
        <v>#VALUE!</v>
      </c>
      <c r="B57" s="16"/>
      <c r="C57" s="16"/>
      <c r="D57" s="16"/>
      <c r="E57" s="16"/>
      <c r="F57" s="16"/>
      <c r="G57" s="16"/>
      <c r="H57" s="16"/>
      <c r="I57" s="16"/>
      <c r="J57" s="16"/>
      <c r="K57" s="16"/>
      <c r="L57" s="16"/>
      <c r="M57" s="16"/>
      <c r="N57" s="16"/>
      <c r="O57" s="16"/>
      <c r="P57" s="16"/>
      <c r="Q57" s="16"/>
      <c r="R57" s="16"/>
      <c r="S57" s="16" t="e">
        <f>AND(Table152516[[#This Row],[Colloidal Oat]:[Non-comedogenic]],OR(Table152516[[#This Row],[Occlusive]:[Bath Oil]]))</f>
        <v>#VALUE!</v>
      </c>
      <c r="T57" s="16"/>
    </row>
    <row r="58" spans="1:20">
      <c r="A58" t="b">
        <f>IF(Table152516[[#This Row],[Column11]],Table152516[[#This Row],[Column12]])</f>
        <v>0</v>
      </c>
      <c r="B58" s="17"/>
      <c r="C58" s="20" t="b">
        <f>C2</f>
        <v>0</v>
      </c>
      <c r="D58" s="17"/>
      <c r="E58" s="17"/>
      <c r="F58" s="17" t="b">
        <f>F3</f>
        <v>1</v>
      </c>
      <c r="G58" s="20" t="b">
        <f>G21</f>
        <v>0</v>
      </c>
      <c r="H58" s="17" t="b">
        <f>H2</f>
        <v>1</v>
      </c>
      <c r="I58" s="17" t="b">
        <f>I2</f>
        <v>1</v>
      </c>
      <c r="J58" s="106"/>
      <c r="K58" s="17"/>
      <c r="L58" s="20" t="b">
        <f>L2</f>
        <v>0</v>
      </c>
      <c r="M58" s="17"/>
      <c r="N58" s="17"/>
      <c r="O58" s="17"/>
      <c r="P58" s="17" t="b">
        <f>P2</f>
        <v>1</v>
      </c>
      <c r="Q58" s="17" t="b">
        <f>Q2</f>
        <v>1</v>
      </c>
      <c r="R58" s="17" t="b">
        <f>R2</f>
        <v>1</v>
      </c>
      <c r="S58" t="b">
        <f>AND(Table152516[[#This Row],[Colloidal Oat]:[Non-comedogenic]],OR(Table152516[[#This Row],[Occlusive]:[Bath Oil]]))</f>
        <v>0</v>
      </c>
      <c r="T58" s="11" t="s">
        <v>1055</v>
      </c>
    </row>
    <row r="59" spans="1:20">
      <c r="A59" t="b">
        <f>IF(Table152516[[#This Row],[Column11]],Table152516[[#This Row],[Column12]])</f>
        <v>0</v>
      </c>
      <c r="B59" s="17"/>
      <c r="C59" s="20" t="b">
        <f>C2</f>
        <v>0</v>
      </c>
      <c r="D59" s="17"/>
      <c r="E59" s="17"/>
      <c r="F59" s="17" t="b">
        <f>F3</f>
        <v>1</v>
      </c>
      <c r="G59" s="20" t="b">
        <f>G21</f>
        <v>0</v>
      </c>
      <c r="H59" s="17" t="b">
        <f>H2</f>
        <v>1</v>
      </c>
      <c r="I59" s="17" t="b">
        <f>I2</f>
        <v>1</v>
      </c>
      <c r="J59" s="106"/>
      <c r="K59" s="17"/>
      <c r="L59" s="17"/>
      <c r="M59" s="17"/>
      <c r="N59" s="20" t="b">
        <f>N5</f>
        <v>0</v>
      </c>
      <c r="O59" s="17"/>
      <c r="P59" s="17" t="b">
        <f>P2</f>
        <v>1</v>
      </c>
      <c r="Q59" s="17" t="b">
        <f>Q2</f>
        <v>1</v>
      </c>
      <c r="R59" s="17" t="b">
        <f>R2</f>
        <v>1</v>
      </c>
      <c r="S59" t="b">
        <f>AND(Table152516[[#This Row],[Colloidal Oat]:[Non-comedogenic]],OR(Table152516[[#This Row],[Occlusive]:[Bath Oil]]))</f>
        <v>0</v>
      </c>
      <c r="T59" s="11" t="s">
        <v>1056</v>
      </c>
    </row>
    <row r="60" spans="1:20">
      <c r="A60" t="b">
        <f>IF(Table152516[[#This Row],[Column11]],Table152516[[#This Row],[Column12]])</f>
        <v>0</v>
      </c>
      <c r="B60" s="17"/>
      <c r="C60" s="20" t="b">
        <f>C2</f>
        <v>0</v>
      </c>
      <c r="D60" s="17"/>
      <c r="E60" s="17"/>
      <c r="F60" s="17" t="b">
        <f>F3</f>
        <v>1</v>
      </c>
      <c r="G60" s="20" t="b">
        <f>G21</f>
        <v>0</v>
      </c>
      <c r="H60" s="17" t="b">
        <f>H2</f>
        <v>1</v>
      </c>
      <c r="I60" s="17" t="b">
        <f>I2</f>
        <v>1</v>
      </c>
      <c r="J60" s="106"/>
      <c r="K60" s="17"/>
      <c r="L60" s="20" t="b">
        <f>L2</f>
        <v>0</v>
      </c>
      <c r="M60" s="17"/>
      <c r="N60" s="17"/>
      <c r="O60" s="17"/>
      <c r="P60" s="17" t="b">
        <f>P2</f>
        <v>1</v>
      </c>
      <c r="Q60" s="17" t="b">
        <f>Q2</f>
        <v>1</v>
      </c>
      <c r="R60" s="17" t="b">
        <f>R2</f>
        <v>1</v>
      </c>
      <c r="S60" t="b">
        <f>AND(Table152516[[#This Row],[Colloidal Oat]:[Non-comedogenic]],OR(Table152516[[#This Row],[Occlusive]:[Bath Oil]]))</f>
        <v>0</v>
      </c>
      <c r="T60" s="28" t="s">
        <v>1057</v>
      </c>
    </row>
    <row r="61" spans="1:20">
      <c r="A61" s="16" t="e">
        <f>IF(Table152516[[#This Row],[Column11]],Table152516[[#This Row],[Column12]])</f>
        <v>#VALUE!</v>
      </c>
      <c r="B61" s="16"/>
      <c r="C61" s="16"/>
      <c r="D61" s="16"/>
      <c r="E61" s="16"/>
      <c r="F61" s="16"/>
      <c r="G61" s="16"/>
      <c r="H61" s="16"/>
      <c r="I61" s="16"/>
      <c r="J61" s="16"/>
      <c r="K61" s="16"/>
      <c r="L61" s="16"/>
      <c r="M61" s="16"/>
      <c r="N61" s="16"/>
      <c r="O61" s="16"/>
      <c r="P61" s="16"/>
      <c r="Q61" s="16"/>
      <c r="R61" s="16"/>
      <c r="S61" s="16" t="e">
        <f>AND(Table152516[[#This Row],[Colloidal Oat]:[Non-comedogenic]],OR(Table152516[[#This Row],[Occlusive]:[Bath Oil]]))</f>
        <v>#VALUE!</v>
      </c>
      <c r="T61" s="16"/>
    </row>
    <row r="62" spans="1:20">
      <c r="A62" t="b">
        <f>IF(Table152516[[#This Row],[Column11]],Table152516[[#This Row],[Column12]])</f>
        <v>0</v>
      </c>
      <c r="B62" s="20" t="b">
        <f>B2</f>
        <v>0</v>
      </c>
      <c r="C62" s="20" t="b">
        <f>C2</f>
        <v>0</v>
      </c>
      <c r="D62" s="20" t="b">
        <f>D2</f>
        <v>0</v>
      </c>
      <c r="E62" s="17"/>
      <c r="F62" s="17" t="b">
        <f>F3</f>
        <v>1</v>
      </c>
      <c r="G62" s="17" t="b">
        <f>G2</f>
        <v>1</v>
      </c>
      <c r="H62" s="17" t="b">
        <f>H2</f>
        <v>1</v>
      </c>
      <c r="I62" s="20" t="b">
        <f>I3</f>
        <v>1</v>
      </c>
      <c r="J62" s="17" t="b">
        <f>J2</f>
        <v>1</v>
      </c>
      <c r="K62" s="17"/>
      <c r="L62" s="20" t="b">
        <f>L2</f>
        <v>0</v>
      </c>
      <c r="M62" s="17"/>
      <c r="N62" s="17"/>
      <c r="O62" s="17"/>
      <c r="P62" s="20" t="b">
        <f>P7</f>
        <v>1</v>
      </c>
      <c r="Q62" s="20" t="b">
        <f>Q3</f>
        <v>1</v>
      </c>
      <c r="R62" s="20" t="b">
        <f>R27</f>
        <v>1</v>
      </c>
      <c r="S62" t="b">
        <f>AND(Table152516[[#This Row],[Colloidal Oat]:[Non-comedogenic]],OR(Table152516[[#This Row],[Occlusive]:[Bath Oil]]))</f>
        <v>0</v>
      </c>
      <c r="T62" s="11" t="s">
        <v>1058</v>
      </c>
    </row>
    <row r="63" spans="1:20">
      <c r="A63" t="b">
        <f>IF(Table152516[[#This Row],[Column11]],Table152516[[#This Row],[Column12]])</f>
        <v>0</v>
      </c>
      <c r="B63" s="20" t="b">
        <f>B2</f>
        <v>0</v>
      </c>
      <c r="C63" s="20" t="b">
        <f>C2</f>
        <v>0</v>
      </c>
      <c r="D63" s="20" t="b">
        <f>D2</f>
        <v>0</v>
      </c>
      <c r="E63" s="17"/>
      <c r="F63" s="17" t="b">
        <f>F3</f>
        <v>1</v>
      </c>
      <c r="G63" s="17" t="b">
        <f>G2</f>
        <v>1</v>
      </c>
      <c r="H63" s="17" t="b">
        <f>H2</f>
        <v>1</v>
      </c>
      <c r="I63" s="20" t="b">
        <f>I3</f>
        <v>1</v>
      </c>
      <c r="J63" s="17" t="b">
        <f>J2</f>
        <v>1</v>
      </c>
      <c r="K63" s="17"/>
      <c r="L63" s="17"/>
      <c r="M63" s="17"/>
      <c r="N63" s="20" t="b">
        <f>N5</f>
        <v>0</v>
      </c>
      <c r="O63" s="17"/>
      <c r="P63" s="17" t="b">
        <f>P2</f>
        <v>1</v>
      </c>
      <c r="Q63" s="17" t="b">
        <f>Q2</f>
        <v>1</v>
      </c>
      <c r="R63" s="17" t="b">
        <f>R2</f>
        <v>1</v>
      </c>
      <c r="S63" t="b">
        <f>AND(Table152516[[#This Row],[Colloidal Oat]:[Non-comedogenic]],OR(Table152516[[#This Row],[Occlusive]:[Bath Oil]]))</f>
        <v>0</v>
      </c>
      <c r="T63" s="11" t="s">
        <v>1059</v>
      </c>
    </row>
    <row r="64" spans="1:20">
      <c r="A64" t="b">
        <f>IF(Table152516[[#This Row],[Column11]],Table152516[[#This Row],[Column12]])</f>
        <v>0</v>
      </c>
      <c r="B64" s="20" t="b">
        <f>B2</f>
        <v>0</v>
      </c>
      <c r="C64" s="20" t="b">
        <f>C2</f>
        <v>0</v>
      </c>
      <c r="D64" s="20" t="b">
        <f>D2</f>
        <v>0</v>
      </c>
      <c r="E64" s="17"/>
      <c r="F64" s="17" t="b">
        <f>F3</f>
        <v>1</v>
      </c>
      <c r="G64" s="17" t="b">
        <f>G2</f>
        <v>1</v>
      </c>
      <c r="H64" s="17" t="b">
        <f>H2</f>
        <v>1</v>
      </c>
      <c r="I64" s="20" t="b">
        <f>I3</f>
        <v>1</v>
      </c>
      <c r="J64" s="17" t="b">
        <f>J2</f>
        <v>1</v>
      </c>
      <c r="K64" s="17"/>
      <c r="L64" s="17"/>
      <c r="M64" s="17"/>
      <c r="N64" s="20" t="b">
        <f>N5</f>
        <v>0</v>
      </c>
      <c r="O64" s="17"/>
      <c r="P64" s="17" t="b">
        <f>P2</f>
        <v>1</v>
      </c>
      <c r="Q64" s="17" t="b">
        <f>Q2</f>
        <v>1</v>
      </c>
      <c r="R64" s="20" t="b">
        <f>R27</f>
        <v>1</v>
      </c>
      <c r="S64" t="b">
        <f>AND(Table152516[[#This Row],[Colloidal Oat]:[Non-comedogenic]],OR(Table152516[[#This Row],[Occlusive]:[Bath Oil]]))</f>
        <v>0</v>
      </c>
      <c r="T64" s="11" t="s">
        <v>1060</v>
      </c>
    </row>
    <row r="65" spans="1:20">
      <c r="A65" s="16" t="e">
        <f>IF(Table152516[[#This Row],[Column11]],Table152516[[#This Row],[Column12]])</f>
        <v>#VALUE!</v>
      </c>
      <c r="B65" s="16"/>
      <c r="C65" s="16"/>
      <c r="D65" s="16"/>
      <c r="E65" s="16"/>
      <c r="F65" s="16"/>
      <c r="G65" s="16"/>
      <c r="H65" s="16"/>
      <c r="I65" s="16"/>
      <c r="J65" s="16"/>
      <c r="K65" s="16"/>
      <c r="L65" s="16"/>
      <c r="M65" s="16"/>
      <c r="N65" s="16"/>
      <c r="O65" s="16"/>
      <c r="P65" s="16"/>
      <c r="Q65" s="16"/>
      <c r="R65" s="16"/>
      <c r="S65" s="16" t="e">
        <f>AND(Table152516[[#This Row],[Colloidal Oat]:[Non-comedogenic]],OR(Table152516[[#This Row],[Occlusive]:[Bath Oil]]))</f>
        <v>#VALUE!</v>
      </c>
      <c r="T65" s="16"/>
    </row>
    <row r="66" spans="1:20">
      <c r="A66" t="b">
        <f>IF(Table152516[[#This Row],[Column11]],Table152516[[#This Row],[Column12]])</f>
        <v>0</v>
      </c>
      <c r="B66" s="20" t="b">
        <f>B2</f>
        <v>0</v>
      </c>
      <c r="C66" s="20" t="b">
        <f>C2</f>
        <v>0</v>
      </c>
      <c r="D66" s="20" t="b">
        <f>D2</f>
        <v>0</v>
      </c>
      <c r="E66" s="17"/>
      <c r="F66" s="17" t="b">
        <f>F3</f>
        <v>1</v>
      </c>
      <c r="G66" s="17" t="b">
        <f>G2</f>
        <v>1</v>
      </c>
      <c r="H66" s="17" t="b">
        <f>H2</f>
        <v>1</v>
      </c>
      <c r="I66" s="17" t="b">
        <f>I2</f>
        <v>1</v>
      </c>
      <c r="J66" s="17" t="b">
        <f>J2</f>
        <v>1</v>
      </c>
      <c r="K66" s="17"/>
      <c r="L66" s="17"/>
      <c r="M66" s="17"/>
      <c r="N66" s="20" t="b">
        <f>N5</f>
        <v>0</v>
      </c>
      <c r="O66" s="17"/>
      <c r="P66" s="17" t="b">
        <f>P2</f>
        <v>1</v>
      </c>
      <c r="Q66" s="17" t="b">
        <f>Q2</f>
        <v>1</v>
      </c>
      <c r="R66" s="17" t="b">
        <f>R2</f>
        <v>1</v>
      </c>
      <c r="S66" t="b">
        <f>AND(Table152516[[#This Row],[Colloidal Oat]:[Non-comedogenic]],OR(Table152516[[#This Row],[Occlusive]:[Bath Oil]]))</f>
        <v>0</v>
      </c>
      <c r="T66" s="11" t="s">
        <v>1061</v>
      </c>
    </row>
    <row r="67" spans="1:20">
      <c r="A67" t="b">
        <f>IF(Table152516[[#This Row],[Column11]],Table152516[[#This Row],[Column12]])</f>
        <v>0</v>
      </c>
      <c r="B67" s="20" t="b">
        <f>B2</f>
        <v>0</v>
      </c>
      <c r="C67" s="20" t="b">
        <f>C2</f>
        <v>0</v>
      </c>
      <c r="D67" s="20" t="b">
        <f>D2</f>
        <v>0</v>
      </c>
      <c r="E67" s="17"/>
      <c r="F67" s="17" t="b">
        <f>F3</f>
        <v>1</v>
      </c>
      <c r="G67" s="17" t="b">
        <f>G2</f>
        <v>1</v>
      </c>
      <c r="H67" s="17" t="b">
        <f>H2</f>
        <v>1</v>
      </c>
      <c r="I67" s="17" t="b">
        <f>I2</f>
        <v>1</v>
      </c>
      <c r="J67" s="17" t="b">
        <f>J2</f>
        <v>1</v>
      </c>
      <c r="K67" s="17"/>
      <c r="L67" s="17"/>
      <c r="M67" s="17"/>
      <c r="N67" s="20" t="b">
        <f>N5</f>
        <v>0</v>
      </c>
      <c r="O67" s="17"/>
      <c r="P67" s="17" t="b">
        <f>P2</f>
        <v>1</v>
      </c>
      <c r="Q67" s="20" t="b">
        <f>Q3</f>
        <v>1</v>
      </c>
      <c r="R67" s="20" t="b">
        <f>R27</f>
        <v>1</v>
      </c>
      <c r="S67" t="b">
        <f>AND(Table152516[[#This Row],[Colloidal Oat]:[Non-comedogenic]],OR(Table152516[[#This Row],[Occlusive]:[Bath Oil]]))</f>
        <v>0</v>
      </c>
      <c r="T67" s="11" t="s">
        <v>1062</v>
      </c>
    </row>
    <row r="68" spans="1:20">
      <c r="A68" t="b">
        <f>IF(Table152516[[#This Row],[Column11]],Table152516[[#This Row],[Column12]])</f>
        <v>0</v>
      </c>
      <c r="B68" s="20" t="b">
        <f>B2</f>
        <v>0</v>
      </c>
      <c r="C68" s="20" t="b">
        <f>C2</f>
        <v>0</v>
      </c>
      <c r="D68" s="20" t="b">
        <f>D2</f>
        <v>0</v>
      </c>
      <c r="E68" s="17"/>
      <c r="F68" s="17" t="b">
        <f>F3</f>
        <v>1</v>
      </c>
      <c r="G68" s="17" t="b">
        <f>G2</f>
        <v>1</v>
      </c>
      <c r="H68" s="17" t="b">
        <f>H2</f>
        <v>1</v>
      </c>
      <c r="I68" s="17" t="b">
        <f>I2</f>
        <v>1</v>
      </c>
      <c r="J68" s="17" t="b">
        <f>J2</f>
        <v>1</v>
      </c>
      <c r="K68" s="17"/>
      <c r="L68" s="20" t="b">
        <f>L2</f>
        <v>0</v>
      </c>
      <c r="M68" s="17"/>
      <c r="N68" s="17"/>
      <c r="O68" s="17"/>
      <c r="P68" s="17" t="b">
        <f>P2</f>
        <v>1</v>
      </c>
      <c r="Q68" s="20" t="b">
        <f>Q3</f>
        <v>1</v>
      </c>
      <c r="R68" s="20" t="b">
        <f>R27</f>
        <v>1</v>
      </c>
      <c r="S68" t="b">
        <f>AND(Table152516[[#This Row],[Colloidal Oat]:[Non-comedogenic]],OR(Table152516[[#This Row],[Occlusive]:[Bath Oil]]))</f>
        <v>0</v>
      </c>
      <c r="T68" s="11" t="s">
        <v>1063</v>
      </c>
    </row>
    <row r="69" spans="1:20">
      <c r="A69" t="b">
        <f>IF(Table152516[[#This Row],[Column11]],Table152516[[#This Row],[Column12]])</f>
        <v>0</v>
      </c>
      <c r="B69" s="20" t="b">
        <f>B2</f>
        <v>0</v>
      </c>
      <c r="C69" s="20" t="b">
        <f>C2</f>
        <v>0</v>
      </c>
      <c r="D69" s="20" t="b">
        <f>D2</f>
        <v>0</v>
      </c>
      <c r="E69" s="20" t="b">
        <f>E2</f>
        <v>0</v>
      </c>
      <c r="F69" s="17" t="b">
        <f>F3</f>
        <v>1</v>
      </c>
      <c r="G69" s="17" t="b">
        <f>G2</f>
        <v>1</v>
      </c>
      <c r="H69" s="17" t="b">
        <f>H2</f>
        <v>1</v>
      </c>
      <c r="I69" s="17" t="b">
        <f>I2</f>
        <v>1</v>
      </c>
      <c r="J69" s="17" t="b">
        <f>J2</f>
        <v>1</v>
      </c>
      <c r="K69" s="17"/>
      <c r="L69" s="20" t="b">
        <f>L2</f>
        <v>0</v>
      </c>
      <c r="M69" s="17"/>
      <c r="N69" s="17"/>
      <c r="O69" s="17"/>
      <c r="P69" s="17" t="b">
        <f>P2</f>
        <v>1</v>
      </c>
      <c r="Q69" s="20" t="b">
        <f>Q3</f>
        <v>1</v>
      </c>
      <c r="R69" s="17" t="b">
        <f>R2</f>
        <v>1</v>
      </c>
      <c r="S69" t="b">
        <f>AND(Table152516[[#This Row],[Colloidal Oat]:[Non-comedogenic]],OR(Table152516[[#This Row],[Occlusive]:[Bath Oil]]))</f>
        <v>0</v>
      </c>
      <c r="T69" s="11" t="s">
        <v>1064</v>
      </c>
    </row>
    <row r="70" spans="1:20">
      <c r="A70" t="b">
        <f>IF(Table152516[[#This Row],[Column11]],Table152516[[#This Row],[Column12]])</f>
        <v>0</v>
      </c>
      <c r="B70" s="17"/>
      <c r="C70" s="20" t="b">
        <f>C2</f>
        <v>0</v>
      </c>
      <c r="D70" s="17"/>
      <c r="E70" s="17"/>
      <c r="F70" s="17" t="b">
        <f>F3</f>
        <v>1</v>
      </c>
      <c r="G70" s="20" t="b">
        <f>G21</f>
        <v>0</v>
      </c>
      <c r="H70" s="17" t="b">
        <f>H2</f>
        <v>1</v>
      </c>
      <c r="I70" s="17" t="b">
        <f>I2</f>
        <v>1</v>
      </c>
      <c r="J70" s="106"/>
      <c r="K70" s="17"/>
      <c r="L70" s="17"/>
      <c r="M70" s="17"/>
      <c r="N70" s="20" t="b">
        <f>N5</f>
        <v>0</v>
      </c>
      <c r="O70" s="17"/>
      <c r="P70" s="20" t="b">
        <f>P7</f>
        <v>1</v>
      </c>
      <c r="Q70" s="20" t="b">
        <f>Q3</f>
        <v>1</v>
      </c>
      <c r="R70" s="20" t="b">
        <f>R27</f>
        <v>1</v>
      </c>
      <c r="S70" t="b">
        <f>AND(Table152516[[#This Row],[Colloidal Oat]:[Non-comedogenic]],OR(Table152516[[#This Row],[Occlusive]:[Bath Oil]]))</f>
        <v>0</v>
      </c>
      <c r="T70" s="11" t="s">
        <v>1065</v>
      </c>
    </row>
    <row r="71" spans="1:20">
      <c r="A71" t="b">
        <f>IF(Table152516[[#This Row],[Column11]],Table152516[[#This Row],[Column12]])</f>
        <v>0</v>
      </c>
      <c r="B71" s="20" t="b">
        <f>B2</f>
        <v>0</v>
      </c>
      <c r="C71" s="20" t="b">
        <f>C2</f>
        <v>0</v>
      </c>
      <c r="D71" s="20" t="b">
        <f>D2</f>
        <v>0</v>
      </c>
      <c r="E71" s="17"/>
      <c r="F71" s="17" t="b">
        <f>F3</f>
        <v>1</v>
      </c>
      <c r="G71" s="17" t="b">
        <f>G2</f>
        <v>1</v>
      </c>
      <c r="H71" s="17" t="b">
        <f>H2</f>
        <v>1</v>
      </c>
      <c r="I71" s="17" t="b">
        <f>I2</f>
        <v>1</v>
      </c>
      <c r="J71" s="17" t="b">
        <f>J2</f>
        <v>1</v>
      </c>
      <c r="K71" s="17"/>
      <c r="L71" s="20" t="b">
        <f>L2</f>
        <v>0</v>
      </c>
      <c r="M71" s="17"/>
      <c r="N71" s="17"/>
      <c r="O71" s="17"/>
      <c r="P71" s="20" t="b">
        <f>P7</f>
        <v>1</v>
      </c>
      <c r="Q71" s="20" t="b">
        <f>Q3</f>
        <v>1</v>
      </c>
      <c r="R71" s="20" t="b">
        <f>R27</f>
        <v>1</v>
      </c>
      <c r="S71" t="b">
        <f>AND(Table152516[[#This Row],[Colloidal Oat]:[Non-comedogenic]],OR(Table152516[[#This Row],[Occlusive]:[Bath Oil]]))</f>
        <v>0</v>
      </c>
      <c r="T71" s="11" t="s">
        <v>1066</v>
      </c>
    </row>
    <row r="72" spans="1:20">
      <c r="A72" t="b">
        <f>IF(Table152516[[#This Row],[Column11]],Table152516[[#This Row],[Column12]])</f>
        <v>0</v>
      </c>
      <c r="B72" s="20" t="b">
        <f t="shared" ref="B72:J72" si="26">B2</f>
        <v>0</v>
      </c>
      <c r="C72" s="20" t="b">
        <f t="shared" si="26"/>
        <v>0</v>
      </c>
      <c r="D72" s="20" t="b">
        <f t="shared" si="26"/>
        <v>0</v>
      </c>
      <c r="E72" s="20" t="b">
        <f t="shared" si="26"/>
        <v>0</v>
      </c>
      <c r="F72" s="20" t="b">
        <f t="shared" si="26"/>
        <v>0</v>
      </c>
      <c r="G72" s="17" t="b">
        <f t="shared" si="26"/>
        <v>1</v>
      </c>
      <c r="H72" s="17" t="b">
        <f t="shared" si="26"/>
        <v>1</v>
      </c>
      <c r="I72" s="17" t="b">
        <f t="shared" si="26"/>
        <v>1</v>
      </c>
      <c r="J72" s="17" t="b">
        <f t="shared" si="26"/>
        <v>1</v>
      </c>
      <c r="K72" s="17"/>
      <c r="L72" s="17"/>
      <c r="M72" s="17"/>
      <c r="N72" s="20" t="b">
        <f>N5</f>
        <v>0</v>
      </c>
      <c r="O72" s="17"/>
      <c r="P72" s="17" t="b">
        <f>P2</f>
        <v>1</v>
      </c>
      <c r="Q72" s="20" t="b">
        <f>Q3</f>
        <v>1</v>
      </c>
      <c r="R72" s="17" t="b">
        <f>R2</f>
        <v>1</v>
      </c>
      <c r="S72" t="b">
        <f>AND(Table152516[[#This Row],[Colloidal Oat]:[Non-comedogenic]],OR(Table152516[[#This Row],[Occlusive]:[Bath Oil]]))</f>
        <v>0</v>
      </c>
      <c r="T72" s="11" t="s">
        <v>1067</v>
      </c>
    </row>
    <row r="73" spans="1:20">
      <c r="A73" s="16" t="e">
        <f>IF(Table152516[[#This Row],[Column11]],Table152516[[#This Row],[Column12]])</f>
        <v>#VALUE!</v>
      </c>
      <c r="B73" s="16"/>
      <c r="C73" s="16"/>
      <c r="D73" s="16"/>
      <c r="E73" s="16"/>
      <c r="F73" s="16"/>
      <c r="G73" s="16"/>
      <c r="H73" s="16"/>
      <c r="I73" s="16"/>
      <c r="J73" s="16"/>
      <c r="K73" s="16"/>
      <c r="L73" s="16"/>
      <c r="M73" s="16"/>
      <c r="N73" s="16"/>
      <c r="O73" s="16"/>
      <c r="P73" s="16"/>
      <c r="Q73" s="16"/>
      <c r="R73" s="16"/>
      <c r="S73" s="16" t="e">
        <f>AND(Table152516[[#This Row],[Colloidal Oat]:[Non-comedogenic]],OR(Table152516[[#This Row],[Occlusive]:[Bath Oil]]))</f>
        <v>#VALUE!</v>
      </c>
      <c r="T73" s="16"/>
    </row>
    <row r="74" spans="1:20">
      <c r="A74" t="b">
        <f>IF(Table152516[[#This Row],[Column11]],Table152516[[#This Row],[Column12]])</f>
        <v>0</v>
      </c>
      <c r="B74" s="20" t="b">
        <f>B2</f>
        <v>0</v>
      </c>
      <c r="C74" s="17"/>
      <c r="D74" s="17"/>
      <c r="E74" s="20" t="b">
        <f>E2</f>
        <v>0</v>
      </c>
      <c r="F74" s="17" t="b">
        <f>F3</f>
        <v>1</v>
      </c>
      <c r="G74" s="17" t="b">
        <f>G2</f>
        <v>1</v>
      </c>
      <c r="H74" s="17" t="b">
        <f>H2</f>
        <v>1</v>
      </c>
      <c r="I74" s="17" t="b">
        <f>I2</f>
        <v>1</v>
      </c>
      <c r="J74" s="17" t="b">
        <f>J2</f>
        <v>1</v>
      </c>
      <c r="K74" s="17"/>
      <c r="L74" s="20" t="b">
        <f>L2</f>
        <v>0</v>
      </c>
      <c r="M74" s="17"/>
      <c r="N74" s="17"/>
      <c r="O74" s="17"/>
      <c r="P74" s="20" t="b">
        <f>P7</f>
        <v>1</v>
      </c>
      <c r="Q74" s="20" t="b">
        <f>Q3</f>
        <v>1</v>
      </c>
      <c r="R74" s="17" t="b">
        <f>R2</f>
        <v>1</v>
      </c>
      <c r="S74" t="b">
        <f>AND(Table152516[[#This Row],[Colloidal Oat]:[Non-comedogenic]],OR(Table152516[[#This Row],[Occlusive]:[Bath Oil]]))</f>
        <v>0</v>
      </c>
      <c r="T74" s="11" t="s">
        <v>1068</v>
      </c>
    </row>
    <row r="75" spans="1:20">
      <c r="A75" t="b">
        <f>IF(Table152516[[#This Row],[Column11]],Table152516[[#This Row],[Column12]])</f>
        <v>0</v>
      </c>
      <c r="B75" s="20" t="b">
        <f>B2</f>
        <v>0</v>
      </c>
      <c r="C75" s="17"/>
      <c r="D75" s="20" t="b">
        <f>D2</f>
        <v>0</v>
      </c>
      <c r="E75" s="20" t="b">
        <f>E2</f>
        <v>0</v>
      </c>
      <c r="F75" s="17" t="b">
        <f>F3</f>
        <v>1</v>
      </c>
      <c r="G75" s="17" t="b">
        <f>G2</f>
        <v>1</v>
      </c>
      <c r="H75" s="17" t="b">
        <f>H2</f>
        <v>1</v>
      </c>
      <c r="I75" s="17" t="b">
        <f>I2</f>
        <v>1</v>
      </c>
      <c r="J75" s="17" t="b">
        <f>J2</f>
        <v>1</v>
      </c>
      <c r="K75" s="17"/>
      <c r="L75" s="17"/>
      <c r="M75" s="17"/>
      <c r="N75" s="20" t="b">
        <f>N5</f>
        <v>0</v>
      </c>
      <c r="O75" s="17"/>
      <c r="P75" s="20" t="b">
        <f>P7</f>
        <v>1</v>
      </c>
      <c r="Q75" s="20" t="b">
        <f>Q3</f>
        <v>1</v>
      </c>
      <c r="R75" s="17" t="b">
        <f>R2</f>
        <v>1</v>
      </c>
      <c r="S75" t="b">
        <f>AND(Table152516[[#This Row],[Colloidal Oat]:[Non-comedogenic]],OR(Table152516[[#This Row],[Occlusive]:[Bath Oil]]))</f>
        <v>0</v>
      </c>
      <c r="T75" s="11" t="s">
        <v>1069</v>
      </c>
    </row>
    <row r="76" spans="1:20">
      <c r="A76" s="16" t="e">
        <f>IF(Table152516[[#This Row],[Column11]],Table152516[[#This Row],[Column12]])</f>
        <v>#VALUE!</v>
      </c>
      <c r="B76" s="16"/>
      <c r="C76" s="16"/>
      <c r="D76" s="16"/>
      <c r="E76" s="16"/>
      <c r="F76" s="16"/>
      <c r="G76" s="16"/>
      <c r="H76" s="16"/>
      <c r="I76" s="16"/>
      <c r="J76" s="16"/>
      <c r="K76" s="16"/>
      <c r="L76" s="16"/>
      <c r="M76" s="16"/>
      <c r="N76" s="16"/>
      <c r="O76" s="16"/>
      <c r="P76" s="16"/>
      <c r="Q76" s="16"/>
      <c r="R76" s="16"/>
      <c r="S76" s="16" t="e">
        <f>AND(Table152516[[#This Row],[Colloidal Oat]:[Non-comedogenic]],OR(Table152516[[#This Row],[Occlusive]:[Bath Oil]]))</f>
        <v>#VALUE!</v>
      </c>
      <c r="T76" s="16"/>
    </row>
    <row r="77" spans="1:20">
      <c r="A77" t="b">
        <f>IF(Table152516[[#This Row],[Column11]],Table152516[[#This Row],[Column12]])</f>
        <v>0</v>
      </c>
      <c r="B77" s="20" t="b">
        <f>B2</f>
        <v>0</v>
      </c>
      <c r="C77" s="17"/>
      <c r="D77" s="17"/>
      <c r="E77" s="17"/>
      <c r="F77" s="17" t="b">
        <f>F3</f>
        <v>1</v>
      </c>
      <c r="G77" s="17" t="b">
        <f>G2</f>
        <v>1</v>
      </c>
      <c r="H77" s="17" t="b">
        <f>H2</f>
        <v>1</v>
      </c>
      <c r="I77" s="17" t="b">
        <f>I2</f>
        <v>1</v>
      </c>
      <c r="J77" s="17" t="b">
        <f>J2</f>
        <v>1</v>
      </c>
      <c r="K77" s="17"/>
      <c r="L77" s="17"/>
      <c r="M77" s="20" t="b">
        <f>M6</f>
        <v>0</v>
      </c>
      <c r="N77" s="17"/>
      <c r="O77" s="17"/>
      <c r="P77" s="20" t="b">
        <f>P7</f>
        <v>1</v>
      </c>
      <c r="Q77" s="17" t="b">
        <f>Q2</f>
        <v>1</v>
      </c>
      <c r="R77" s="20" t="b">
        <f>R27</f>
        <v>1</v>
      </c>
      <c r="S77" t="b">
        <f>AND(Table152516[[#This Row],[Colloidal Oat]:[Non-comedogenic]],OR(Table152516[[#This Row],[Occlusive]:[Bath Oil]]))</f>
        <v>0</v>
      </c>
      <c r="T77" s="11" t="s">
        <v>1070</v>
      </c>
    </row>
    <row r="78" spans="1:20">
      <c r="A78" t="b">
        <f>IF(Table152516[[#This Row],[Column11]],Table152516[[#This Row],[Column12]])</f>
        <v>0</v>
      </c>
      <c r="B78" s="20" t="b">
        <f>B2</f>
        <v>0</v>
      </c>
      <c r="C78" s="17"/>
      <c r="D78" s="20" t="b">
        <f>D2</f>
        <v>0</v>
      </c>
      <c r="E78" s="17"/>
      <c r="F78" s="17" t="b">
        <f>F3</f>
        <v>1</v>
      </c>
      <c r="G78" s="17" t="b">
        <f>G2</f>
        <v>1</v>
      </c>
      <c r="H78" s="17" t="b">
        <f>H2</f>
        <v>1</v>
      </c>
      <c r="I78" s="17" t="b">
        <f>I2</f>
        <v>1</v>
      </c>
      <c r="J78" s="17" t="b">
        <f>J2</f>
        <v>1</v>
      </c>
      <c r="K78" s="17"/>
      <c r="L78" s="17"/>
      <c r="M78" s="20" t="b">
        <f>M6</f>
        <v>0</v>
      </c>
      <c r="N78" s="17"/>
      <c r="O78" s="17"/>
      <c r="P78" s="17" t="b">
        <f>P2</f>
        <v>1</v>
      </c>
      <c r="Q78" s="17" t="b">
        <f>Q2</f>
        <v>1</v>
      </c>
      <c r="R78" s="20" t="b">
        <f>R27</f>
        <v>1</v>
      </c>
      <c r="S78" t="b">
        <f>AND(Table152516[[#This Row],[Colloidal Oat]:[Non-comedogenic]],OR(Table152516[[#This Row],[Occlusive]:[Bath Oil]]))</f>
        <v>0</v>
      </c>
      <c r="T78" s="11" t="s">
        <v>1071</v>
      </c>
    </row>
    <row r="79" spans="1:20">
      <c r="A79" t="b">
        <f>IF(Table152516[[#This Row],[Column11]],Table152516[[#This Row],[Column12]])</f>
        <v>0</v>
      </c>
      <c r="B79" s="20" t="b">
        <f>B2</f>
        <v>0</v>
      </c>
      <c r="C79" s="20" t="b">
        <f>C2</f>
        <v>0</v>
      </c>
      <c r="D79" s="17"/>
      <c r="E79" s="20" t="b">
        <f>E2</f>
        <v>0</v>
      </c>
      <c r="F79" s="20" t="b">
        <f>F2</f>
        <v>0</v>
      </c>
      <c r="G79" s="17" t="b">
        <f>G2</f>
        <v>1</v>
      </c>
      <c r="H79" s="17" t="b">
        <f>H2</f>
        <v>1</v>
      </c>
      <c r="I79" s="20" t="b">
        <f>I3</f>
        <v>1</v>
      </c>
      <c r="J79" s="17" t="b">
        <f>J2</f>
        <v>1</v>
      </c>
      <c r="K79" s="17"/>
      <c r="L79" s="17"/>
      <c r="M79" s="17"/>
      <c r="N79" s="20" t="b">
        <f>N5</f>
        <v>0</v>
      </c>
      <c r="O79" s="17"/>
      <c r="P79" s="17" t="b">
        <f>P2</f>
        <v>1</v>
      </c>
      <c r="Q79" s="17" t="b">
        <f>Q2</f>
        <v>1</v>
      </c>
      <c r="R79" s="17" t="b">
        <f>R2</f>
        <v>1</v>
      </c>
      <c r="S79" t="b">
        <f>AND(Table152516[[#This Row],[Colloidal Oat]:[Non-comedogenic]],OR(Table152516[[#This Row],[Occlusive]:[Bath Oil]]))</f>
        <v>0</v>
      </c>
      <c r="T79" s="11" t="s">
        <v>1072</v>
      </c>
    </row>
    <row r="80" spans="1:20">
      <c r="A80" t="b">
        <f>IF(Table152516[[#This Row],[Column11]],Table152516[[#This Row],[Column12]])</f>
        <v>0</v>
      </c>
      <c r="B80" s="20" t="b">
        <f>B2</f>
        <v>0</v>
      </c>
      <c r="C80" s="20" t="b">
        <f>C2</f>
        <v>0</v>
      </c>
      <c r="D80" s="20" t="b">
        <f>D2</f>
        <v>0</v>
      </c>
      <c r="E80" s="17"/>
      <c r="F80" s="17" t="b">
        <f>F3</f>
        <v>1</v>
      </c>
      <c r="G80" s="17" t="b">
        <f>G2</f>
        <v>1</v>
      </c>
      <c r="H80" s="17" t="b">
        <f>H2</f>
        <v>1</v>
      </c>
      <c r="I80" s="20" t="b">
        <f>I3</f>
        <v>1</v>
      </c>
      <c r="J80" s="17" t="b">
        <f>J2</f>
        <v>1</v>
      </c>
      <c r="K80" s="17"/>
      <c r="L80" s="17"/>
      <c r="M80" s="17"/>
      <c r="N80" s="20" t="b">
        <f>N5</f>
        <v>0</v>
      </c>
      <c r="O80" s="17"/>
      <c r="P80" s="17" t="b">
        <f>P2</f>
        <v>1</v>
      </c>
      <c r="Q80" s="17" t="b">
        <f>Q2</f>
        <v>1</v>
      </c>
      <c r="R80" s="17" t="b">
        <f>R2</f>
        <v>1</v>
      </c>
      <c r="S80" t="b">
        <f>AND(Table152516[[#This Row],[Colloidal Oat]:[Non-comedogenic]],OR(Table152516[[#This Row],[Occlusive]:[Bath Oil]]))</f>
        <v>0</v>
      </c>
      <c r="T80" s="11" t="s">
        <v>1073</v>
      </c>
    </row>
    <row r="81" spans="1:20">
      <c r="A81" t="b">
        <f>IF(Table152516[[#This Row],[Column11]],Table152516[[#This Row],[Column12]])</f>
        <v>0</v>
      </c>
      <c r="B81" s="20" t="b">
        <f>B2</f>
        <v>0</v>
      </c>
      <c r="C81" s="20" t="b">
        <f>C2</f>
        <v>0</v>
      </c>
      <c r="D81" s="20" t="b">
        <f>D2</f>
        <v>0</v>
      </c>
      <c r="E81" s="17"/>
      <c r="F81" s="17" t="b">
        <f>F3</f>
        <v>1</v>
      </c>
      <c r="G81" s="17" t="b">
        <f>G2</f>
        <v>1</v>
      </c>
      <c r="H81" s="17" t="b">
        <f>H2</f>
        <v>1</v>
      </c>
      <c r="I81" s="20" t="b">
        <f>I3</f>
        <v>1</v>
      </c>
      <c r="J81" s="17" t="b">
        <f>J2</f>
        <v>1</v>
      </c>
      <c r="K81" s="17"/>
      <c r="L81" s="17"/>
      <c r="M81" s="20" t="b">
        <f>M6</f>
        <v>0</v>
      </c>
      <c r="N81" s="17"/>
      <c r="O81" s="17"/>
      <c r="P81" s="17" t="b">
        <f>P2</f>
        <v>1</v>
      </c>
      <c r="Q81" s="17" t="b">
        <f>Q2</f>
        <v>1</v>
      </c>
      <c r="R81" s="17" t="b">
        <f>R2</f>
        <v>1</v>
      </c>
      <c r="S81" t="b">
        <f>AND(Table152516[[#This Row],[Colloidal Oat]:[Non-comedogenic]],OR(Table152516[[#This Row],[Occlusive]:[Bath Oil]]))</f>
        <v>0</v>
      </c>
      <c r="T81" s="11" t="s">
        <v>1074</v>
      </c>
    </row>
    <row r="82" spans="1:20">
      <c r="A82" s="100" t="b">
        <f>IF(Table152516[[#This Row],[Column11]],Table152516[[#This Row],[Column12]])</f>
        <v>0</v>
      </c>
      <c r="B82" s="20" t="b">
        <f>B2</f>
        <v>0</v>
      </c>
      <c r="C82" s="20" t="b">
        <f>C2</f>
        <v>0</v>
      </c>
      <c r="D82" s="17"/>
      <c r="E82" s="20" t="b">
        <f>E2</f>
        <v>0</v>
      </c>
      <c r="F82" s="17" t="b">
        <f>F3</f>
        <v>1</v>
      </c>
      <c r="G82" s="17" t="b">
        <f>G2</f>
        <v>1</v>
      </c>
      <c r="H82" s="17" t="b">
        <f>H2</f>
        <v>1</v>
      </c>
      <c r="I82" s="20" t="b">
        <f>I3</f>
        <v>1</v>
      </c>
      <c r="J82" s="17" t="b">
        <f>J2</f>
        <v>1</v>
      </c>
      <c r="K82" s="17"/>
      <c r="L82" s="17"/>
      <c r="M82" s="17"/>
      <c r="N82" s="20" t="b">
        <f>N5</f>
        <v>0</v>
      </c>
      <c r="O82" s="17"/>
      <c r="P82" s="17" t="b">
        <f>P2</f>
        <v>1</v>
      </c>
      <c r="Q82" s="17" t="b">
        <f>Q2</f>
        <v>1</v>
      </c>
      <c r="R82" s="17" t="b">
        <f>R2</f>
        <v>1</v>
      </c>
      <c r="S82" t="b">
        <f>AND(Table152516[[#This Row],[Colloidal Oat]:[Non-comedogenic]],OR(Table152516[[#This Row],[Occlusive]:[Bath Oil]]))</f>
        <v>0</v>
      </c>
      <c r="T82" s="11" t="s">
        <v>1075</v>
      </c>
    </row>
    <row r="83" spans="1:20">
      <c r="A83" s="99" t="b">
        <f>IF(Table152516[[#This Row],[Column11]],Table152516[[#This Row],[Column12]])</f>
        <v>0</v>
      </c>
      <c r="B83" s="20" t="b">
        <f>B2</f>
        <v>0</v>
      </c>
      <c r="C83" s="20" t="b">
        <f>C2</f>
        <v>0</v>
      </c>
      <c r="D83" s="20" t="b">
        <f>D2</f>
        <v>0</v>
      </c>
      <c r="E83" s="17"/>
      <c r="F83" s="17" t="b">
        <f>F3</f>
        <v>1</v>
      </c>
      <c r="G83" s="17" t="b">
        <f>G2</f>
        <v>1</v>
      </c>
      <c r="H83" s="17" t="b">
        <f>H2</f>
        <v>1</v>
      </c>
      <c r="I83" s="20" t="b">
        <f>I3</f>
        <v>1</v>
      </c>
      <c r="J83" s="17" t="b">
        <f>J2</f>
        <v>1</v>
      </c>
      <c r="K83" s="17"/>
      <c r="L83" s="17"/>
      <c r="M83" s="17"/>
      <c r="N83" s="20" t="b">
        <f>N5</f>
        <v>0</v>
      </c>
      <c r="O83" s="17"/>
      <c r="P83" s="17" t="b">
        <f>P2</f>
        <v>1</v>
      </c>
      <c r="Q83" s="17" t="b">
        <f>Q2</f>
        <v>1</v>
      </c>
      <c r="R83" s="17" t="b">
        <f>R2</f>
        <v>1</v>
      </c>
      <c r="S83" t="b">
        <f>AND(Table152516[[#This Row],[Colloidal Oat]:[Non-comedogenic]],OR(Table152516[[#This Row],[Occlusive]:[Bath Oil]]))</f>
        <v>0</v>
      </c>
      <c r="T83" s="11" t="s">
        <v>1077</v>
      </c>
    </row>
    <row r="84" spans="1:20">
      <c r="A84" s="102" t="b">
        <f>IF(Table152516[[#This Row],[Column11]],Table152516[[#This Row],[Column12]])</f>
        <v>0</v>
      </c>
      <c r="B84" s="20" t="b">
        <f>B2</f>
        <v>0</v>
      </c>
      <c r="C84" s="20" t="b">
        <f>C2</f>
        <v>0</v>
      </c>
      <c r="D84" s="20" t="b">
        <f>D2</f>
        <v>0</v>
      </c>
      <c r="E84" s="17"/>
      <c r="F84" s="17" t="b">
        <f>F3</f>
        <v>1</v>
      </c>
      <c r="G84" s="17" t="b">
        <f>G2</f>
        <v>1</v>
      </c>
      <c r="H84" s="17" t="b">
        <f>H2</f>
        <v>1</v>
      </c>
      <c r="I84" s="20" t="b">
        <f>I3</f>
        <v>1</v>
      </c>
      <c r="J84" s="17" t="b">
        <f>J2</f>
        <v>1</v>
      </c>
      <c r="K84" s="17"/>
      <c r="L84" s="20" t="b">
        <f>L2</f>
        <v>0</v>
      </c>
      <c r="M84" s="17"/>
      <c r="N84" s="17"/>
      <c r="O84" s="17"/>
      <c r="P84" s="17" t="b">
        <f>P2</f>
        <v>1</v>
      </c>
      <c r="Q84" s="17" t="b">
        <f>Q2</f>
        <v>1</v>
      </c>
      <c r="R84" s="17" t="b">
        <f>R2</f>
        <v>1</v>
      </c>
      <c r="S84" t="b">
        <f>AND(Table152516[[#This Row],[Colloidal Oat]:[Non-comedogenic]],OR(Table152516[[#This Row],[Occlusive]:[Bath Oil]]))</f>
        <v>0</v>
      </c>
      <c r="T84" s="11" t="s">
        <v>1078</v>
      </c>
    </row>
    <row r="85" spans="1:20">
      <c r="A85" s="16" t="e">
        <f>IF(Table152516[[#This Row],[Column11]],Table152516[[#This Row],[Column12]])</f>
        <v>#VALUE!</v>
      </c>
      <c r="B85" s="16"/>
      <c r="C85" s="16"/>
      <c r="D85" s="16"/>
      <c r="E85" s="16"/>
      <c r="F85" s="16"/>
      <c r="G85" s="16"/>
      <c r="H85" s="16"/>
      <c r="I85" s="16"/>
      <c r="J85" s="16"/>
      <c r="K85" s="16"/>
      <c r="L85" s="16"/>
      <c r="M85" s="16"/>
      <c r="N85" s="16"/>
      <c r="O85" s="16"/>
      <c r="P85" s="16"/>
      <c r="Q85" s="16"/>
      <c r="R85" s="16"/>
      <c r="S85" s="16" t="e">
        <f>AND(Table152516[[#This Row],[Colloidal Oat]:[Non-comedogenic]],OR(Table152516[[#This Row],[Occlusive]:[Bath Oil]]))</f>
        <v>#VALUE!</v>
      </c>
      <c r="T85" s="16"/>
    </row>
    <row r="86" spans="1:20">
      <c r="A86" t="b">
        <f>IF(Table152516[[#This Row],[Column11]],Table152516[[#This Row],[Column12]])</f>
        <v>0</v>
      </c>
      <c r="B86" s="20" t="b">
        <f>B2</f>
        <v>0</v>
      </c>
      <c r="C86" s="20" t="b">
        <f>C2</f>
        <v>0</v>
      </c>
      <c r="D86" s="20" t="b">
        <f>D2</f>
        <v>0</v>
      </c>
      <c r="E86" s="17"/>
      <c r="F86" s="17" t="b">
        <f>F3</f>
        <v>1</v>
      </c>
      <c r="G86" s="17" t="b">
        <f>G2</f>
        <v>1</v>
      </c>
      <c r="H86" s="17" t="b">
        <f>H2</f>
        <v>1</v>
      </c>
      <c r="I86" s="17" t="b">
        <f>I2</f>
        <v>1</v>
      </c>
      <c r="J86" s="17" t="b">
        <f>J2</f>
        <v>1</v>
      </c>
      <c r="K86" s="17"/>
      <c r="L86" s="17"/>
      <c r="M86" s="17"/>
      <c r="N86" s="20" t="b">
        <f>N5</f>
        <v>0</v>
      </c>
      <c r="O86" s="17"/>
      <c r="P86" s="17" t="b">
        <f>P2</f>
        <v>1</v>
      </c>
      <c r="Q86" s="17" t="b">
        <f>Q2</f>
        <v>1</v>
      </c>
      <c r="R86" s="17" t="b">
        <f>R2</f>
        <v>1</v>
      </c>
      <c r="S86" t="b">
        <f>AND(Table152516[[#This Row],[Colloidal Oat]:[Non-comedogenic]],OR(Table152516[[#This Row],[Occlusive]:[Bath Oil]]))</f>
        <v>0</v>
      </c>
      <c r="T86" s="11" t="s">
        <v>1079</v>
      </c>
    </row>
    <row r="87" spans="1:20">
      <c r="A87" t="b">
        <f>IF(Table152516[[#This Row],[Column11]],Table152516[[#This Row],[Column12]])</f>
        <v>0</v>
      </c>
      <c r="B87" s="20" t="b">
        <f t="shared" ref="B87:J87" si="27">B2</f>
        <v>0</v>
      </c>
      <c r="C87" s="20" t="b">
        <f t="shared" si="27"/>
        <v>0</v>
      </c>
      <c r="D87" s="20" t="b">
        <f t="shared" si="27"/>
        <v>0</v>
      </c>
      <c r="E87" s="20" t="b">
        <f t="shared" si="27"/>
        <v>0</v>
      </c>
      <c r="F87" s="20" t="b">
        <f t="shared" si="27"/>
        <v>0</v>
      </c>
      <c r="G87" s="17" t="b">
        <f t="shared" si="27"/>
        <v>1</v>
      </c>
      <c r="H87" s="17" t="b">
        <f t="shared" si="27"/>
        <v>1</v>
      </c>
      <c r="I87" s="17" t="b">
        <f t="shared" si="27"/>
        <v>1</v>
      </c>
      <c r="J87" s="17" t="b">
        <f t="shared" si="27"/>
        <v>1</v>
      </c>
      <c r="K87" s="17"/>
      <c r="L87" s="20" t="b">
        <f>L2</f>
        <v>0</v>
      </c>
      <c r="M87" s="17"/>
      <c r="N87" s="17"/>
      <c r="O87" s="17"/>
      <c r="P87" s="17" t="b">
        <f>P2</f>
        <v>1</v>
      </c>
      <c r="Q87" s="17" t="b">
        <f>Q2</f>
        <v>1</v>
      </c>
      <c r="R87" s="17" t="b">
        <f>R2</f>
        <v>1</v>
      </c>
      <c r="S87" t="b">
        <f>AND(Table152516[[#This Row],[Colloidal Oat]:[Non-comedogenic]],OR(Table152516[[#This Row],[Occlusive]:[Bath Oil]]))</f>
        <v>0</v>
      </c>
      <c r="T87" s="11" t="s">
        <v>1080</v>
      </c>
    </row>
    <row r="88" spans="1:20">
      <c r="A88" t="b">
        <f>IF(Table152516[[#This Row],[Column11]],Table152516[[#This Row],[Column12]])</f>
        <v>0</v>
      </c>
      <c r="B88" s="20" t="b">
        <f>B2</f>
        <v>0</v>
      </c>
      <c r="C88" s="17"/>
      <c r="D88" s="20" t="b">
        <f>D2</f>
        <v>0</v>
      </c>
      <c r="E88" s="17"/>
      <c r="F88" s="17" t="b">
        <f>F3</f>
        <v>1</v>
      </c>
      <c r="G88" s="17" t="b">
        <f>G2</f>
        <v>1</v>
      </c>
      <c r="H88" s="17" t="b">
        <f>H2</f>
        <v>1</v>
      </c>
      <c r="I88" s="17" t="b">
        <f>I2</f>
        <v>1</v>
      </c>
      <c r="J88" s="17" t="b">
        <f>J2</f>
        <v>1</v>
      </c>
      <c r="K88" s="20" t="b">
        <f>K5</f>
        <v>0</v>
      </c>
      <c r="L88" s="17"/>
      <c r="M88" s="17"/>
      <c r="N88" s="17"/>
      <c r="O88" s="20" t="b">
        <f>O7</f>
        <v>0</v>
      </c>
      <c r="P88" s="17" t="b">
        <f>P2</f>
        <v>1</v>
      </c>
      <c r="Q88" s="17" t="b">
        <f>Q2</f>
        <v>1</v>
      </c>
      <c r="R88" s="17" t="b">
        <f>R2</f>
        <v>1</v>
      </c>
      <c r="S88" t="b">
        <f>AND(Table152516[[#This Row],[Colloidal Oat]:[Non-comedogenic]],OR(Table152516[[#This Row],[Occlusive]:[Bath Oil]]))</f>
        <v>0</v>
      </c>
      <c r="T88" s="11" t="s">
        <v>1081</v>
      </c>
    </row>
    <row r="89" spans="1:20">
      <c r="A89" s="101" t="b">
        <f>IF(Table152516[[#This Row],[Column11]],Table152516[[#This Row],[Column12]])</f>
        <v>0</v>
      </c>
      <c r="B89" s="20" t="b">
        <f>B2</f>
        <v>0</v>
      </c>
      <c r="C89" s="20" t="b">
        <f>C2</f>
        <v>0</v>
      </c>
      <c r="D89" s="20" t="b">
        <f>D2</f>
        <v>0</v>
      </c>
      <c r="E89" s="17"/>
      <c r="F89" s="17" t="b">
        <f>F3</f>
        <v>1</v>
      </c>
      <c r="G89" s="17" t="b">
        <f>G2</f>
        <v>1</v>
      </c>
      <c r="H89" s="17" t="b">
        <f>H2</f>
        <v>1</v>
      </c>
      <c r="I89" s="20" t="b">
        <f>I3</f>
        <v>1</v>
      </c>
      <c r="J89" s="17" t="b">
        <f>J2</f>
        <v>1</v>
      </c>
      <c r="K89" s="17"/>
      <c r="L89" s="20" t="b">
        <f>L2</f>
        <v>0</v>
      </c>
      <c r="M89" s="17"/>
      <c r="N89" s="17"/>
      <c r="O89" s="17"/>
      <c r="P89" s="17" t="b">
        <f>P2</f>
        <v>1</v>
      </c>
      <c r="Q89" s="17" t="b">
        <f>Q2</f>
        <v>1</v>
      </c>
      <c r="R89" s="17" t="b">
        <f>R2</f>
        <v>1</v>
      </c>
      <c r="S89" t="b">
        <f>AND(Table152516[[#This Row],[Colloidal Oat]:[Non-comedogenic]],OR(Table152516[[#This Row],[Occlusive]:[Bath Oil]]))</f>
        <v>0</v>
      </c>
      <c r="T89" s="11" t="s">
        <v>1082</v>
      </c>
    </row>
    <row r="90" spans="1:20">
      <c r="A90" s="100" t="b">
        <f>IF(Table152516[[#This Row],[Column11]],Table152516[[#This Row],[Column12]])</f>
        <v>0</v>
      </c>
      <c r="B90" s="20" t="b">
        <f>B2</f>
        <v>0</v>
      </c>
      <c r="C90" s="20" t="b">
        <f>C2</f>
        <v>0</v>
      </c>
      <c r="D90" s="20" t="b">
        <f>D2</f>
        <v>0</v>
      </c>
      <c r="E90" s="17"/>
      <c r="F90" s="17" t="b">
        <f>F3</f>
        <v>1</v>
      </c>
      <c r="G90" s="17" t="b">
        <f>G2</f>
        <v>1</v>
      </c>
      <c r="H90" s="17" t="b">
        <f>H2</f>
        <v>1</v>
      </c>
      <c r="I90" s="20" t="b">
        <f>I3</f>
        <v>1</v>
      </c>
      <c r="J90" s="17" t="b">
        <f>J2</f>
        <v>1</v>
      </c>
      <c r="K90" s="17"/>
      <c r="L90" s="20" t="b">
        <f>L2</f>
        <v>0</v>
      </c>
      <c r="M90" s="17"/>
      <c r="N90" s="17"/>
      <c r="O90" s="17"/>
      <c r="P90" s="17" t="b">
        <f>P2</f>
        <v>1</v>
      </c>
      <c r="Q90" s="20" t="b">
        <f>Q3</f>
        <v>1</v>
      </c>
      <c r="R90" s="17" t="b">
        <f>R2</f>
        <v>1</v>
      </c>
      <c r="S90" t="b">
        <f>AND(Table152516[[#This Row],[Colloidal Oat]:[Non-comedogenic]],OR(Table152516[[#This Row],[Occlusive]:[Bath Oil]]))</f>
        <v>0</v>
      </c>
      <c r="T90" s="11" t="s">
        <v>1083</v>
      </c>
    </row>
    <row r="91" spans="1:20">
      <c r="A91" s="99" t="b">
        <f>IF(Table152516[[#This Row],[Column11]],Table152516[[#This Row],[Column12]])</f>
        <v>0</v>
      </c>
      <c r="B91" s="20" t="b">
        <f>B2</f>
        <v>0</v>
      </c>
      <c r="C91" s="20" t="b">
        <f>C2</f>
        <v>0</v>
      </c>
      <c r="D91" s="20" t="b">
        <f>D2</f>
        <v>0</v>
      </c>
      <c r="E91" s="17"/>
      <c r="F91" s="17" t="b">
        <f>F3</f>
        <v>1</v>
      </c>
      <c r="G91" s="17" t="b">
        <f>G2</f>
        <v>1</v>
      </c>
      <c r="H91" s="17" t="b">
        <f>H2</f>
        <v>1</v>
      </c>
      <c r="I91" s="20" t="b">
        <f>I3</f>
        <v>1</v>
      </c>
      <c r="J91" s="17" t="b">
        <f>J2</f>
        <v>1</v>
      </c>
      <c r="K91" s="17"/>
      <c r="L91" s="20" t="b">
        <f>L2</f>
        <v>0</v>
      </c>
      <c r="M91" s="17"/>
      <c r="N91" s="17"/>
      <c r="O91" s="17"/>
      <c r="P91" s="17" t="b">
        <f>P2</f>
        <v>1</v>
      </c>
      <c r="Q91" s="17" t="b">
        <f>Q2</f>
        <v>1</v>
      </c>
      <c r="R91" s="17" t="b">
        <f>R2</f>
        <v>1</v>
      </c>
      <c r="S91" t="b">
        <f>AND(Table152516[[#This Row],[Colloidal Oat]:[Non-comedogenic]],OR(Table152516[[#This Row],[Occlusive]:[Bath Oil]]))</f>
        <v>0</v>
      </c>
      <c r="T91" s="11" t="s">
        <v>1084</v>
      </c>
    </row>
    <row r="92" spans="1:20">
      <c r="A92" s="16" t="e">
        <f>IF(Table152516[[#This Row],[Column11]],Table152516[[#This Row],[Column12]])</f>
        <v>#VALUE!</v>
      </c>
      <c r="B92" s="16"/>
      <c r="C92" s="16"/>
      <c r="D92" s="16"/>
      <c r="E92" s="16"/>
      <c r="F92" s="16"/>
      <c r="G92" s="16"/>
      <c r="H92" s="16"/>
      <c r="I92" s="16"/>
      <c r="J92" s="16"/>
      <c r="K92" s="16"/>
      <c r="L92" s="16"/>
      <c r="M92" s="16"/>
      <c r="N92" s="16"/>
      <c r="O92" s="16"/>
      <c r="P92" s="16"/>
      <c r="Q92" s="16"/>
      <c r="R92" s="16"/>
      <c r="S92" s="16" t="e">
        <f>AND(Table152516[[#This Row],[Colloidal Oat]:[Non-comedogenic]],OR(Table152516[[#This Row],[Occlusive]:[Bath Oil]]))</f>
        <v>#VALUE!</v>
      </c>
      <c r="T92" s="16"/>
    </row>
    <row r="93" spans="1:20">
      <c r="A93" t="e">
        <f>IF(Table152516[[#This Row],[Column11]],Table152516[[#This Row],[Column12]])</f>
        <v>#VALUE!</v>
      </c>
      <c r="S93" t="e">
        <f>AND(Table152516[[#This Row],[Colloidal Oat]:[Non-comedogenic]],OR(Table152516[[#This Row],[Occlusive]:[Bath Oil]]))</f>
        <v>#VALUE!</v>
      </c>
    </row>
    <row r="94" spans="1:20">
      <c r="A94" t="e">
        <f>IF(Table152516[[#This Row],[Column11]],Table152516[[#This Row],[Column12]])</f>
        <v>#VALUE!</v>
      </c>
      <c r="S94" t="e">
        <f>AND(Table152516[[#This Row],[Colloidal Oat]:[Non-comedogenic]],OR(Table152516[[#This Row],[Occlusive]:[Bath Oil]]))</f>
        <v>#VALUE!</v>
      </c>
    </row>
    <row r="95" spans="1:20">
      <c r="A95" t="e">
        <f>IF(Table152516[[#This Row],[Column11]],Table152516[[#This Row],[Column12]])</f>
        <v>#VALUE!</v>
      </c>
      <c r="S95" t="e">
        <f>AND(Table152516[[#This Row],[Colloidal Oat]:[Non-comedogenic]],OR(Table152516[[#This Row],[Occlusive]:[Bath Oil]]))</f>
        <v>#VALUE!</v>
      </c>
    </row>
    <row r="96" spans="1:20">
      <c r="A96" t="e">
        <f>IF(Table152516[[#This Row],[Column11]],Table152516[[#This Row],[Column12]])</f>
        <v>#VALUE!</v>
      </c>
      <c r="S96" t="e">
        <f>AND(Table152516[[#This Row],[Colloidal Oat]:[Non-comedogenic]],OR(Table152516[[#This Row],[Occlusive]:[Bath Oil]]))</f>
        <v>#VALUE!</v>
      </c>
    </row>
    <row r="97" spans="1:19">
      <c r="A97" t="e">
        <f>IF(Table152516[[#This Row],[Column11]],Table152516[[#This Row],[Column12]])</f>
        <v>#VALUE!</v>
      </c>
      <c r="S97" t="e">
        <f>AND(Table152516[[#This Row],[Colloidal Oat]:[Non-comedogenic]],OR(Table152516[[#This Row],[Occlusive]:[Bath Oil]]))</f>
        <v>#VALUE!</v>
      </c>
    </row>
    <row r="98" spans="1:19">
      <c r="A98" t="e">
        <f>IF(Table152516[[#This Row],[Column11]],Table152516[[#This Row],[Column12]])</f>
        <v>#VALUE!</v>
      </c>
      <c r="S98" t="e">
        <f>AND(Table152516[[#This Row],[Colloidal Oat]:[Non-comedogenic]],OR(Table152516[[#This Row],[Occlusive]:[Bath Oil]]))</f>
        <v>#VALUE!</v>
      </c>
    </row>
    <row r="99" spans="1:19">
      <c r="A99" t="e">
        <f>IF(Table152516[[#This Row],[Column11]],Table152516[[#This Row],[Column12]])</f>
        <v>#VALUE!</v>
      </c>
      <c r="S99" t="e">
        <f>AND(Table152516[[#This Row],[Colloidal Oat]:[Non-comedogenic]],OR(Table152516[[#This Row],[Occlusive]:[Bath Oil]]))</f>
        <v>#VALUE!</v>
      </c>
    </row>
    <row r="100" spans="1:19">
      <c r="A100" t="e">
        <f>IF(Table152516[[#This Row],[Column11]],Table152516[[#This Row],[Column12]])</f>
        <v>#VALUE!</v>
      </c>
      <c r="S100" t="e">
        <f>AND(Table152516[[#This Row],[Colloidal Oat]:[Non-comedogenic]],OR(Table152516[[#This Row],[Occlusive]:[Bath Oil]]))</f>
        <v>#VALUE!</v>
      </c>
    </row>
  </sheetData>
  <hyperlinks>
    <hyperlink ref="T2" r:id="rId1" display="https://www.polysporin.ca/products/eczema-essentials-flare-up-cream" xr:uid="{00000000-0004-0000-1800-000000000000}"/>
    <hyperlink ref="T3" r:id="rId2" display="https://www.polysporin.ca/products/eczema-essentials-hydrocortisone-anti-itch-cream" xr:uid="{00000000-0004-0000-1800-000001000000}"/>
    <hyperlink ref="T4" r:id="rId3" display="https://www.polysporin.ca/products/hydrocortisone-anti-itch-cream" xr:uid="{00000000-0004-0000-1800-000002000000}"/>
    <hyperlink ref="T5" r:id="rId4" display="https://www.polysporin.ca/products/itch-relief-lotion" xr:uid="{00000000-0004-0000-1800-000003000000}"/>
    <hyperlink ref="T6" r:id="rId5" display="https://www.polysporin.ca/products/cracked-skin-healing-ointment" xr:uid="{00000000-0004-0000-1800-000004000000}"/>
    <hyperlink ref="T7" r:id="rId6" display="https://www.polysporin.ca/products/cracked-skin-healing-balm" xr:uid="{00000000-0004-0000-1800-000005000000}"/>
    <hyperlink ref="T8" r:id="rId7" display="https://www.polysporin.ca/products/visible-lip-health-overnight-renewal" xr:uid="{00000000-0004-0000-1800-000006000000}"/>
    <hyperlink ref="T10" r:id="rId8" location="tab=TabDetails" xr:uid="{00000000-0004-0000-1800-000007000000}"/>
    <hyperlink ref="T11" r:id="rId9" location="tab=TabDetails" xr:uid="{00000000-0004-0000-1800-000008000000}"/>
    <hyperlink ref="T12" r:id="rId10" location="tab=TabDetails" xr:uid="{00000000-0004-0000-1800-000009000000}"/>
    <hyperlink ref="T13" r:id="rId11" location="tab=TabDetails" xr:uid="{00000000-0004-0000-1800-00000A000000}"/>
    <hyperlink ref="T14" r:id="rId12" location="tab=TabDetails" xr:uid="{00000000-0004-0000-1800-00000B000000}"/>
    <hyperlink ref="T15" r:id="rId13" location="tab=TabDetails" xr:uid="{00000000-0004-0000-1800-00000C000000}"/>
    <hyperlink ref="T16" r:id="rId14" location="tab=TabDetails" xr:uid="{00000000-0004-0000-1800-00000D000000}"/>
    <hyperlink ref="T17" r:id="rId15" location="tab=TabDetails" xr:uid="{00000000-0004-0000-1800-00000E000000}"/>
    <hyperlink ref="T18" r:id="rId16" location="tab=TabDetails" display="Goldbond ECZEMA RELIEF SKIN PROTECTANT CREAM &amp; LOTION" xr:uid="{00000000-0004-0000-1800-00000F000000}"/>
    <hyperlink ref="T20" r:id="rId17" location="tab=TabDetails" xr:uid="{00000000-0004-0000-1800-000010000000}"/>
    <hyperlink ref="T21" r:id="rId18" location="tab=TabDetails" xr:uid="{00000000-0004-0000-1800-000011000000}"/>
    <hyperlink ref="T23" r:id="rId19" location="tab=TabDetails" display="Goldbond MOISTURIZING SKIN THERAPY LOTION &amp; CREAM" xr:uid="{00000000-0004-0000-1800-000012000000}"/>
    <hyperlink ref="T33" r:id="rId20" display="https://www.aveeno.com/products/cracked-skin-relief-cica-balm" xr:uid="{00000000-0004-0000-1800-000013000000}"/>
    <hyperlink ref="T34" r:id="rId21" display="https://www.aveeno.com/products/cracked-skin-relief-cica-ointment" xr:uid="{00000000-0004-0000-1800-000014000000}"/>
    <hyperlink ref="T19" r:id="rId22" location="tab=TabDetails" display="Goldbond ECZEMA RELIEF SKIN PROTECTANT CREAM &amp; LOTION" xr:uid="{00000000-0004-0000-1800-000015000000}"/>
    <hyperlink ref="T22" r:id="rId23" location="tab=TabDetails" display="Goldbond MOISTURIZING SKIN THERAPY LOTION &amp; CREAM" xr:uid="{00000000-0004-0000-1800-000016000000}"/>
    <hyperlink ref="T25" r:id="rId24" location="ingredients" xr:uid="{00000000-0004-0000-1800-000017000000}"/>
    <hyperlink ref="T26" r:id="rId25" xr:uid="{00000000-0004-0000-1800-000018000000}"/>
    <hyperlink ref="T27" r:id="rId26" xr:uid="{00000000-0004-0000-1800-000019000000}"/>
    <hyperlink ref="T28" r:id="rId27" xr:uid="{00000000-0004-0000-1800-00001A000000}"/>
    <hyperlink ref="T29" r:id="rId28" xr:uid="{00000000-0004-0000-1800-00001B000000}"/>
    <hyperlink ref="T30" r:id="rId29" xr:uid="{00000000-0004-0000-1800-00001C000000}"/>
    <hyperlink ref="T31" r:id="rId30" display="SHARE" xr:uid="{00000000-0004-0000-1800-00001D000000}"/>
    <hyperlink ref="T35" r:id="rId31" display="https://www.aveeno.ca/products/stress-relief-moisturizing-lotion" xr:uid="{00000000-0004-0000-1800-00001E000000}"/>
    <hyperlink ref="T36" r:id="rId32" display="https://www.aveeno.ca/products/skin-relief-moisturizing-lotion" xr:uid="{00000000-0004-0000-1800-00001F000000}"/>
    <hyperlink ref="T37" r:id="rId33" display="https://www.aveeno.ca/products/intense-relief-moisture-repair-cream" xr:uid="{00000000-0004-0000-1800-000020000000}"/>
    <hyperlink ref="T38" r:id="rId34" display="https://www.aveeno.ca/products/anti-itch-lotion" xr:uid="{00000000-0004-0000-1800-000021000000}"/>
    <hyperlink ref="T39" r:id="rId35" display="https://www.aveeno.ca/products/daily-moisturizing-honey-and-apricot-body-yogurt-lotion" xr:uid="{00000000-0004-0000-1800-000022000000}"/>
    <hyperlink ref="T40" r:id="rId36" display="https://www.aveeno.ca/products/daily-moisturizing-vanilla-body-yogurt-lotion" xr:uid="{00000000-0004-0000-1800-000023000000}"/>
    <hyperlink ref="T41" r:id="rId37" display="https://www.aveeno.ca/products/daily-moisturizing-lotion" xr:uid="{00000000-0004-0000-1800-000024000000}"/>
    <hyperlink ref="T42" r:id="rId38" display="https://www.aveeno.ca/products/daily-moisturizing-lotion-sheer-hydration" xr:uid="{00000000-0004-0000-1800-000025000000}"/>
    <hyperlink ref="T43" r:id="rId39" display="https://www.aveeno.ca/products/eczema-care-hand-cream" xr:uid="{00000000-0004-0000-1800-000026000000}"/>
    <hyperlink ref="T44" r:id="rId40" display="https://www.aveeno.ca/products/eczema-care-itch-relief-balm" xr:uid="{00000000-0004-0000-1800-000027000000}"/>
    <hyperlink ref="T45" r:id="rId41" display="https://www.aveeno.ca/products/positively-radiant-body-lotion" xr:uid="{00000000-0004-0000-1800-000028000000}"/>
    <hyperlink ref="T46" r:id="rId42" display="https://www.aveeno.ca/products/skin-relief-moisturizing-lotion-diabetics-dry-skin" xr:uid="{00000000-0004-0000-1800-000029000000}"/>
    <hyperlink ref="T47" r:id="rId43" display="https://www.aveeno.ca/products/skin-relief-gentle-scent-coconut-lotion" xr:uid="{00000000-0004-0000-1800-00002A000000}"/>
    <hyperlink ref="T48" r:id="rId44" display="https://www.aveeno.ca/products/skin-relief-gentle-scent-chamomile-lotion" xr:uid="{00000000-0004-0000-1800-00002B000000}"/>
    <hyperlink ref="T49" r:id="rId45" display="https://www.aveeno.ca/products/skin-relief-hand-cream" xr:uid="{00000000-0004-0000-1800-00002C000000}"/>
    <hyperlink ref="T50" r:id="rId46" display="https://www.aveeno.ca/products/intense-relief-overnight-cream" xr:uid="{00000000-0004-0000-1800-00002D000000}"/>
    <hyperlink ref="T51" r:id="rId47" display="https://www.aveeno.ca/products/positively-radiant-intensive-night-cream" xr:uid="{00000000-0004-0000-1800-00002E000000}"/>
    <hyperlink ref="T52" r:id="rId48" display="https://www.aveeno.ca/products/intense-relief-hand-cream" xr:uid="{00000000-0004-0000-1800-00002F000000}"/>
    <hyperlink ref="T53" r:id="rId49" display="https://www.aveeno.ca/products/skin-relief-moisturizing-cream" xr:uid="{00000000-0004-0000-1800-000030000000}"/>
    <hyperlink ref="T54" r:id="rId50" display="https://www.aveeno.ca/products/daily-moisturizing-hand-cream" xr:uid="{00000000-0004-0000-1800-000031000000}"/>
    <hyperlink ref="T55" r:id="rId51" display="https://www.aveeno.ca/products/skin-relief-moisturizing-lotion-cooling-menthol" xr:uid="{00000000-0004-0000-1800-000032000000}"/>
    <hyperlink ref="T56" r:id="rId52" display="https://www.aveeno.ca/products/eczema-care-moisturizing-cream" xr:uid="{00000000-0004-0000-1800-000033000000}"/>
    <hyperlink ref="T58" r:id="rId53" xr:uid="{00000000-0004-0000-1800-000034000000}"/>
    <hyperlink ref="T59" r:id="rId54" xr:uid="{00000000-0004-0000-1800-000035000000}"/>
    <hyperlink ref="T60" r:id="rId55" xr:uid="{00000000-0004-0000-1800-000036000000}"/>
    <hyperlink ref="T62" r:id="rId56" xr:uid="{00000000-0004-0000-1800-000037000000}"/>
    <hyperlink ref="T63" r:id="rId57" xr:uid="{00000000-0004-0000-1800-000038000000}"/>
    <hyperlink ref="T64" r:id="rId58" xr:uid="{00000000-0004-0000-1800-000039000000}"/>
    <hyperlink ref="T66" r:id="rId59" xr:uid="{00000000-0004-0000-1800-00003A000000}"/>
    <hyperlink ref="T67" r:id="rId60" xr:uid="{00000000-0004-0000-1800-00003B000000}"/>
    <hyperlink ref="T68" r:id="rId61" xr:uid="{00000000-0004-0000-1800-00003C000000}"/>
    <hyperlink ref="T69" r:id="rId62" xr:uid="{00000000-0004-0000-1800-00003D000000}"/>
    <hyperlink ref="T70" r:id="rId63" xr:uid="{00000000-0004-0000-1800-00003E000000}"/>
    <hyperlink ref="T71" r:id="rId64" xr:uid="{00000000-0004-0000-1800-00003F000000}"/>
    <hyperlink ref="T72" r:id="rId65" xr:uid="{00000000-0004-0000-1800-000040000000}"/>
    <hyperlink ref="T74" r:id="rId66" xr:uid="{00000000-0004-0000-1800-000041000000}"/>
    <hyperlink ref="T75" r:id="rId67" display="Glaxal* Base Moisturizing Lotion" xr:uid="{00000000-0004-0000-1800-000042000000}"/>
    <hyperlink ref="T77" r:id="rId68" xr:uid="{00000000-0004-0000-1800-000043000000}"/>
    <hyperlink ref="T78" r:id="rId69" xr:uid="{00000000-0004-0000-1800-000044000000}"/>
    <hyperlink ref="T79" r:id="rId70" xr:uid="{00000000-0004-0000-1800-000045000000}"/>
    <hyperlink ref="T80" r:id="rId71" xr:uid="{00000000-0004-0000-1800-000046000000}"/>
    <hyperlink ref="T81" r:id="rId72" xr:uid="{00000000-0004-0000-1800-000047000000}"/>
    <hyperlink ref="T82" r:id="rId73" xr:uid="{00000000-0004-0000-1800-000048000000}"/>
    <hyperlink ref="T83" r:id="rId74" xr:uid="{00000000-0004-0000-1800-000049000000}"/>
    <hyperlink ref="T84" r:id="rId75" xr:uid="{00000000-0004-0000-1800-00004A000000}"/>
    <hyperlink ref="T86" r:id="rId76" location="toggle-id-1" xr:uid="{00000000-0004-0000-1800-00004B000000}"/>
    <hyperlink ref="T87" r:id="rId77" location="toggle-id-1" xr:uid="{00000000-0004-0000-1800-00004C000000}"/>
    <hyperlink ref="T88" r:id="rId78" location="toggle-id-1" xr:uid="{00000000-0004-0000-1800-00004D000000}"/>
    <hyperlink ref="T89" r:id="rId79" location="toggle-id-1" xr:uid="{00000000-0004-0000-1800-00004E000000}"/>
    <hyperlink ref="T90" r:id="rId80" location="toggle-id-1" xr:uid="{00000000-0004-0000-1800-00004F000000}"/>
    <hyperlink ref="T91" r:id="rId81" location="toggle-id-1" xr:uid="{00000000-0004-0000-1800-000050000000}"/>
  </hyperlinks>
  <pageMargins left="0.7" right="0.7" top="0.75" bottom="0.75" header="0.3" footer="0.3"/>
  <pageSetup orientation="portrait" r:id="rId82"/>
  <tableParts count="1">
    <tablePart r:id="rId83"/>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C9"/>
  <sheetViews>
    <sheetView workbookViewId="0">
      <selection activeCell="A22" sqref="A22"/>
    </sheetView>
  </sheetViews>
  <sheetFormatPr defaultRowHeight="15"/>
  <cols>
    <col min="1" max="1" width="64.42578125" customWidth="1"/>
  </cols>
  <sheetData>
    <row r="1" spans="1:3" ht="15.75" thickTop="1">
      <c r="A1" s="3" t="s">
        <v>15</v>
      </c>
      <c r="B1" s="7" t="s">
        <v>18</v>
      </c>
      <c r="C1" s="96"/>
    </row>
    <row r="2" spans="1:3" ht="15.75" thickBot="1">
      <c r="B2" s="4"/>
      <c r="C2" s="96"/>
    </row>
    <row r="3" spans="1:3" ht="15.75" thickBot="1">
      <c r="A3" s="158" t="s">
        <v>959</v>
      </c>
      <c r="B3" s="33" t="b">
        <v>0</v>
      </c>
      <c r="C3" s="206" t="b">
        <f>NOT(B3)</f>
        <v>1</v>
      </c>
    </row>
    <row r="4" spans="1:3" ht="15.75" thickBot="1">
      <c r="A4" s="173" t="s">
        <v>960</v>
      </c>
      <c r="B4" s="33" t="b">
        <v>0</v>
      </c>
      <c r="C4" s="206" t="b">
        <f>NOT(B4)</f>
        <v>1</v>
      </c>
    </row>
    <row r="5" spans="1:3" ht="15.75" thickBot="1">
      <c r="A5" s="165" t="s">
        <v>961</v>
      </c>
      <c r="B5" s="33" t="b">
        <v>0</v>
      </c>
      <c r="C5" s="206" t="b">
        <f>NOT(B5)</f>
        <v>1</v>
      </c>
    </row>
    <row r="6" spans="1:3" ht="15.75" thickBot="1">
      <c r="A6" s="165" t="s">
        <v>964</v>
      </c>
      <c r="B6" s="33" t="b">
        <v>0</v>
      </c>
      <c r="C6" s="206" t="b">
        <f t="shared" ref="C6:C7" si="0">NOT(B6)</f>
        <v>1</v>
      </c>
    </row>
    <row r="7" spans="1:3" ht="15.75" thickBot="1">
      <c r="A7" s="165" t="s">
        <v>967</v>
      </c>
      <c r="B7" s="33" t="b">
        <v>0</v>
      </c>
      <c r="C7" s="206" t="b">
        <f t="shared" si="0"/>
        <v>1</v>
      </c>
    </row>
    <row r="8" spans="1:3" ht="15.75" thickBot="1">
      <c r="A8" s="161" t="s">
        <v>968</v>
      </c>
      <c r="B8" s="33" t="b">
        <v>0</v>
      </c>
      <c r="C8" s="205"/>
    </row>
    <row r="9" spans="1:3" ht="15.75" thickBot="1">
      <c r="A9" s="161" t="s">
        <v>969</v>
      </c>
      <c r="B9" s="33" t="b">
        <v>0</v>
      </c>
      <c r="C9" s="205"/>
    </row>
  </sheetData>
  <dataValidations xWindow="467" yWindow="346" count="2">
    <dataValidation allowBlank="1" showInputMessage="1" showErrorMessage="1" prompt="Consult your physician if unsure" sqref="A3:A4 A8:A9" xr:uid="{00000000-0002-0000-1900-000000000000}"/>
    <dataValidation allowBlank="1" showInputMessage="1" showErrorMessage="1" prompt="Consult your pharmacist if unsure" sqref="A5:A7" xr:uid="{00000000-0002-0000-19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467" yWindow="346" count="7">
        <x14:dataValidation type="list" showInputMessage="1" showErrorMessage="1" error="Please answer as Yes or No" prompt="Wart lesions which typically affect the feet" xr:uid="{00000000-0002-0000-1900-000002000000}">
          <x14:formula1>
            <xm:f>random!$A$2:$A$3</xm:f>
          </x14:formula1>
          <xm:sqref>B9</xm:sqref>
        </x14:dataValidation>
        <x14:dataValidation type="list" showInputMessage="1" showErrorMessage="1" error="Please answer as Yes or No" prompt="Salicylic acid allows control of discomfort/pain and reduced scarring but involves multiple treatments and extended treatment period. Solid dosage treatments are easily/quickly applied, conceal lesion but may affect adjacent normal healthy skin. " xr:uid="{00000000-0002-0000-1900-000003000000}">
          <x14:formula1>
            <xm:f>random!$A$2:$A$3</xm:f>
          </x14:formula1>
          <xm:sqref>B7</xm:sqref>
        </x14:dataValidation>
        <x14:dataValidation type="list" showInputMessage="1" showErrorMessage="1" error="Please answer as Yes or No" prompt="Salicylic acid allows control of discomfort/dissability, reduces scarring but involves multiple and longer treatment. Fast drying liquid allow more selective treatment of affected area. Aavailable in combo with cryotherapy. Select both if desired." xr:uid="{00000000-0002-0000-1900-000004000000}">
          <x14:formula1>
            <xm:f>random!$A$2:$A$3</xm:f>
          </x14:formula1>
          <xm:sqref>B6</xm:sqref>
        </x14:dataValidation>
        <x14:dataValidation type="list" showInputMessage="1" showErrorMessage="1" error="Please answer as Yes or No" prompt="Over-the-counter wart products are not recommended for individuals with diabetes, immunosuppression or circulation issues due to increased risk of lesion infection or injury. Consult your physician." xr:uid="{00000000-0002-0000-1900-000005000000}">
          <x14:formula1>
            <xm:f>random!$A$2:$A$3</xm:f>
          </x14:formula1>
          <xm:sqref>B3</xm:sqref>
        </x14:dataValidation>
        <x14:dataValidation type="list" showInputMessage="1" showErrorMessage="1" error="Please answer as Yes or No" prompt="Some wart products contain rubber or lanolin and may cause skin reactions. " xr:uid="{00000000-0002-0000-1900-000006000000}">
          <x14:formula1>
            <xm:f>random!$A$2:$A$3</xm:f>
          </x14:formula1>
          <xm:sqref>B4</xm:sqref>
        </x14:dataValidation>
        <x14:dataValidation type="list" showInputMessage="1" showErrorMessage="1" error="Please answer as Yes or No" prompt="Cryotherapy may require a single or few applications but may be more painful than salicylic acid therapy, increase the risk of scarring and is more complicated to administer. Sometimes available as combo with topical liquid/gel. Select both if desired." xr:uid="{00000000-0002-0000-1900-000007000000}">
          <x14:formula1>
            <xm:f>random!$A$2:$A$3</xm:f>
          </x14:formula1>
          <xm:sqref>B5</xm:sqref>
        </x14:dataValidation>
        <x14:dataValidation type="list" showInputMessage="1" showErrorMessage="1" error="Please answer as Yes or No" prompt="Wart lesions which typically affect the hands" xr:uid="{00000000-0002-0000-1900-000008000000}">
          <x14:formula1>
            <xm:f>random!$A$2:$A$3</xm:f>
          </x14:formula1>
          <xm:sqref>B8</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20"/>
  <sheetViews>
    <sheetView workbookViewId="0">
      <selection activeCell="J2" sqref="J2"/>
    </sheetView>
  </sheetViews>
  <sheetFormatPr defaultRowHeight="15"/>
  <cols>
    <col min="1" max="1" width="54.140625" customWidth="1"/>
    <col min="2" max="9" width="11" customWidth="1"/>
    <col min="10" max="10" width="12" customWidth="1"/>
    <col min="11" max="11" width="80.7109375" customWidth="1"/>
  </cols>
  <sheetData>
    <row r="1" spans="1:11">
      <c r="A1" s="70" t="s">
        <v>1248</v>
      </c>
      <c r="B1" t="s">
        <v>726</v>
      </c>
      <c r="C1" t="s">
        <v>766</v>
      </c>
      <c r="D1" s="204" t="s">
        <v>636</v>
      </c>
      <c r="E1" s="204" t="s">
        <v>928</v>
      </c>
      <c r="F1" s="204" t="s">
        <v>962</v>
      </c>
      <c r="G1" s="204" t="s">
        <v>963</v>
      </c>
      <c r="H1" t="s">
        <v>965</v>
      </c>
      <c r="I1" t="s">
        <v>966</v>
      </c>
      <c r="J1" t="s">
        <v>688</v>
      </c>
      <c r="K1" t="s">
        <v>381</v>
      </c>
    </row>
    <row r="2" spans="1:11">
      <c r="A2" t="b">
        <f>IF(Table1524[[#This Row],[Column11]],Table1524[[#This Row],[Column12]])</f>
        <v>0</v>
      </c>
      <c r="B2" s="17"/>
      <c r="C2" s="20" t="b">
        <f>AND('Wart Criteria'!B5,'Wart Criteria'!C3)</f>
        <v>0</v>
      </c>
      <c r="D2" s="17"/>
      <c r="E2" s="17"/>
      <c r="F2" s="17"/>
      <c r="G2" s="17"/>
      <c r="H2" s="20" t="b">
        <f>AND('Wart Criteria'!B8)</f>
        <v>0</v>
      </c>
      <c r="I2" s="20" t="b">
        <f>AND('Wart Criteria'!B9)</f>
        <v>0</v>
      </c>
      <c r="J2" t="b">
        <f>AND(Table1524[[#This Row],[Salicylic Acid]:[Liquid/Gel]],OR(Table1524[[#This Row],[Common Warts]:[Plantar]]))</f>
        <v>0</v>
      </c>
      <c r="K2" s="29" t="s">
        <v>767</v>
      </c>
    </row>
    <row r="3" spans="1:11">
      <c r="A3" t="b">
        <f>IF(Table1524[[#This Row],[Column11]],Table1524[[#This Row],[Column12]])</f>
        <v>0</v>
      </c>
      <c r="B3" s="17"/>
      <c r="C3" s="20" t="b">
        <f>C2</f>
        <v>0</v>
      </c>
      <c r="D3" s="17"/>
      <c r="E3" s="17"/>
      <c r="F3" s="17"/>
      <c r="G3" s="17"/>
      <c r="H3" s="20" t="b">
        <f>H2</f>
        <v>0</v>
      </c>
      <c r="I3" s="20" t="b">
        <f>I2</f>
        <v>0</v>
      </c>
      <c r="J3" t="b">
        <f>AND(Table1524[[#This Row],[Salicylic Acid]:[Liquid/Gel]],OR(Table1524[[#This Row],[Common Warts]:[Plantar]]))</f>
        <v>0</v>
      </c>
      <c r="K3" s="29" t="s">
        <v>768</v>
      </c>
    </row>
    <row r="4" spans="1:11">
      <c r="A4" t="b">
        <f>IF(Table1524[[#This Row],[Column11]],Table1524[[#This Row],[Column12]])</f>
        <v>0</v>
      </c>
      <c r="B4" s="17"/>
      <c r="C4" s="20" t="b">
        <f>C2</f>
        <v>0</v>
      </c>
      <c r="D4" s="17"/>
      <c r="E4" s="17"/>
      <c r="F4" s="17"/>
      <c r="G4" s="17"/>
      <c r="H4" s="20" t="b">
        <f>H2</f>
        <v>0</v>
      </c>
      <c r="I4" s="20" t="b">
        <f>I2</f>
        <v>0</v>
      </c>
      <c r="J4" t="b">
        <f>AND(Table1524[[#This Row],[Salicylic Acid]:[Liquid/Gel]],OR(Table1524[[#This Row],[Common Warts]:[Plantar]]))</f>
        <v>0</v>
      </c>
      <c r="K4" s="29" t="s">
        <v>769</v>
      </c>
    </row>
    <row r="5" spans="1:11">
      <c r="A5" t="b">
        <f>IF(Table1524[[#This Row],[Column11]],Table1524[[#This Row],[Column12]])</f>
        <v>0</v>
      </c>
      <c r="B5" s="20" t="b">
        <f>AND('Wart Criteria'!C3)</f>
        <v>1</v>
      </c>
      <c r="C5" s="20" t="b">
        <f>C2</f>
        <v>0</v>
      </c>
      <c r="D5" s="17"/>
      <c r="E5" s="17"/>
      <c r="F5" s="17"/>
      <c r="G5" s="106" t="b">
        <f>AND('Wart Criteria'!B5:B6,'Wart Criteria'!C7)</f>
        <v>0</v>
      </c>
      <c r="H5" s="20" t="b">
        <f>H2</f>
        <v>0</v>
      </c>
      <c r="I5" s="20" t="b">
        <f>I2</f>
        <v>0</v>
      </c>
      <c r="J5" t="b">
        <f>AND(Table1524[[#This Row],[Salicylic Acid]:[Liquid/Gel]],OR(Table1524[[#This Row],[Common Warts]:[Plantar]]))</f>
        <v>0</v>
      </c>
      <c r="K5" s="29" t="s">
        <v>770</v>
      </c>
    </row>
    <row r="6" spans="1:11">
      <c r="A6" t="b">
        <f>IF(Table1524[[#This Row],[Column11]],Table1524[[#This Row],[Column12]])</f>
        <v>0</v>
      </c>
      <c r="B6" s="17"/>
      <c r="C6" s="20" t="b">
        <f>C2</f>
        <v>0</v>
      </c>
      <c r="D6" s="17"/>
      <c r="E6" s="17"/>
      <c r="F6" s="17"/>
      <c r="G6" s="17"/>
      <c r="H6" s="17"/>
      <c r="I6" s="20" t="b">
        <f>I2</f>
        <v>0</v>
      </c>
      <c r="J6" t="b">
        <f>AND(Table1524[[#This Row],[Salicylic Acid]:[Liquid/Gel]],OR(Table1524[[#This Row],[Common Warts]:[Plantar]]))</f>
        <v>0</v>
      </c>
      <c r="K6" s="29" t="s">
        <v>771</v>
      </c>
    </row>
    <row r="7" spans="1:11">
      <c r="A7" t="b">
        <f>IF(Table1524[[#This Row],[Column11]],Table1524[[#This Row],[Column12]])</f>
        <v>0</v>
      </c>
      <c r="B7" s="17"/>
      <c r="C7" s="20" t="b">
        <f>C2</f>
        <v>0</v>
      </c>
      <c r="D7" s="17"/>
      <c r="E7" s="17"/>
      <c r="F7" s="17"/>
      <c r="G7" s="17"/>
      <c r="H7" s="20" t="b">
        <f>H2</f>
        <v>0</v>
      </c>
      <c r="I7" s="20" t="b">
        <f>I2</f>
        <v>0</v>
      </c>
      <c r="J7" t="b">
        <f>AND(Table1524[[#This Row],[Salicylic Acid]:[Liquid/Gel]],OR(Table1524[[#This Row],[Common Warts]:[Plantar]]))</f>
        <v>0</v>
      </c>
      <c r="K7" s="29" t="s">
        <v>772</v>
      </c>
    </row>
    <row r="8" spans="1:11">
      <c r="A8" t="b">
        <f>IF(Table1524[[#This Row],[Column11]],Table1524[[#This Row],[Column12]])</f>
        <v>0</v>
      </c>
      <c r="B8" s="20" t="b">
        <f>B5</f>
        <v>1</v>
      </c>
      <c r="C8" s="17"/>
      <c r="D8" s="20" t="b">
        <f>AND('Wart Criteria'!C4)</f>
        <v>1</v>
      </c>
      <c r="E8" s="20" t="b">
        <f>AND('Wart Criteria'!C4)</f>
        <v>1</v>
      </c>
      <c r="F8" s="20" t="b">
        <f>AND('Wart Criteria'!B7,'Wart Criteria'!C5:C6)</f>
        <v>0</v>
      </c>
      <c r="G8" s="17"/>
      <c r="H8" s="20" t="b">
        <f>H2</f>
        <v>0</v>
      </c>
      <c r="I8" s="20" t="b">
        <f>I2</f>
        <v>0</v>
      </c>
      <c r="J8" t="b">
        <f>AND(Table1524[[#This Row],[Salicylic Acid]:[Liquid/Gel]],OR(Table1524[[#This Row],[Common Warts]:[Plantar]]))</f>
        <v>0</v>
      </c>
      <c r="K8" s="29" t="s">
        <v>773</v>
      </c>
    </row>
    <row r="9" spans="1:11">
      <c r="A9" t="b">
        <f>IF(Table1524[[#This Row],[Column11]],Table1524[[#This Row],[Column12]])</f>
        <v>0</v>
      </c>
      <c r="B9" s="20" t="b">
        <f>B5</f>
        <v>1</v>
      </c>
      <c r="C9" s="17"/>
      <c r="D9" s="20" t="b">
        <f>D8</f>
        <v>1</v>
      </c>
      <c r="E9" s="20" t="b">
        <f>E8</f>
        <v>1</v>
      </c>
      <c r="F9" s="20" t="b">
        <f>F8</f>
        <v>0</v>
      </c>
      <c r="G9" s="17"/>
      <c r="H9" s="20" t="b">
        <f>H2</f>
        <v>0</v>
      </c>
      <c r="I9" s="20" t="b">
        <f>I2</f>
        <v>0</v>
      </c>
      <c r="J9" t="b">
        <f>AND(Table1524[[#This Row],[Salicylic Acid]:[Liquid/Gel]],OR(Table1524[[#This Row],[Common Warts]:[Plantar]]))</f>
        <v>0</v>
      </c>
      <c r="K9" s="29" t="s">
        <v>774</v>
      </c>
    </row>
    <row r="10" spans="1:11">
      <c r="A10" t="b">
        <f>IF(Table1524[[#This Row],[Column11]],Table1524[[#This Row],[Column12]])</f>
        <v>0</v>
      </c>
      <c r="B10" s="20" t="b">
        <f>B5</f>
        <v>1</v>
      </c>
      <c r="C10" s="17"/>
      <c r="D10" s="20" t="b">
        <f>D8</f>
        <v>1</v>
      </c>
      <c r="E10" s="20" t="b">
        <f>E8</f>
        <v>1</v>
      </c>
      <c r="F10" s="20" t="b">
        <f>F8</f>
        <v>0</v>
      </c>
      <c r="G10" s="17"/>
      <c r="H10" s="17"/>
      <c r="I10" s="20" t="b">
        <f>I2</f>
        <v>0</v>
      </c>
      <c r="J10" t="b">
        <f>AND(Table1524[[#This Row],[Salicylic Acid]:[Liquid/Gel]],OR(Table1524[[#This Row],[Common Warts]:[Plantar]]))</f>
        <v>0</v>
      </c>
      <c r="K10" s="29" t="s">
        <v>775</v>
      </c>
    </row>
    <row r="11" spans="1:11">
      <c r="A11" t="b">
        <f>IF(Table1524[[#This Row],[Column11]],Table1524[[#This Row],[Column12]])</f>
        <v>0</v>
      </c>
      <c r="B11" s="20" t="b">
        <f>B5</f>
        <v>1</v>
      </c>
      <c r="C11" s="17"/>
      <c r="D11" s="20" t="b">
        <f>D8</f>
        <v>1</v>
      </c>
      <c r="E11" s="20" t="b">
        <f>E8</f>
        <v>1</v>
      </c>
      <c r="F11" s="20" t="b">
        <f>F8</f>
        <v>0</v>
      </c>
      <c r="G11" s="17"/>
      <c r="H11" s="20" t="b">
        <f>H2</f>
        <v>0</v>
      </c>
      <c r="I11" s="20" t="b">
        <f>I2</f>
        <v>0</v>
      </c>
      <c r="J11" t="b">
        <f>AND(Table1524[[#This Row],[Salicylic Acid]:[Liquid/Gel]],OR(Table1524[[#This Row],[Common Warts]:[Plantar]]))</f>
        <v>0</v>
      </c>
      <c r="K11" s="29" t="s">
        <v>776</v>
      </c>
    </row>
    <row r="12" spans="1:11">
      <c r="A12" t="b">
        <f>IF(Table1524[[#This Row],[Column11]],Table1524[[#This Row],[Column12]])</f>
        <v>0</v>
      </c>
      <c r="B12" s="20" t="b">
        <f>B5</f>
        <v>1</v>
      </c>
      <c r="C12" s="17"/>
      <c r="D12" s="17"/>
      <c r="E12" s="17"/>
      <c r="F12" s="17"/>
      <c r="G12" s="106" t="b">
        <f>AND('Wart Criteria'!B6,'Wart Criteria'!C5,'Wart Criteria'!C7)</f>
        <v>0</v>
      </c>
      <c r="H12" s="20" t="b">
        <f>H2</f>
        <v>0</v>
      </c>
      <c r="I12" s="20" t="b">
        <f>I2</f>
        <v>0</v>
      </c>
      <c r="J12" t="b">
        <f>AND(Table1524[[#This Row],[Salicylic Acid]:[Liquid/Gel]],OR(Table1524[[#This Row],[Common Warts]:[Plantar]]))</f>
        <v>0</v>
      </c>
      <c r="K12" s="29" t="s">
        <v>777</v>
      </c>
    </row>
    <row r="13" spans="1:11">
      <c r="A13" t="b">
        <f>IF(Table1524[[#This Row],[Column11]],Table1524[[#This Row],[Column12]])</f>
        <v>0</v>
      </c>
      <c r="B13" s="20" t="b">
        <f>B5</f>
        <v>1</v>
      </c>
      <c r="C13" s="17"/>
      <c r="D13" s="17"/>
      <c r="E13" s="17"/>
      <c r="F13" s="17"/>
      <c r="G13" s="20" t="b">
        <f>G12</f>
        <v>0</v>
      </c>
      <c r="H13" s="20" t="b">
        <f>H2</f>
        <v>0</v>
      </c>
      <c r="I13" s="20" t="b">
        <f>I2</f>
        <v>0</v>
      </c>
      <c r="J13" t="b">
        <f>AND(Table1524[[#This Row],[Salicylic Acid]:[Liquid/Gel]],OR(Table1524[[#This Row],[Common Warts]:[Plantar]]))</f>
        <v>0</v>
      </c>
      <c r="K13" s="29" t="s">
        <v>778</v>
      </c>
    </row>
    <row r="14" spans="1:11">
      <c r="A14" s="16" t="e">
        <f>IF(Table1524[[#This Row],[Column11]],Table1524[[#This Row],[Column12]])</f>
        <v>#VALUE!</v>
      </c>
      <c r="B14" s="16"/>
      <c r="C14" s="16"/>
      <c r="D14" s="16"/>
      <c r="E14" s="16"/>
      <c r="F14" s="16"/>
      <c r="G14" s="16"/>
      <c r="H14" s="16"/>
      <c r="I14" s="16"/>
      <c r="J14" s="27" t="e">
        <f>AND(Table1524[[#This Row],[Salicylic Acid]:[Liquid/Gel]],OR(Table1524[[#This Row],[Common Warts]:[Plantar]]))</f>
        <v>#VALUE!</v>
      </c>
      <c r="K14" s="27"/>
    </row>
    <row r="15" spans="1:11">
      <c r="A15" t="b">
        <f>IF(Table1524[[#This Row],[Column11]],Table1524[[#This Row],[Column12]])</f>
        <v>0</v>
      </c>
      <c r="B15" s="20" t="b">
        <f>B5</f>
        <v>1</v>
      </c>
      <c r="C15" s="20" t="b">
        <f>C2</f>
        <v>0</v>
      </c>
      <c r="D15" s="17"/>
      <c r="E15" s="17"/>
      <c r="F15" s="17"/>
      <c r="G15" s="20" t="b">
        <f>G5</f>
        <v>0</v>
      </c>
      <c r="H15" s="20" t="b">
        <f>H2</f>
        <v>0</v>
      </c>
      <c r="I15" s="20" t="b">
        <f>I2</f>
        <v>0</v>
      </c>
      <c r="J15" t="b">
        <f>AND(Table1524[[#This Row],[Salicylic Acid]:[Liquid/Gel]],OR(Table1524[[#This Row],[Common Warts]:[Plantar]]))</f>
        <v>0</v>
      </c>
      <c r="K15" s="29" t="s">
        <v>956</v>
      </c>
    </row>
    <row r="16" spans="1:11">
      <c r="A16" t="b">
        <f>IF(Table1524[[#This Row],[Column11]],Table1524[[#This Row],[Column12]])</f>
        <v>0</v>
      </c>
      <c r="B16" s="20" t="b">
        <f>B5</f>
        <v>1</v>
      </c>
      <c r="C16" s="17"/>
      <c r="D16" s="17"/>
      <c r="E16" s="17"/>
      <c r="F16" s="20" t="b">
        <f>F8</f>
        <v>0</v>
      </c>
      <c r="G16" s="17"/>
      <c r="H16" s="17"/>
      <c r="I16" s="20" t="b">
        <f>I2</f>
        <v>0</v>
      </c>
      <c r="J16" t="b">
        <f>AND(Table1524[[#This Row],[Salicylic Acid]:[Liquid/Gel]],OR(Table1524[[#This Row],[Common Warts]:[Plantar]]))</f>
        <v>0</v>
      </c>
      <c r="K16" s="29" t="s">
        <v>957</v>
      </c>
    </row>
    <row r="17" spans="1:11">
      <c r="A17" t="b">
        <f>IF(Table1524[[#This Row],[Column11]],Table1524[[#This Row],[Column12]])</f>
        <v>0</v>
      </c>
      <c r="B17" s="20" t="b">
        <f>B5</f>
        <v>1</v>
      </c>
      <c r="C17" s="17"/>
      <c r="D17" s="17"/>
      <c r="E17" s="17"/>
      <c r="F17" s="17"/>
      <c r="G17" s="20" t="b">
        <f>G12</f>
        <v>0</v>
      </c>
      <c r="H17" s="20" t="b">
        <f>H2</f>
        <v>0</v>
      </c>
      <c r="I17" s="20" t="b">
        <f>I2</f>
        <v>0</v>
      </c>
      <c r="J17" t="b">
        <f>AND(Table1524[[#This Row],[Salicylic Acid]:[Liquid/Gel]],OR(Table1524[[#This Row],[Common Warts]:[Plantar]]))</f>
        <v>0</v>
      </c>
      <c r="K17" s="29" t="s">
        <v>958</v>
      </c>
    </row>
    <row r="18" spans="1:11">
      <c r="A18" s="16" t="e">
        <f>IF(Table1524[[#This Row],[Column11]],Table1524[[#This Row],[Column12]])</f>
        <v>#VALUE!</v>
      </c>
      <c r="B18" s="16"/>
      <c r="C18" s="16"/>
      <c r="D18" s="16"/>
      <c r="E18" s="16"/>
      <c r="F18" s="16"/>
      <c r="G18" s="16"/>
      <c r="H18" s="16"/>
      <c r="I18" s="16"/>
      <c r="J18" s="16" t="e">
        <f>AND(Table1524[[#This Row],[Salicylic Acid]:[Liquid/Gel]],OR(Table1524[[#This Row],[Common Warts]:[Plantar]]))</f>
        <v>#VALUE!</v>
      </c>
      <c r="K18" s="16"/>
    </row>
    <row r="19" spans="1:11">
      <c r="A19" t="e">
        <f>IF(Table1524[[#This Row],[Column11]],Table1524[[#This Row],[Column12]])</f>
        <v>#VALUE!</v>
      </c>
      <c r="J19" t="e">
        <f>AND(Table1524[[#This Row],[Salicylic Acid]:[Liquid/Gel]],OR(Table1524[[#This Row],[Common Warts]:[Plantar]]))</f>
        <v>#VALUE!</v>
      </c>
    </row>
    <row r="20" spans="1:11">
      <c r="A20" t="e">
        <f>IF(Table1524[[#This Row],[Column11]],Table1524[[#This Row],[Column12]])</f>
        <v>#VALUE!</v>
      </c>
      <c r="J20" t="e">
        <f>AND(Table1524[[#This Row],[Salicylic Acid]:[Liquid/Gel]],OR(Table1524[[#This Row],[Common Warts]:[Plantar]]))</f>
        <v>#VALUE!</v>
      </c>
    </row>
  </sheetData>
  <hyperlinks>
    <hyperlink ref="K2" r:id="rId1" display="https://www.compoundw.com/wart-removal-products/nitrous-oxide-wart-removal/compound-w-nitrofreeze" xr:uid="{00000000-0004-0000-1A00-000000000000}"/>
    <hyperlink ref="K3" r:id="rId2" display="https://www.compoundw.com/wart-removal-products/cryogenic-wart-removal/compound-w-freeze-off-wart-removal" xr:uid="{00000000-0004-0000-1A00-000001000000}"/>
    <hyperlink ref="K4" r:id="rId3" display="https://www.compoundw.com/wart-removal-products/cryogenic-wart-removal/compound-w-complete-wart-kit" xr:uid="{00000000-0004-0000-1A00-000002000000}"/>
    <hyperlink ref="K5" r:id="rId4" display="https://www.compoundw.com/wart-removal-products/cryogenic-wart-removal/compound-w-2-in-1-treatment-kit" xr:uid="{00000000-0004-0000-1A00-000003000000}"/>
    <hyperlink ref="K6" r:id="rId5" display="https://www.compoundw.com/wart-removal-products/cryogenic-wart-removal/compound-w-freeze-off-plantar-wart-removal-kit" xr:uid="{00000000-0004-0000-1A00-000004000000}"/>
    <hyperlink ref="K7" r:id="rId6" display="https://www.compoundw.com/wart-removal-products/cryogenic-wart-removal/compound-w-freeze-off-advanced-wart-remover" xr:uid="{00000000-0004-0000-1A00-000005000000}"/>
    <hyperlink ref="K8" r:id="rId7" display="https://www.compoundw.com/wart-removal-products/salicylic-acid-wart-removal/compound-w-one-step-strip-kids" xr:uid="{00000000-0004-0000-1A00-000006000000}"/>
    <hyperlink ref="K9" r:id="rId8" display="https://www.compoundw.com/wart-removal-products/salicylic-acid-wart-removal/compound-w-one-step-invisible-strips" xr:uid="{00000000-0004-0000-1A00-000007000000}"/>
    <hyperlink ref="K10" r:id="rId9" display="https://www.compoundw.com/wart-removal-products/salicylic-acid-wart-removal/compound-w-one-step-pads-plantar-warts" xr:uid="{00000000-0004-0000-1A00-000008000000}"/>
    <hyperlink ref="K11" r:id="rId10" display="https://www.compoundw.com/wart-removal-products/salicylic-acid-wart-removal/compound-w-one-step-pads" xr:uid="{00000000-0004-0000-1A00-000009000000}"/>
    <hyperlink ref="K12" r:id="rId11" display="https://www.compoundw.com/wart-removal-products/salicylic-acid-wart-removal/compound-w-fast-acting-wart-removal-gel" xr:uid="{00000000-0004-0000-1A00-00000A000000}"/>
    <hyperlink ref="K13" r:id="rId12" display="https://www.compoundw.com/wart-removal-products/salicylic-acid-wart-removal/compound-w-fast-acting-wart-removal-liquid" xr:uid="{00000000-0004-0000-1A00-00000B000000}"/>
    <hyperlink ref="K15" r:id="rId13" xr:uid="{00000000-0004-0000-1A00-00000C000000}"/>
    <hyperlink ref="K16" r:id="rId14" xr:uid="{00000000-0004-0000-1A00-00000D000000}"/>
    <hyperlink ref="K17" r:id="rId15" xr:uid="{00000000-0004-0000-1A00-00000E000000}"/>
  </hyperlinks>
  <pageMargins left="0.7" right="0.7" top="0.75" bottom="0.75" header="0.3" footer="0.3"/>
  <pageSetup orientation="portrait" r:id="rId16"/>
  <tableParts count="1">
    <tablePart r:id="rId17"/>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12"/>
  <sheetViews>
    <sheetView workbookViewId="0">
      <selection activeCell="A28" sqref="A28"/>
    </sheetView>
  </sheetViews>
  <sheetFormatPr defaultRowHeight="15"/>
  <cols>
    <col min="1" max="1" width="54.140625" customWidth="1"/>
  </cols>
  <sheetData>
    <row r="1" spans="1:3" ht="15.75" thickTop="1">
      <c r="A1" s="3" t="s">
        <v>15</v>
      </c>
      <c r="B1" s="7" t="s">
        <v>18</v>
      </c>
      <c r="C1" s="98"/>
    </row>
    <row r="2" spans="1:3" ht="15.75" thickBot="1">
      <c r="B2" s="4"/>
      <c r="C2" s="98"/>
    </row>
    <row r="3" spans="1:3" ht="15.75" thickBot="1">
      <c r="A3" s="1" t="s">
        <v>1010</v>
      </c>
      <c r="B3" s="33" t="b">
        <v>0</v>
      </c>
      <c r="C3" s="208" t="b">
        <f>NOT(B3)</f>
        <v>1</v>
      </c>
    </row>
    <row r="4" spans="1:3" ht="15.75" thickBot="1">
      <c r="A4" s="1" t="s">
        <v>1008</v>
      </c>
      <c r="B4" s="33" t="b">
        <v>0</v>
      </c>
      <c r="C4" s="208"/>
    </row>
    <row r="5" spans="1:3" ht="15.75" thickBot="1">
      <c r="A5" s="174" t="s">
        <v>1013</v>
      </c>
      <c r="B5" s="33" t="b">
        <v>0</v>
      </c>
      <c r="C5" s="208" t="b">
        <f t="shared" ref="C5:C10" si="0">NOT(B5)</f>
        <v>1</v>
      </c>
    </row>
    <row r="6" spans="1:3" ht="15.75" thickBot="1">
      <c r="A6" s="1" t="s">
        <v>996</v>
      </c>
      <c r="B6" s="33" t="b">
        <v>0</v>
      </c>
      <c r="C6" s="208" t="b">
        <f t="shared" si="0"/>
        <v>1</v>
      </c>
    </row>
    <row r="7" spans="1:3" ht="15.75" thickBot="1">
      <c r="A7" s="1" t="s">
        <v>997</v>
      </c>
      <c r="B7" s="33" t="b">
        <v>0</v>
      </c>
      <c r="C7" s="208" t="b">
        <f t="shared" si="0"/>
        <v>1</v>
      </c>
    </row>
    <row r="8" spans="1:3" ht="15.75" thickBot="1">
      <c r="A8" s="174" t="s">
        <v>998</v>
      </c>
      <c r="B8" s="33" t="b">
        <v>0</v>
      </c>
      <c r="C8" s="208" t="b">
        <f t="shared" si="0"/>
        <v>1</v>
      </c>
    </row>
    <row r="9" spans="1:3" ht="15.75" thickBot="1">
      <c r="A9" s="165" t="s">
        <v>1011</v>
      </c>
      <c r="B9" s="33" t="b">
        <v>0</v>
      </c>
      <c r="C9" s="208" t="b">
        <f t="shared" si="0"/>
        <v>1</v>
      </c>
    </row>
    <row r="10" spans="1:3" ht="15.75" thickBot="1">
      <c r="A10" s="165" t="s">
        <v>1003</v>
      </c>
      <c r="B10" s="33" t="b">
        <v>0</v>
      </c>
      <c r="C10" s="208" t="b">
        <f t="shared" si="0"/>
        <v>1</v>
      </c>
    </row>
    <row r="11" spans="1:3" ht="15.75" thickBot="1">
      <c r="A11" s="161" t="s">
        <v>1004</v>
      </c>
      <c r="B11" s="33" t="b">
        <v>0</v>
      </c>
      <c r="C11" s="208" t="b">
        <f t="shared" ref="C11:C12" si="1">NOT(B11)</f>
        <v>1</v>
      </c>
    </row>
    <row r="12" spans="1:3" ht="15.75" thickBot="1">
      <c r="A12" s="161" t="s">
        <v>1012</v>
      </c>
      <c r="B12" s="33" t="b">
        <v>0</v>
      </c>
      <c r="C12" s="208" t="b">
        <f t="shared" si="1"/>
        <v>1</v>
      </c>
    </row>
  </sheetData>
  <dataValidations xWindow="438" yWindow="449" count="2">
    <dataValidation allowBlank="1" showInputMessage="1" showErrorMessage="1" prompt="Consult your physician if unsure" sqref="A3:A8" xr:uid="{00000000-0002-0000-1B00-000000000000}"/>
    <dataValidation allowBlank="1" showInputMessage="1" showErrorMessage="1" prompt="Consult your pharmacist if unsure" sqref="A9:A12" xr:uid="{00000000-0002-0000-1B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438" yWindow="449" count="10">
        <x14:dataValidation type="list" showInputMessage="1" showErrorMessage="1" error="Please answer as Yes or No" prompt="Generally considered more effective than sprays and powders since can be rubbed into skin. Creams and ointments may be more occulusive than lotions or powders and possibly lead to maceration. Lotions and powders prefered for intertriginous areas. " xr:uid="{00000000-0002-0000-1B00-000002000000}">
          <x14:formula1>
            <xm:f>random!$A$2:$A$3</xm:f>
          </x14:formula1>
          <xm:sqref>B9</xm:sqref>
        </x14:dataValidation>
        <x14:dataValidation type="list" showInputMessage="1" showErrorMessage="1" error="Please answer as Yes or No" prompt="Powders/sprays often used as adjunctive therapy as considered less effective. Powders may worsen skin maceration. Powders prefered for intertriginous areas as may help absorb skin perspiration and prevent rubbing. Flammable if exposed to heat or flame." xr:uid="{00000000-0002-0000-1B00-000003000000}">
          <x14:formula1>
            <xm:f>random!$A$2:$A$3</xm:f>
          </x14:formula1>
          <xm:sqref>B10</xm:sqref>
        </x14:dataValidation>
        <x14:dataValidation type="list" showInputMessage="1" showErrorMessage="1" error="Please answer as Yes or No" prompt="Such conditions place individuals at an increased risk of severe bacterial or fungal infection and should be treated with physician involvement." xr:uid="{00000000-0002-0000-1B00-000004000000}">
          <x14:formula1>
            <xm:f>random!$A$2:$A$3</xm:f>
          </x14:formula1>
          <xm:sqref>B8</xm:sqref>
        </x14:dataValidation>
        <x14:dataValidation type="list" showInputMessage="1" showErrorMessage="1" error="Please answer as Yes or No" prompt="Azoles (clotrimazole, ketoconazole, miconazole) generally more effective than tolnaftate." xr:uid="{00000000-0002-0000-1B00-000005000000}">
          <x14:formula1>
            <xm:f>random!$A$2:$A$3</xm:f>
          </x14:formula1>
          <xm:sqref>B11</xm:sqref>
        </x14:dataValidation>
        <x14:dataValidation type="list" showInputMessage="1" showErrorMessage="1" error="Please answer as Yes or No" prompt="Tolnaftate often used in adjunctive therapy and available as powder or spray products." xr:uid="{00000000-0002-0000-1B00-000006000000}">
          <x14:formula1>
            <xm:f>random!$A$2:$A$3</xm:f>
          </x14:formula1>
          <xm:sqref>B12</xm:sqref>
        </x14:dataValidation>
        <x14:dataValidation type="list" showInputMessage="1" showErrorMessage="1" error="Please answer as Yes or No" prompt="Non-prescription therapy with polymyxin B and bacitracin/gramicidin should be limited to small recent lesions in healthy individuals to prevent bacterial infection." xr:uid="{00000000-0002-0000-1B00-000007000000}">
          <x14:formula1>
            <xm:f>random!$A$2:$A$3</xm:f>
          </x14:formula1>
          <xm:sqref>B3</xm:sqref>
        </x14:dataValidation>
        <x14:dataValidation type="list" showInputMessage="1" showErrorMessage="1" error="Please answer as Yes or No" prompt="Some topical antiseptic products are formulated in combination with anesthetics. " xr:uid="{00000000-0002-0000-1B00-000008000000}">
          <x14:formula1>
            <xm:f>random!$A$2:$A$3</xm:f>
          </x14:formula1>
          <xm:sqref>B4</xm:sqref>
        </x14:dataValidation>
        <x14:dataValidation type="list" showInputMessage="1" showErrorMessage="1" error="Please answer as Yes or No" prompt="Non-prescription topical products are available to treat jock itch, athelete&quot;s foot, ringworm and oher fungal skin infections." xr:uid="{00000000-0002-0000-1B00-000009000000}">
          <x14:formula1>
            <xm:f>random!$A$2:$A$3</xm:f>
          </x14:formula1>
          <xm:sqref>B6</xm:sqref>
        </x14:dataValidation>
        <x14:dataValidation type="list" showInputMessage="1" showErrorMessage="1" error="Please answer as Yes or No" prompt="Non-prescription antifungal lacquer, liquid or ointment are available for minor fungal nail infection treatment. Fungal nail infections often require prescription and/or systemic therapy." xr:uid="{00000000-0002-0000-1B00-00000A000000}">
          <x14:formula1>
            <xm:f>random!$A$2:$A$3</xm:f>
          </x14:formula1>
          <xm:sqref>B7</xm:sqref>
        </x14:dataValidation>
        <x14:dataValidation type="list" showInputMessage="1" showErrorMessage="1" error="Please answer as Yes or No" prompt="Anesthetics like benzocaine or lidocaine may be present in some topical products to provide pain relief. Avoid if you are allergic or sensitive to such products." xr:uid="{00000000-0002-0000-1B00-00000B000000}">
          <x14:formula1>
            <xm:f>random!$A$2:$A$3</xm:f>
          </x14:formula1>
          <xm:sqref>B5</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O32"/>
  <sheetViews>
    <sheetView workbookViewId="0">
      <selection activeCell="B10" sqref="B10"/>
    </sheetView>
  </sheetViews>
  <sheetFormatPr defaultRowHeight="15"/>
  <cols>
    <col min="1" max="1" width="46.42578125" customWidth="1"/>
    <col min="2" max="11" width="11" customWidth="1"/>
    <col min="12" max="12" width="12" customWidth="1"/>
    <col min="13" max="13" width="80.7109375" customWidth="1"/>
  </cols>
  <sheetData>
    <row r="1" spans="1:15">
      <c r="A1" s="70" t="s">
        <v>1248</v>
      </c>
      <c r="B1" t="s">
        <v>1007</v>
      </c>
      <c r="C1" t="s">
        <v>1950</v>
      </c>
      <c r="D1" t="s">
        <v>1951</v>
      </c>
      <c r="E1" t="s">
        <v>1009</v>
      </c>
      <c r="F1" t="s">
        <v>680</v>
      </c>
      <c r="G1" t="s">
        <v>362</v>
      </c>
      <c r="H1" s="204" t="s">
        <v>359</v>
      </c>
      <c r="I1" t="s">
        <v>929</v>
      </c>
      <c r="J1" t="s">
        <v>1005</v>
      </c>
      <c r="K1" t="s">
        <v>1006</v>
      </c>
      <c r="L1" t="s">
        <v>688</v>
      </c>
      <c r="M1" t="s">
        <v>381</v>
      </c>
    </row>
    <row r="2" spans="1:15">
      <c r="A2" t="b">
        <f>IF(Table1523[[#This Row],[Column11]],Table1523[[#This Row],[Column12]])</f>
        <v>0</v>
      </c>
      <c r="B2" s="17"/>
      <c r="C2" s="20" t="b">
        <f>AND('Anti-Infection Skin Criteria'!B6,'Anti-Infection Skin Criteria'!C8,'Anti-Infection Skin Criteria'!B12,'Anti-Infection Skin Criteria'!C11,'Anti-Infection Skin Criteria'!C7,'Anti-Infection Skin Criteria'!C3)</f>
        <v>0</v>
      </c>
      <c r="D2" s="17"/>
      <c r="E2" s="17"/>
      <c r="F2" s="17"/>
      <c r="G2" s="17"/>
      <c r="H2" s="17"/>
      <c r="I2" s="17"/>
      <c r="J2" s="20" t="b">
        <f>AND('Anti-Infection Skin Criteria'!B9,'Anti-Infection Skin Criteria'!C10)</f>
        <v>0</v>
      </c>
      <c r="K2" s="17"/>
      <c r="L2" t="b">
        <f>AND(Table1523[[#This Row],[Azole]:[Spray/Powder]])</f>
        <v>0</v>
      </c>
      <c r="M2" s="29" t="s">
        <v>703</v>
      </c>
      <c r="O2" t="s">
        <v>713</v>
      </c>
    </row>
    <row r="3" spans="1:15">
      <c r="A3" t="b">
        <f>IF(Table1523[[#This Row],[Column11]],Table1523[[#This Row],[Column12]])</f>
        <v>0</v>
      </c>
      <c r="B3" s="17"/>
      <c r="C3" s="20" t="b">
        <f>C2</f>
        <v>0</v>
      </c>
      <c r="D3" s="17"/>
      <c r="E3" s="17"/>
      <c r="F3" s="17"/>
      <c r="G3" s="17"/>
      <c r="H3" s="17"/>
      <c r="I3" s="17"/>
      <c r="J3" s="17"/>
      <c r="K3" s="20" t="b">
        <f>AND('Anti-Infection Skin Criteria'!B10,'Anti-Infection Skin Criteria'!C9)</f>
        <v>0</v>
      </c>
      <c r="L3" t="b">
        <f>AND(Table1523[[#This Row],[Azole]:[Spray/Powder]])</f>
        <v>0</v>
      </c>
      <c r="M3" s="29" t="s">
        <v>704</v>
      </c>
      <c r="O3" t="s">
        <v>713</v>
      </c>
    </row>
    <row r="4" spans="1:15">
      <c r="A4" t="b">
        <f>IF(Table1523[[#This Row],[Column11]],Table1523[[#This Row],[Column12]])</f>
        <v>0</v>
      </c>
      <c r="B4" s="17"/>
      <c r="C4" s="20" t="b">
        <f>C2</f>
        <v>0</v>
      </c>
      <c r="D4" s="17"/>
      <c r="E4" s="17"/>
      <c r="F4" s="17"/>
      <c r="G4" s="17"/>
      <c r="H4" s="17"/>
      <c r="I4" s="17"/>
      <c r="J4" s="17"/>
      <c r="K4" s="20" t="b">
        <f>K3</f>
        <v>0</v>
      </c>
      <c r="L4" t="b">
        <f>AND(Table1523[[#This Row],[Azole]:[Spray/Powder]])</f>
        <v>0</v>
      </c>
      <c r="M4" s="29" t="s">
        <v>705</v>
      </c>
      <c r="O4" t="s">
        <v>713</v>
      </c>
    </row>
    <row r="5" spans="1:15">
      <c r="A5" t="b">
        <f>IF(Table1523[[#This Row],[Column11]],Table1523[[#This Row],[Column12]])</f>
        <v>0</v>
      </c>
      <c r="B5" s="17"/>
      <c r="C5" s="20" t="b">
        <f>C2</f>
        <v>0</v>
      </c>
      <c r="D5" s="17"/>
      <c r="E5" s="17"/>
      <c r="F5" s="17"/>
      <c r="G5" s="17"/>
      <c r="H5" s="17"/>
      <c r="I5" s="17"/>
      <c r="J5" s="17"/>
      <c r="K5" s="20" t="b">
        <f>K3</f>
        <v>0</v>
      </c>
      <c r="L5" t="b">
        <f>AND(Table1523[[#This Row],[Azole]:[Spray/Powder]])</f>
        <v>0</v>
      </c>
      <c r="M5" s="29" t="s">
        <v>706</v>
      </c>
      <c r="O5" t="s">
        <v>713</v>
      </c>
    </row>
    <row r="6" spans="1:15">
      <c r="A6" t="b">
        <f>IF(Table1523[[#This Row],[Column11]],Table1523[[#This Row],[Column12]])</f>
        <v>0</v>
      </c>
      <c r="B6" s="17"/>
      <c r="C6" s="20" t="b">
        <f>C2</f>
        <v>0</v>
      </c>
      <c r="D6" s="17"/>
      <c r="E6" s="17"/>
      <c r="F6" s="17"/>
      <c r="G6" s="17"/>
      <c r="H6" s="17"/>
      <c r="I6" s="17"/>
      <c r="J6" s="17"/>
      <c r="K6" s="20" t="b">
        <f>K3</f>
        <v>0</v>
      </c>
      <c r="L6" t="b">
        <f>AND(Table1523[[#This Row],[Azole]:[Spray/Powder]])</f>
        <v>0</v>
      </c>
      <c r="M6" s="29" t="s">
        <v>707</v>
      </c>
      <c r="O6" t="s">
        <v>713</v>
      </c>
    </row>
    <row r="7" spans="1:15">
      <c r="A7" t="b">
        <f>IF(Table1523[[#This Row],[Column11]],Table1523[[#This Row],[Column12]])</f>
        <v>0</v>
      </c>
      <c r="B7" s="17"/>
      <c r="C7" s="20" t="b">
        <f>C2</f>
        <v>0</v>
      </c>
      <c r="D7" s="17"/>
      <c r="E7" s="17"/>
      <c r="F7" s="17"/>
      <c r="G7" s="17"/>
      <c r="H7" s="17"/>
      <c r="I7" s="17"/>
      <c r="J7" s="20" t="b">
        <f>J2</f>
        <v>0</v>
      </c>
      <c r="K7" s="17"/>
      <c r="L7" t="b">
        <f>AND(Table1523[[#This Row],[Azole]:[Spray/Powder]])</f>
        <v>0</v>
      </c>
      <c r="M7" s="29" t="s">
        <v>708</v>
      </c>
      <c r="O7" t="s">
        <v>713</v>
      </c>
    </row>
    <row r="8" spans="1:15">
      <c r="A8" t="b">
        <f>IF(Table1523[[#This Row],[Column11]],Table1523[[#This Row],[Column12]])</f>
        <v>0</v>
      </c>
      <c r="B8" s="17"/>
      <c r="C8" s="20" t="b">
        <f>C2</f>
        <v>0</v>
      </c>
      <c r="D8" s="17"/>
      <c r="E8" s="17"/>
      <c r="F8" s="17"/>
      <c r="G8" s="17"/>
      <c r="H8" s="17"/>
      <c r="I8" s="17"/>
      <c r="J8" s="17"/>
      <c r="K8" s="20" t="b">
        <f>K3</f>
        <v>0</v>
      </c>
      <c r="L8" t="b">
        <f>AND(Table1523[[#This Row],[Azole]:[Spray/Powder]])</f>
        <v>0</v>
      </c>
      <c r="M8" s="29" t="s">
        <v>709</v>
      </c>
      <c r="O8" t="s">
        <v>713</v>
      </c>
    </row>
    <row r="9" spans="1:15">
      <c r="A9" s="16" t="e">
        <f>IF(Table1523[[#This Row],[Column11]],Table1523[[#This Row],[Column12]])</f>
        <v>#VALUE!</v>
      </c>
      <c r="B9" s="16"/>
      <c r="C9" s="16"/>
      <c r="D9" s="16"/>
      <c r="E9" s="16"/>
      <c r="F9" s="16"/>
      <c r="G9" s="16"/>
      <c r="H9" s="16"/>
      <c r="I9" s="16"/>
      <c r="J9" s="16"/>
      <c r="K9" s="16"/>
      <c r="L9" s="16" t="e">
        <f>AND(Table1523[[#This Row],[Azole]:[Spray/Powder]])</f>
        <v>#VALUE!</v>
      </c>
      <c r="M9" s="16"/>
    </row>
    <row r="10" spans="1:15">
      <c r="A10" t="b">
        <f>IF(Table1523[[#This Row],[Column11]],Table1523[[#This Row],[Column12]])</f>
        <v>0</v>
      </c>
      <c r="B10" s="20" t="b">
        <f>AND('Anti-Infection Skin Criteria'!B11,'Anti-Infection Skin Criteria'!C8,'Anti-Infection Skin Criteria'!B6,'Anti-Infection Skin Criteria'!C7,'Anti-Infection Skin Criteria'!C3,'Anti-Infection Skin Criteria'!C12)</f>
        <v>0</v>
      </c>
      <c r="C10" s="17"/>
      <c r="D10" s="17"/>
      <c r="E10" s="17"/>
      <c r="F10" s="17"/>
      <c r="G10" s="17"/>
      <c r="H10" s="17"/>
      <c r="I10" s="17"/>
      <c r="J10" s="20" t="b">
        <f>J2</f>
        <v>0</v>
      </c>
      <c r="K10" s="17"/>
      <c r="L10" t="b">
        <f>AND(Table1523[[#This Row],[Azole]:[Spray/Powder]])</f>
        <v>0</v>
      </c>
      <c r="M10" s="29" t="s">
        <v>724</v>
      </c>
    </row>
    <row r="11" spans="1:15">
      <c r="A11" t="b">
        <f>IF(Table1523[[#This Row],[Column11]],Table1523[[#This Row],[Column12]])</f>
        <v>0</v>
      </c>
      <c r="B11" s="20" t="b">
        <f>B10</f>
        <v>0</v>
      </c>
      <c r="C11" s="17"/>
      <c r="D11" s="17"/>
      <c r="E11" s="17"/>
      <c r="F11" s="17"/>
      <c r="G11" s="17"/>
      <c r="H11" s="17"/>
      <c r="I11" s="17"/>
      <c r="J11" s="17"/>
      <c r="K11" s="20" t="b">
        <f>K3</f>
        <v>0</v>
      </c>
      <c r="L11" t="b">
        <f>AND(Table1523[[#This Row],[Azole]:[Spray/Powder]])</f>
        <v>0</v>
      </c>
      <c r="M11" s="29" t="s">
        <v>725</v>
      </c>
    </row>
    <row r="12" spans="1:15">
      <c r="A12" s="16" t="e">
        <f>IF(Table1523[[#This Row],[Column11]],Table1523[[#This Row],[Column12]])</f>
        <v>#VALUE!</v>
      </c>
      <c r="B12" s="16"/>
      <c r="C12" s="16"/>
      <c r="D12" s="16"/>
      <c r="E12" s="16"/>
      <c r="F12" s="16"/>
      <c r="G12" s="16"/>
      <c r="H12" s="16"/>
      <c r="I12" s="16"/>
      <c r="J12" s="16"/>
      <c r="K12" s="16"/>
      <c r="L12" s="16" t="e">
        <f>AND(Table1523[[#This Row],[Azole]:[Spray/Powder]])</f>
        <v>#VALUE!</v>
      </c>
      <c r="M12" s="16"/>
    </row>
    <row r="13" spans="1:15">
      <c r="A13" t="b">
        <f>IF(Table1523[[#This Row],[Column11]],Table1523[[#This Row],[Column12]])</f>
        <v>0</v>
      </c>
      <c r="B13" s="17"/>
      <c r="C13" s="17"/>
      <c r="D13" s="17"/>
      <c r="E13" s="17"/>
      <c r="F13" s="20" t="b">
        <f>AND('Anti-Infection Skin Criteria'!B3,'Anti-Infection Skin Criteria'!C8,'Anti-Infection Skin Criteria'!C6:C7)</f>
        <v>0</v>
      </c>
      <c r="G13" s="20" t="b">
        <f>AND('Anti-Infection Skin Criteria'!B4,'Anti-Infection Skin Criteria'!C5)</f>
        <v>0</v>
      </c>
      <c r="H13" s="17"/>
      <c r="I13" s="17"/>
      <c r="J13" s="20" t="b">
        <f>J2</f>
        <v>0</v>
      </c>
      <c r="K13" s="17"/>
      <c r="L13" t="b">
        <f>AND(Table1523[[#This Row],[Azole]:[Spray/Powder]])</f>
        <v>0</v>
      </c>
      <c r="M13" s="28" t="s">
        <v>689</v>
      </c>
      <c r="O13" t="s">
        <v>714</v>
      </c>
    </row>
    <row r="14" spans="1:15">
      <c r="A14" t="b">
        <f>IF(Table1523[[#This Row],[Column11]],Table1523[[#This Row],[Column12]])</f>
        <v>0</v>
      </c>
      <c r="B14" s="17"/>
      <c r="C14" s="17"/>
      <c r="D14" s="17"/>
      <c r="E14" s="17"/>
      <c r="F14" s="20" t="b">
        <f>F13</f>
        <v>0</v>
      </c>
      <c r="G14" s="17"/>
      <c r="H14" s="17"/>
      <c r="I14" s="17"/>
      <c r="J14" s="20" t="b">
        <f>J2</f>
        <v>0</v>
      </c>
      <c r="K14" s="17"/>
      <c r="L14" t="b">
        <f>AND(Table1523[[#This Row],[Azole]:[Spray/Powder]])</f>
        <v>0</v>
      </c>
      <c r="M14" s="28" t="s">
        <v>690</v>
      </c>
      <c r="O14" t="s">
        <v>714</v>
      </c>
    </row>
    <row r="15" spans="1:15">
      <c r="A15" t="b">
        <f>IF(Table1523[[#This Row],[Column11]],Table1523[[#This Row],[Column12]])</f>
        <v>0</v>
      </c>
      <c r="B15" s="17"/>
      <c r="C15" s="17"/>
      <c r="D15" s="17"/>
      <c r="E15" s="17"/>
      <c r="F15" s="20" t="b">
        <f>F13</f>
        <v>0</v>
      </c>
      <c r="G15" s="20" t="b">
        <f>G13</f>
        <v>0</v>
      </c>
      <c r="H15" s="17"/>
      <c r="I15" s="17"/>
      <c r="J15" s="20" t="b">
        <f>J2</f>
        <v>0</v>
      </c>
      <c r="K15" s="17"/>
      <c r="L15" t="b">
        <f>AND(Table1523[[#This Row],[Azole]:[Spray/Powder]])</f>
        <v>0</v>
      </c>
      <c r="M15" s="28" t="s">
        <v>691</v>
      </c>
      <c r="O15" t="s">
        <v>714</v>
      </c>
    </row>
    <row r="16" spans="1:15">
      <c r="A16" t="b">
        <f>IF(Table1523[[#This Row],[Column11]],Table1523[[#This Row],[Column12]])</f>
        <v>0</v>
      </c>
      <c r="B16" s="17"/>
      <c r="C16" s="17"/>
      <c r="D16" s="17"/>
      <c r="E16" s="17"/>
      <c r="F16" s="20" t="b">
        <f>F13</f>
        <v>0</v>
      </c>
      <c r="G16" s="20" t="b">
        <f>G13</f>
        <v>0</v>
      </c>
      <c r="H16" s="17"/>
      <c r="I16" s="17"/>
      <c r="J16" s="20" t="b">
        <f>J2</f>
        <v>0</v>
      </c>
      <c r="K16" s="17"/>
      <c r="L16" t="b">
        <f>AND(Table1523[[#This Row],[Azole]:[Spray/Powder]])</f>
        <v>0</v>
      </c>
      <c r="M16" s="28" t="s">
        <v>692</v>
      </c>
      <c r="O16" t="s">
        <v>714</v>
      </c>
    </row>
    <row r="17" spans="1:15">
      <c r="A17" t="b">
        <f>IF(Table1523[[#This Row],[Column11]],Table1523[[#This Row],[Column12]])</f>
        <v>0</v>
      </c>
      <c r="B17" s="17"/>
      <c r="C17" s="17"/>
      <c r="D17" s="17"/>
      <c r="E17" s="17"/>
      <c r="F17" s="20" t="b">
        <f>F13</f>
        <v>0</v>
      </c>
      <c r="G17" s="17"/>
      <c r="H17" s="17"/>
      <c r="I17" s="17"/>
      <c r="J17" s="20" t="b">
        <f>J2</f>
        <v>0</v>
      </c>
      <c r="K17" s="17"/>
      <c r="L17" t="b">
        <f>AND(Table1523[[#This Row],[Azole]:[Spray/Powder]])</f>
        <v>0</v>
      </c>
      <c r="M17" s="28" t="s">
        <v>693</v>
      </c>
      <c r="O17" t="s">
        <v>714</v>
      </c>
    </row>
    <row r="18" spans="1:15">
      <c r="A18" t="b">
        <f>IF(Table1523[[#This Row],[Column11]],Table1523[[#This Row],[Column12]])</f>
        <v>0</v>
      </c>
      <c r="B18" s="17"/>
      <c r="C18" s="17"/>
      <c r="D18" s="17"/>
      <c r="E18" s="17"/>
      <c r="F18" s="20" t="b">
        <f>F13</f>
        <v>0</v>
      </c>
      <c r="G18" s="17"/>
      <c r="H18" s="17"/>
      <c r="I18" s="17"/>
      <c r="J18" s="20" t="b">
        <f>J2</f>
        <v>0</v>
      </c>
      <c r="K18" s="17"/>
      <c r="L18" t="b">
        <f>AND(Table1523[[#This Row],[Azole]:[Spray/Powder]])</f>
        <v>0</v>
      </c>
      <c r="M18" s="28" t="s">
        <v>694</v>
      </c>
      <c r="O18" t="s">
        <v>714</v>
      </c>
    </row>
    <row r="19" spans="1:15">
      <c r="A19" t="b">
        <f>IF(Table1523[[#This Row],[Column11]],Table1523[[#This Row],[Column12]])</f>
        <v>0</v>
      </c>
      <c r="B19" s="17"/>
      <c r="C19" s="17"/>
      <c r="D19" s="17"/>
      <c r="E19" s="17"/>
      <c r="F19" s="17"/>
      <c r="G19" s="17"/>
      <c r="H19" s="20" t="b">
        <f>AND('Anti-Infection Skin Criteria'!B3,'Anti-Infection Skin Criteria'!C8,'Anti-Infection Skin Criteria'!C6:C7)</f>
        <v>0</v>
      </c>
      <c r="I19" s="20" t="b">
        <f>AND('Anti-Infection Skin Criteria'!B4,OR('Anti-Infection Skin Criteria'!B5:C5))</f>
        <v>0</v>
      </c>
      <c r="J19" s="17"/>
      <c r="K19" s="20" t="b">
        <f>K3</f>
        <v>0</v>
      </c>
      <c r="L19" t="b">
        <f>AND(Table1523[[#This Row],[Azole]:[Spray/Powder]])</f>
        <v>0</v>
      </c>
      <c r="M19" s="28" t="s">
        <v>695</v>
      </c>
      <c r="O19" t="s">
        <v>713</v>
      </c>
    </row>
    <row r="20" spans="1:15">
      <c r="A20" s="16" t="e">
        <f>IF(Table1523[[#This Row],[Column11]],Table1523[[#This Row],[Column12]])</f>
        <v>#VALUE!</v>
      </c>
      <c r="B20" s="16"/>
      <c r="C20" s="16"/>
      <c r="D20" s="16"/>
      <c r="E20" s="16"/>
      <c r="F20" s="16"/>
      <c r="G20" s="16"/>
      <c r="H20" s="16"/>
      <c r="I20" s="16"/>
      <c r="J20" s="16"/>
      <c r="K20" s="16"/>
      <c r="L20" s="16" t="e">
        <f>AND(Table1523[[#This Row],[Azole]:[Spray/Powder]])</f>
        <v>#VALUE!</v>
      </c>
      <c r="M20" s="16"/>
    </row>
    <row r="21" spans="1:15">
      <c r="A21" t="b">
        <f>IF(Table1523[[#This Row],[Column11]],Table1523[[#This Row],[Column12]])</f>
        <v>0</v>
      </c>
      <c r="B21" s="17"/>
      <c r="C21" s="17"/>
      <c r="D21" s="17"/>
      <c r="E21" s="20" t="b">
        <f>AND('Anti-Infection Skin Criteria'!B7,'Anti-Infection Skin Criteria'!C8,'Anti-Infection Skin Criteria'!C6,'Anti-Infection Skin Criteria'!C3)</f>
        <v>0</v>
      </c>
      <c r="F21" s="17"/>
      <c r="G21" s="17"/>
      <c r="H21" s="17"/>
      <c r="I21" s="17"/>
      <c r="J21" s="17"/>
      <c r="K21" s="17"/>
      <c r="L21" t="b">
        <f>AND(Table1523[[#This Row],[Azole]:[Spray/Powder]])</f>
        <v>0</v>
      </c>
      <c r="M21" s="11" t="s">
        <v>970</v>
      </c>
    </row>
    <row r="22" spans="1:15">
      <c r="A22" s="16" t="e">
        <f>IF(Table1523[[#This Row],[Column11]],Table1523[[#This Row],[Column12]])</f>
        <v>#VALUE!</v>
      </c>
      <c r="B22" s="16"/>
      <c r="C22" s="16"/>
      <c r="D22" s="16"/>
      <c r="E22" s="16"/>
      <c r="F22" s="16"/>
      <c r="G22" s="16"/>
      <c r="H22" s="16"/>
      <c r="I22" s="16"/>
      <c r="J22" s="16"/>
      <c r="K22" s="16"/>
      <c r="L22" s="16" t="e">
        <f>AND(Table1523[[#This Row],[Azole]:[Spray/Powder]])</f>
        <v>#VALUE!</v>
      </c>
      <c r="M22" s="16"/>
    </row>
    <row r="23" spans="1:15">
      <c r="A23" t="b">
        <f>IF(Table1523[[#This Row],[Column11]],Table1523[[#This Row],[Column12]])</f>
        <v>0</v>
      </c>
      <c r="B23" s="97"/>
      <c r="C23" s="97"/>
      <c r="D23" s="97"/>
      <c r="E23" s="67" t="b">
        <f>E21</f>
        <v>0</v>
      </c>
      <c r="F23" s="17"/>
      <c r="G23" s="17"/>
      <c r="H23" s="17"/>
      <c r="I23" s="17"/>
      <c r="J23" s="17"/>
      <c r="K23" s="17"/>
      <c r="L23" t="b">
        <f>AND(Table1523[[#This Row],[Azole]:[Spray/Powder]])</f>
        <v>0</v>
      </c>
      <c r="M23" s="11" t="s">
        <v>999</v>
      </c>
    </row>
    <row r="24" spans="1:15">
      <c r="A24" t="b">
        <f>IF(Table1523[[#This Row],[Column11]],Table1523[[#This Row],[Column12]])</f>
        <v>0</v>
      </c>
      <c r="B24" s="97"/>
      <c r="C24" s="17"/>
      <c r="D24" s="67" t="b">
        <f>AND('Anti-Infection Skin Criteria'!B7,'Anti-Infection Skin Criteria'!C8,'Anti-Infection Skin Criteria'!B12,'Anti-Infection Skin Criteria'!C11,'Anti-Infection Skin Criteria'!C6,'Anti-Infection Skin Criteria'!C3)</f>
        <v>0</v>
      </c>
      <c r="E24" s="97"/>
      <c r="F24" s="17"/>
      <c r="G24" s="17"/>
      <c r="H24" s="17"/>
      <c r="I24" s="17"/>
      <c r="J24" s="17"/>
      <c r="K24" s="17"/>
      <c r="L24" t="b">
        <f>AND(Table1523[[#This Row],[Azole]:[Spray/Powder]])</f>
        <v>0</v>
      </c>
      <c r="M24" s="11" t="s">
        <v>1000</v>
      </c>
    </row>
    <row r="25" spans="1:15">
      <c r="A25" t="b">
        <f>IF(Table1523[[#This Row],[Column11]],Table1523[[#This Row],[Column12]])</f>
        <v>0</v>
      </c>
      <c r="B25" s="97"/>
      <c r="C25" s="207"/>
      <c r="D25" s="67" t="b">
        <f>D24</f>
        <v>0</v>
      </c>
      <c r="E25" s="97"/>
      <c r="F25" s="17"/>
      <c r="G25" s="17"/>
      <c r="H25" s="17"/>
      <c r="I25" s="17"/>
      <c r="J25" s="20" t="b">
        <f>J2</f>
        <v>0</v>
      </c>
      <c r="K25" s="17"/>
      <c r="L25" t="b">
        <f>AND(Table1523[[#This Row],[Azole]:[Spray/Powder]])</f>
        <v>0</v>
      </c>
      <c r="M25" s="11" t="s">
        <v>1001</v>
      </c>
    </row>
    <row r="26" spans="1:15">
      <c r="A26" s="16" t="e">
        <f>IF(Table1523[[#This Row],[Column11]],Table1523[[#This Row],[Column12]])</f>
        <v>#VALUE!</v>
      </c>
      <c r="B26" s="16"/>
      <c r="C26" s="16"/>
      <c r="D26" s="16"/>
      <c r="E26" s="16"/>
      <c r="F26" s="16"/>
      <c r="G26" s="16"/>
      <c r="H26" s="16"/>
      <c r="I26" s="16"/>
      <c r="J26" s="16"/>
      <c r="K26" s="16"/>
      <c r="L26" s="16" t="e">
        <f>AND(Table1523[[#This Row],[Azole]:[Spray/Powder]])</f>
        <v>#VALUE!</v>
      </c>
      <c r="M26" s="16"/>
    </row>
    <row r="27" spans="1:15">
      <c r="A27" t="b">
        <f>IF(Table1523[[#This Row],[Column11]],Table1523[[#This Row],[Column12]])</f>
        <v>0</v>
      </c>
      <c r="B27" s="17"/>
      <c r="C27" s="17"/>
      <c r="D27" s="17"/>
      <c r="E27" s="17"/>
      <c r="F27" s="17"/>
      <c r="G27" s="20" t="b">
        <f>G13</f>
        <v>0</v>
      </c>
      <c r="H27" s="20" t="b">
        <f>F13</f>
        <v>0</v>
      </c>
      <c r="I27" s="17"/>
      <c r="J27" s="17"/>
      <c r="K27" s="17"/>
      <c r="L27" t="b">
        <f>AND(Table1523[[#This Row],[Azole]:[Spray/Powder]])</f>
        <v>0</v>
      </c>
      <c r="M27" s="11" t="s">
        <v>1002</v>
      </c>
    </row>
    <row r="28" spans="1:15">
      <c r="A28" s="16" t="e">
        <f>IF(Table1523[[#This Row],[Column11]],Table1523[[#This Row],[Column12]])</f>
        <v>#VALUE!</v>
      </c>
      <c r="B28" s="16"/>
      <c r="C28" s="16"/>
      <c r="D28" s="16"/>
      <c r="E28" s="16"/>
      <c r="F28" s="16"/>
      <c r="G28" s="16"/>
      <c r="H28" s="16"/>
      <c r="I28" s="16"/>
      <c r="J28" s="16"/>
      <c r="K28" s="16"/>
      <c r="L28" s="16" t="e">
        <f>AND(Table1523[[#This Row],[Azole]:[Spray/Powder]])</f>
        <v>#VALUE!</v>
      </c>
      <c r="M28" s="16"/>
    </row>
    <row r="29" spans="1:15">
      <c r="A29" t="e">
        <f>IF(Table1523[[#This Row],[Column11]],Table1523[[#This Row],[Column12]])</f>
        <v>#VALUE!</v>
      </c>
      <c r="L29" t="e">
        <f>AND(Table1523[[#This Row],[Azole]:[Spray/Powder]])</f>
        <v>#VALUE!</v>
      </c>
    </row>
    <row r="30" spans="1:15">
      <c r="A30" t="e">
        <f>IF(Table1523[[#This Row],[Column11]],Table1523[[#This Row],[Column12]])</f>
        <v>#VALUE!</v>
      </c>
      <c r="L30" t="e">
        <f>AND(Table1523[[#This Row],[Azole]:[Spray/Powder]])</f>
        <v>#VALUE!</v>
      </c>
    </row>
    <row r="31" spans="1:15">
      <c r="A31" t="e">
        <f>IF(Table1523[[#This Row],[Column11]],Table1523[[#This Row],[Column12]])</f>
        <v>#VALUE!</v>
      </c>
      <c r="L31" t="e">
        <f>AND(Table1523[[#This Row],[Azole]:[Spray/Powder]])</f>
        <v>#VALUE!</v>
      </c>
    </row>
    <row r="32" spans="1:15">
      <c r="A32" t="e">
        <f>IF(Table1523[[#This Row],[Column11]],Table1523[[#This Row],[Column12]])</f>
        <v>#VALUE!</v>
      </c>
      <c r="L32" t="e">
        <f>AND(Table1523[[#This Row],[Azole]:[Spray/Powder]])</f>
        <v>#VALUE!</v>
      </c>
    </row>
  </sheetData>
  <hyperlinks>
    <hyperlink ref="M2" r:id="rId1" xr:uid="{00000000-0004-0000-1C00-000000000000}"/>
    <hyperlink ref="M3" r:id="rId2" xr:uid="{00000000-0004-0000-1C00-000001000000}"/>
    <hyperlink ref="M4" r:id="rId3" xr:uid="{00000000-0004-0000-1C00-000002000000}"/>
    <hyperlink ref="M5" r:id="rId4" xr:uid="{00000000-0004-0000-1C00-000003000000}"/>
    <hyperlink ref="M6" r:id="rId5" xr:uid="{00000000-0004-0000-1C00-000004000000}"/>
    <hyperlink ref="M7" r:id="rId6" xr:uid="{00000000-0004-0000-1C00-000005000000}"/>
    <hyperlink ref="M8" r:id="rId7" xr:uid="{00000000-0004-0000-1C00-000006000000}"/>
    <hyperlink ref="M10:M11" r:id="rId8" display="Micatin Antifungal Cream" xr:uid="{00000000-0004-0000-1C00-000007000000}"/>
    <hyperlink ref="M13" r:id="rId9" display="https://www.polysporin.ca/products/complete-antibiotic-ointment" xr:uid="{00000000-0004-0000-1C00-000008000000}"/>
    <hyperlink ref="M14" r:id="rId10" display="https://www.polysporin.ca/products/triple-antibiotic-ointment" xr:uid="{00000000-0004-0000-1C00-000009000000}"/>
    <hyperlink ref="M15" r:id="rId11" display="https://www.polysporin.ca/products/plus-pain-relief-cream" xr:uid="{00000000-0004-0000-1C00-00000A000000}"/>
    <hyperlink ref="M16" r:id="rId12" display="https://www.polysporin.ca/products/antibiotic-cream-for-kids" xr:uid="{00000000-0004-0000-1C00-00000B000000}"/>
    <hyperlink ref="M17" r:id="rId13" display="https://www.polysporin.ca/products/antibiotic-original-ointment" xr:uid="{00000000-0004-0000-1C00-00000C000000}"/>
    <hyperlink ref="M18" r:id="rId14" display="https://www.polysporin.ca/products/antibiotic-cream" xr:uid="{00000000-0004-0000-1C00-00000D000000}"/>
    <hyperlink ref="M19" r:id="rId15" display="https://www.polysporin.ca/products/poly-to-go-antiseptic-pain-relief-spray" xr:uid="{00000000-0004-0000-1C00-00000E000000}"/>
    <hyperlink ref="M21" r:id="rId16" xr:uid="{00000000-0004-0000-1C00-00000F000000}"/>
    <hyperlink ref="M23" r:id="rId17" xr:uid="{00000000-0004-0000-1C00-000010000000}"/>
    <hyperlink ref="M24" r:id="rId18" xr:uid="{00000000-0004-0000-1C00-000011000000}"/>
    <hyperlink ref="M25" r:id="rId19" xr:uid="{00000000-0004-0000-1C00-000012000000}"/>
    <hyperlink ref="M27" r:id="rId20" xr:uid="{00000000-0004-0000-1C00-000013000000}"/>
  </hyperlinks>
  <pageMargins left="0.7" right="0.7" top="0.75" bottom="0.75" header="0.3" footer="0.3"/>
  <pageSetup orientation="portrait" r:id="rId21"/>
  <tableParts count="1">
    <tablePart r:id="rId2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7"/>
  <sheetViews>
    <sheetView workbookViewId="0">
      <selection activeCell="H25" sqref="H25"/>
    </sheetView>
  </sheetViews>
  <sheetFormatPr defaultRowHeight="15"/>
  <cols>
    <col min="1" max="1" width="27.85546875" customWidth="1"/>
    <col min="2" max="10" width="11.28515625" customWidth="1"/>
    <col min="11" max="11" width="12.5703125" customWidth="1"/>
    <col min="12" max="13" width="11.28515625" customWidth="1"/>
    <col min="14" max="14" width="54.5703125" customWidth="1"/>
  </cols>
  <sheetData>
    <row r="1" spans="1:14" ht="16.5" thickTop="1" thickBot="1">
      <c r="A1" s="148" t="s">
        <v>1248</v>
      </c>
      <c r="B1" s="157" t="s">
        <v>1372</v>
      </c>
      <c r="C1" s="157" t="s">
        <v>1375</v>
      </c>
      <c r="D1" s="157" t="s">
        <v>2005</v>
      </c>
      <c r="E1" s="157" t="s">
        <v>1245</v>
      </c>
      <c r="F1" s="157" t="s">
        <v>1373</v>
      </c>
      <c r="G1" s="157" t="s">
        <v>1374</v>
      </c>
      <c r="H1" s="157" t="s">
        <v>2002</v>
      </c>
      <c r="I1" s="157" t="s">
        <v>2003</v>
      </c>
      <c r="J1" s="157" t="s">
        <v>596</v>
      </c>
      <c r="K1" s="157" t="s">
        <v>2004</v>
      </c>
      <c r="L1" s="157" t="s">
        <v>1156</v>
      </c>
      <c r="M1" s="157" t="s">
        <v>25</v>
      </c>
      <c r="N1" s="157" t="s">
        <v>26</v>
      </c>
    </row>
    <row r="2" spans="1:14" ht="15.75" thickTop="1">
      <c r="A2" t="b">
        <f>IF(Table28[[#This Row],[Total]],Table28[[#This Row],[Product]])</f>
        <v>0</v>
      </c>
      <c r="B2" s="20" t="b">
        <f>AND('Dry Mouth Criteria'!B4)</f>
        <v>0</v>
      </c>
      <c r="C2" s="17" t="b">
        <f>AND('Dry Mouth Criteria'!C3)</f>
        <v>1</v>
      </c>
      <c r="D2" s="20" t="b">
        <f>AND('Dry Mouth Criteria'!B7,'Dry Mouth Criteria'!C8)</f>
        <v>0</v>
      </c>
      <c r="E2" s="17"/>
      <c r="F2" s="20" t="b">
        <f>AND('Dry Mouth Criteria'!C6)</f>
        <v>1</v>
      </c>
      <c r="G2" s="17" t="b">
        <f>AND('Dry Mouth Criteria'!C5)</f>
        <v>1</v>
      </c>
      <c r="H2" s="17"/>
      <c r="I2" s="20" t="b">
        <f>AND('Dry Mouth Criteria'!B10,'Dry Mouth Criteria'!C9,'Dry Mouth Criteria'!C11:C13)</f>
        <v>0</v>
      </c>
      <c r="J2" s="17"/>
      <c r="K2" s="17"/>
      <c r="L2" s="17"/>
      <c r="M2" t="b">
        <f>AND(Table28[[#This Row],[Xylitol]:[Patch]])</f>
        <v>0</v>
      </c>
      <c r="N2" s="29" t="s">
        <v>1364</v>
      </c>
    </row>
    <row r="3" spans="1:14">
      <c r="A3" t="b">
        <f>IF(Table28[[#This Row],[Total]],Table28[[#This Row],[Product]])</f>
        <v>0</v>
      </c>
      <c r="B3" s="20" t="b">
        <f>B2</f>
        <v>0</v>
      </c>
      <c r="C3" s="17" t="b">
        <f>C2</f>
        <v>1</v>
      </c>
      <c r="D3" s="20" t="b">
        <f>D2</f>
        <v>0</v>
      </c>
      <c r="E3" s="17"/>
      <c r="F3" s="20" t="b">
        <f>F2</f>
        <v>1</v>
      </c>
      <c r="G3" s="17" t="b">
        <f>G2</f>
        <v>1</v>
      </c>
      <c r="H3" s="20" t="b">
        <f>AND('Dry Mouth Criteria'!B9,'Dry Mouth Criteria'!C10:C13)</f>
        <v>0</v>
      </c>
      <c r="I3" s="17"/>
      <c r="J3" s="17"/>
      <c r="K3" s="17"/>
      <c r="L3" s="17"/>
      <c r="M3" t="b">
        <f>AND(Table28[[#This Row],[Xylitol]:[Patch]])</f>
        <v>0</v>
      </c>
      <c r="N3" s="29" t="s">
        <v>1365</v>
      </c>
    </row>
    <row r="4" spans="1:14">
      <c r="A4" t="b">
        <f>IF(Table28[[#This Row],[Total]],Table28[[#This Row],[Product]])</f>
        <v>0</v>
      </c>
      <c r="B4" s="20" t="b">
        <f>B2</f>
        <v>0</v>
      </c>
      <c r="C4" s="20" t="b">
        <f>AND('Dry Mouth Criteria'!B3)</f>
        <v>0</v>
      </c>
      <c r="D4" s="17"/>
      <c r="E4" s="20" t="b">
        <f>AND('Dry Mouth Criteria'!B8,'Dry Mouth Criteria'!C7)</f>
        <v>0</v>
      </c>
      <c r="F4" s="17" t="b">
        <f>OR('Dry Mouth Criteria'!B6:C6)</f>
        <v>1</v>
      </c>
      <c r="G4" s="17" t="b">
        <f>G2</f>
        <v>1</v>
      </c>
      <c r="H4" s="17"/>
      <c r="I4" s="17"/>
      <c r="J4" s="20" t="b">
        <f>AND('Dry Mouth Criteria'!B11,'Dry Mouth Criteria'!C9:C10,'Dry Mouth Criteria'!C12:C13)</f>
        <v>0</v>
      </c>
      <c r="K4" s="17"/>
      <c r="L4" s="17"/>
      <c r="M4" t="b">
        <f>AND(Table28[[#This Row],[Xylitol]:[Patch]])</f>
        <v>0</v>
      </c>
      <c r="N4" s="29" t="s">
        <v>1366</v>
      </c>
    </row>
    <row r="5" spans="1:14">
      <c r="A5" t="b">
        <f>IF(Table28[[#This Row],[Total]],Table28[[#This Row],[Product]])</f>
        <v>0</v>
      </c>
      <c r="B5" s="20" t="b">
        <f>B2</f>
        <v>0</v>
      </c>
      <c r="C5" s="17" t="b">
        <f>C2</f>
        <v>1</v>
      </c>
      <c r="D5" s="20" t="b">
        <f>D2</f>
        <v>0</v>
      </c>
      <c r="E5" s="17"/>
      <c r="F5" s="17" t="b">
        <f>F4</f>
        <v>1</v>
      </c>
      <c r="G5" s="17" t="b">
        <f>G2</f>
        <v>1</v>
      </c>
      <c r="H5" s="17"/>
      <c r="I5" s="17"/>
      <c r="J5" s="17"/>
      <c r="K5" s="20" t="b">
        <f>AND('Dry Mouth Criteria'!B12,'Dry Mouth Criteria'!C9:C11,'Dry Mouth Criteria'!C13)</f>
        <v>0</v>
      </c>
      <c r="L5" s="17"/>
      <c r="M5" t="b">
        <f>AND(Table28[[#This Row],[Xylitol]:[Patch]])</f>
        <v>0</v>
      </c>
      <c r="N5" s="29" t="s">
        <v>1376</v>
      </c>
    </row>
    <row r="6" spans="1:14">
      <c r="A6" s="16"/>
      <c r="B6" s="16"/>
      <c r="C6" s="16"/>
      <c r="D6" s="16"/>
      <c r="E6" s="16"/>
      <c r="F6" s="16"/>
      <c r="G6" s="16"/>
      <c r="H6" s="16" t="b">
        <f>AND('Dry Mouth Criteria'!B13,'Dry Mouth Criteria'!C14:C16)</f>
        <v>0</v>
      </c>
      <c r="I6" s="16" t="b">
        <f>AND('Dry Mouth Criteria'!B14,'Dry Mouth Criteria'!C13,'Dry Mouth Criteria'!C15:C16)</f>
        <v>1</v>
      </c>
      <c r="J6" s="16" t="b">
        <f>AND('Dry Mouth Criteria'!B13,'Dry Mouth Criteria'!C11:C12,'Dry Mouth Criteria'!C14:C15)</f>
        <v>0</v>
      </c>
      <c r="K6" s="16" t="b">
        <f>AND('Dry Mouth Criteria'!B13,'Dry Mouth Criteria'!C10:C12,'Dry Mouth Criteria'!C14)</f>
        <v>0</v>
      </c>
      <c r="L6" s="16"/>
      <c r="M6" s="16"/>
      <c r="N6" s="16"/>
    </row>
    <row r="7" spans="1:14">
      <c r="A7" t="b">
        <f>IF(Table28[[#This Row],[Total]],Table28[[#This Row],[Product]])</f>
        <v>0</v>
      </c>
      <c r="B7" s="17" t="b">
        <f>AND('Dry Mouth Criteria'!C4)</f>
        <v>1</v>
      </c>
      <c r="C7" s="20" t="b">
        <f>C4</f>
        <v>0</v>
      </c>
      <c r="D7" s="20" t="b">
        <f>D2</f>
        <v>0</v>
      </c>
      <c r="E7" s="17"/>
      <c r="F7" s="20" t="b">
        <f>F2</f>
        <v>1</v>
      </c>
      <c r="G7" s="17" t="b">
        <f>G2</f>
        <v>1</v>
      </c>
      <c r="H7" s="20" t="b">
        <f>H3</f>
        <v>0</v>
      </c>
      <c r="I7" s="17"/>
      <c r="J7" s="17"/>
      <c r="K7" s="17"/>
      <c r="L7" s="17"/>
      <c r="M7" t="b">
        <f>AND(Table28[[#This Row],[Xylitol]:[Patch]])</f>
        <v>0</v>
      </c>
      <c r="N7" s="29" t="s">
        <v>1368</v>
      </c>
    </row>
    <row r="8" spans="1:14">
      <c r="A8" s="16"/>
      <c r="B8" s="16"/>
      <c r="C8" s="16"/>
      <c r="D8" s="16"/>
      <c r="E8" s="16"/>
      <c r="F8" s="16"/>
      <c r="G8" s="16"/>
      <c r="H8" s="16" t="e">
        <f>AND('Dry Mouth Criteria'!B15,'Dry Mouth Criteria'!C16:C18)</f>
        <v>#VALUE!</v>
      </c>
      <c r="I8" s="16" t="e">
        <f>AND('Dry Mouth Criteria'!#REF!,'Dry Mouth Criteria'!C15,'Dry Mouth Criteria'!C16:C18)</f>
        <v>#REF!</v>
      </c>
      <c r="J8" s="16" t="b">
        <f>AND('Dry Mouth Criteria'!B15,'Dry Mouth Criteria'!C13:C14,'Dry Mouth Criteria'!C16:C16)</f>
        <v>1</v>
      </c>
      <c r="K8" s="16" t="e">
        <f>AND('Dry Mouth Criteria'!B15,'Dry Mouth Criteria'!C12:C14,'Dry Mouth Criteria'!#REF!)</f>
        <v>#REF!</v>
      </c>
      <c r="L8" s="16"/>
      <c r="M8" s="16"/>
      <c r="N8" s="16"/>
    </row>
    <row r="9" spans="1:14">
      <c r="A9" t="b">
        <f>IF(Table28[[#This Row],[Total]],Table28[[#This Row],[Product]])</f>
        <v>0</v>
      </c>
      <c r="B9" s="20" t="b">
        <f>B2</f>
        <v>0</v>
      </c>
      <c r="C9" s="17" t="b">
        <f>C2</f>
        <v>1</v>
      </c>
      <c r="D9" s="20" t="b">
        <f>D2</f>
        <v>0</v>
      </c>
      <c r="E9" s="17"/>
      <c r="F9" s="17" t="b">
        <f>F4</f>
        <v>1</v>
      </c>
      <c r="G9" s="20" t="b">
        <f>AND('Dry Mouth Criteria'!B5)</f>
        <v>0</v>
      </c>
      <c r="H9" s="67" t="b">
        <f>H3</f>
        <v>0</v>
      </c>
      <c r="I9" s="207"/>
      <c r="J9" s="207"/>
      <c r="K9" s="207"/>
      <c r="L9" s="207"/>
      <c r="M9" t="b">
        <f>AND(Table28[[#This Row],[Xylitol]:[Patch]])</f>
        <v>0</v>
      </c>
      <c r="N9" s="11" t="s">
        <v>1367</v>
      </c>
    </row>
    <row r="10" spans="1:14">
      <c r="A10" s="16"/>
      <c r="B10" s="16"/>
      <c r="C10" s="16"/>
      <c r="D10" s="16"/>
      <c r="E10" s="16"/>
      <c r="F10" s="16"/>
      <c r="G10" s="16"/>
      <c r="H10" s="16" t="e">
        <f>AND('Dry Mouth Criteria'!B16,'Dry Mouth Criteria'!C17:C20)</f>
        <v>#VALUE!</v>
      </c>
      <c r="I10" s="16" t="e">
        <f>AND('Dry Mouth Criteria'!B17,'Dry Mouth Criteria'!C16,'Dry Mouth Criteria'!C18:C20)</f>
        <v>#VALUE!</v>
      </c>
      <c r="J10" s="16" t="e">
        <f>AND('Dry Mouth Criteria'!B16,'Dry Mouth Criteria'!C15:C15,'Dry Mouth Criteria'!C17:C18)</f>
        <v>#VALUE!</v>
      </c>
      <c r="K10" s="16" t="e">
        <f>AND('Dry Mouth Criteria'!B16,'Dry Mouth Criteria'!C14:C15,'Dry Mouth Criteria'!C17)</f>
        <v>#VALUE!</v>
      </c>
      <c r="L10" s="16"/>
      <c r="M10" s="16"/>
      <c r="N10" s="16"/>
    </row>
    <row r="11" spans="1:14">
      <c r="A11" t="b">
        <f>IF(Table28[[#This Row],[Total]],Table28[[#This Row],[Product]])</f>
        <v>0</v>
      </c>
      <c r="B11" s="20" t="b">
        <f>B2</f>
        <v>0</v>
      </c>
      <c r="C11" s="17" t="b">
        <f>C2</f>
        <v>1</v>
      </c>
      <c r="D11" s="17"/>
      <c r="E11" s="20" t="b">
        <f>E4</f>
        <v>0</v>
      </c>
      <c r="F11" s="17" t="b">
        <f>F4</f>
        <v>1</v>
      </c>
      <c r="G11" s="17" t="b">
        <f>G2</f>
        <v>1</v>
      </c>
      <c r="H11" s="17"/>
      <c r="I11" s="17"/>
      <c r="J11" s="17"/>
      <c r="K11" s="17"/>
      <c r="L11" s="20" t="b">
        <f>AND('Dry Mouth Criteria'!B13,'Dry Mouth Criteria'!C9:C12)</f>
        <v>0</v>
      </c>
      <c r="M11" t="b">
        <f>AND(Table28[[#This Row],[Xylitol]:[Patch]])</f>
        <v>0</v>
      </c>
      <c r="N11" s="11" t="s">
        <v>1369</v>
      </c>
    </row>
    <row r="12" spans="1:14">
      <c r="A12" s="16"/>
      <c r="B12" s="16"/>
      <c r="C12" s="16"/>
      <c r="D12" s="16"/>
      <c r="E12" s="16"/>
      <c r="F12" s="16"/>
      <c r="G12" s="16"/>
      <c r="H12" s="16" t="e">
        <f>AND('Dry Mouth Criteria'!B18,'Dry Mouth Criteria'!C19:C22)</f>
        <v>#VALUE!</v>
      </c>
      <c r="I12" s="16" t="e">
        <f>AND('Dry Mouth Criteria'!B19,'Dry Mouth Criteria'!C18,'Dry Mouth Criteria'!C20:C22)</f>
        <v>#VALUE!</v>
      </c>
      <c r="J12" s="16" t="e">
        <f>AND('Dry Mouth Criteria'!B18,'Dry Mouth Criteria'!C16:C17,'Dry Mouth Criteria'!C19:C20)</f>
        <v>#VALUE!</v>
      </c>
      <c r="K12" s="16" t="e">
        <f>AND('Dry Mouth Criteria'!B18,'Dry Mouth Criteria'!C16:C17,'Dry Mouth Criteria'!C19)</f>
        <v>#VALUE!</v>
      </c>
      <c r="L12" s="16"/>
      <c r="M12" s="16"/>
      <c r="N12" s="16"/>
    </row>
    <row r="13" spans="1:14">
      <c r="A13" t="b">
        <f>IF(Table28[[#This Row],[Total]],Table28[[#This Row],[Product]])</f>
        <v>0</v>
      </c>
      <c r="B13" s="20" t="b">
        <f>B2</f>
        <v>0</v>
      </c>
      <c r="C13" s="17" t="b">
        <f>C2</f>
        <v>1</v>
      </c>
      <c r="D13" s="20" t="b">
        <f>D2</f>
        <v>0</v>
      </c>
      <c r="E13" s="17"/>
      <c r="F13" s="17" t="b">
        <f>F4</f>
        <v>1</v>
      </c>
      <c r="G13" s="17" t="b">
        <f>G2</f>
        <v>1</v>
      </c>
      <c r="H13" s="17"/>
      <c r="I13" s="17"/>
      <c r="J13" s="17"/>
      <c r="K13" s="20" t="b">
        <f>K5</f>
        <v>0</v>
      </c>
      <c r="L13" s="17"/>
      <c r="M13" t="b">
        <f>AND(Table28[[#This Row],[Xylitol]:[Patch]])</f>
        <v>0</v>
      </c>
      <c r="N13" s="11" t="s">
        <v>1371</v>
      </c>
    </row>
    <row r="14" spans="1:14">
      <c r="A14" t="b">
        <f>IF(Table28[[#This Row],[Total]],Table28[[#This Row],[Product]])</f>
        <v>0</v>
      </c>
      <c r="B14" s="20" t="b">
        <f>B2</f>
        <v>0</v>
      </c>
      <c r="C14" s="17" t="b">
        <f>C2</f>
        <v>1</v>
      </c>
      <c r="D14" s="20" t="b">
        <f>D2</f>
        <v>0</v>
      </c>
      <c r="E14" s="17"/>
      <c r="F14" s="17" t="b">
        <f>F4</f>
        <v>1</v>
      </c>
      <c r="G14" s="17" t="b">
        <f>G2</f>
        <v>1</v>
      </c>
      <c r="H14" s="17"/>
      <c r="I14" s="17"/>
      <c r="J14" s="17"/>
      <c r="K14" s="20" t="b">
        <f>K5</f>
        <v>0</v>
      </c>
      <c r="L14" s="17"/>
      <c r="M14" t="b">
        <f>AND(Table28[[#This Row],[Xylitol]:[Patch]])</f>
        <v>0</v>
      </c>
      <c r="N14" s="11" t="s">
        <v>1370</v>
      </c>
    </row>
    <row r="15" spans="1:14">
      <c r="A15" s="16"/>
      <c r="B15" s="16"/>
      <c r="C15" s="16"/>
      <c r="D15" s="16"/>
      <c r="E15" s="16"/>
      <c r="F15" s="16"/>
      <c r="G15" s="16"/>
      <c r="H15" s="16" t="e">
        <f>AND('Dry Mouth Criteria'!B21,'Dry Mouth Criteria'!C22:C25)</f>
        <v>#VALUE!</v>
      </c>
      <c r="I15" s="16" t="e">
        <f>AND('Dry Mouth Criteria'!B22,'Dry Mouth Criteria'!C21,'Dry Mouth Criteria'!C23:C25)</f>
        <v>#VALUE!</v>
      </c>
      <c r="J15" s="16" t="e">
        <f>AND('Dry Mouth Criteria'!B21,'Dry Mouth Criteria'!C19:C20,'Dry Mouth Criteria'!C22:C23)</f>
        <v>#VALUE!</v>
      </c>
      <c r="K15" s="16" t="e">
        <f>AND('Dry Mouth Criteria'!B21,'Dry Mouth Criteria'!C18:C20,'Dry Mouth Criteria'!C22)</f>
        <v>#VALUE!</v>
      </c>
      <c r="L15" s="16"/>
      <c r="M15" s="16"/>
      <c r="N15" s="16"/>
    </row>
    <row r="16" spans="1:14">
      <c r="A16" t="b">
        <f>IF(Table28[[#This Row],[Total]],Table28[[#This Row],[Product]])</f>
        <v>0</v>
      </c>
      <c r="B16" s="20" t="b">
        <f>B2</f>
        <v>0</v>
      </c>
      <c r="C16" s="17" t="b">
        <f>C2</f>
        <v>1</v>
      </c>
      <c r="D16" s="17"/>
      <c r="E16" s="20" t="b">
        <f>E4</f>
        <v>0</v>
      </c>
      <c r="F16" s="17" t="b">
        <f>F4</f>
        <v>1</v>
      </c>
      <c r="G16" s="17" t="b">
        <f>G2</f>
        <v>1</v>
      </c>
      <c r="H16" s="17"/>
      <c r="I16" s="17"/>
      <c r="J16" s="17"/>
      <c r="K16" s="17"/>
      <c r="L16" s="20" t="b">
        <f>L11</f>
        <v>0</v>
      </c>
      <c r="M16" t="b">
        <f>AND(Table28[[#This Row],[Xylitol]:[Patch]])</f>
        <v>0</v>
      </c>
      <c r="N16" s="29" t="s">
        <v>1377</v>
      </c>
    </row>
    <row r="17" spans="1:14">
      <c r="A17" s="16"/>
      <c r="B17" s="16"/>
      <c r="C17" s="16"/>
      <c r="D17" s="16"/>
      <c r="E17" s="16"/>
      <c r="F17" s="16"/>
      <c r="G17" s="16"/>
      <c r="H17" s="16" t="e">
        <f>AND('Dry Mouth Criteria'!B23,'Dry Mouth Criteria'!C24:C27)</f>
        <v>#VALUE!</v>
      </c>
      <c r="I17" s="16" t="e">
        <f>AND('Dry Mouth Criteria'!B24,'Dry Mouth Criteria'!C23,'Dry Mouth Criteria'!C25:C27)</f>
        <v>#VALUE!</v>
      </c>
      <c r="J17" s="16" t="e">
        <f>AND('Dry Mouth Criteria'!B23,'Dry Mouth Criteria'!C21:C22,'Dry Mouth Criteria'!C24:C25)</f>
        <v>#VALUE!</v>
      </c>
      <c r="K17" s="16" t="e">
        <f>AND('Dry Mouth Criteria'!B23,'Dry Mouth Criteria'!C20:C22,'Dry Mouth Criteria'!C24)</f>
        <v>#VALUE!</v>
      </c>
      <c r="L17" s="16"/>
      <c r="M17" s="16"/>
      <c r="N17" s="16"/>
    </row>
  </sheetData>
  <hyperlinks>
    <hyperlink ref="N2" r:id="rId1" xr:uid="{00000000-0004-0000-0200-000000000000}"/>
    <hyperlink ref="N3" r:id="rId2" xr:uid="{00000000-0004-0000-0200-000001000000}"/>
    <hyperlink ref="N4" r:id="rId3" xr:uid="{00000000-0004-0000-0200-000002000000}"/>
    <hyperlink ref="N7" r:id="rId4" display="MOI-STIR" xr:uid="{00000000-0004-0000-0200-000003000000}"/>
    <hyperlink ref="N9" r:id="rId5" xr:uid="{00000000-0004-0000-0200-000004000000}"/>
    <hyperlink ref="N11" r:id="rId6" xr:uid="{00000000-0004-0000-0200-000005000000}"/>
    <hyperlink ref="N13" r:id="rId7" xr:uid="{00000000-0004-0000-0200-000006000000}"/>
    <hyperlink ref="N14" r:id="rId8" xr:uid="{00000000-0004-0000-0200-000007000000}"/>
    <hyperlink ref="N5" r:id="rId9" display="Biotène® DRY MOUTH" xr:uid="{00000000-0004-0000-0200-000008000000}"/>
    <hyperlink ref="N16" r:id="rId10" xr:uid="{00000000-0004-0000-0200-000009000000}"/>
  </hyperlinks>
  <pageMargins left="0.7" right="0.7" top="0.75" bottom="0.75" header="0.3" footer="0.3"/>
  <pageSetup paperSize="9" orientation="portrait" r:id="rId11"/>
  <tableParts count="1">
    <tablePart r:id="rId1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5"/>
  <sheetViews>
    <sheetView workbookViewId="0">
      <selection activeCell="A23" sqref="A23"/>
    </sheetView>
  </sheetViews>
  <sheetFormatPr defaultRowHeight="15"/>
  <cols>
    <col min="1" max="1" width="37.5703125" customWidth="1"/>
  </cols>
  <sheetData>
    <row r="1" spans="1:3" ht="15.75" thickTop="1">
      <c r="A1" s="3" t="s">
        <v>15</v>
      </c>
      <c r="B1" s="7" t="s">
        <v>18</v>
      </c>
      <c r="C1" s="95"/>
    </row>
    <row r="2" spans="1:3" ht="15.75" thickBot="1">
      <c r="B2" s="4"/>
      <c r="C2" s="95"/>
    </row>
    <row r="3" spans="1:3" ht="15.75" thickBot="1">
      <c r="A3" s="161" t="s">
        <v>921</v>
      </c>
      <c r="B3" s="33" t="b">
        <v>0</v>
      </c>
      <c r="C3" s="95" t="b">
        <f t="shared" ref="C3:C8" si="0">NOT(B3)</f>
        <v>1</v>
      </c>
    </row>
    <row r="4" spans="1:3" ht="15.75" thickBot="1">
      <c r="A4" s="161" t="s">
        <v>920</v>
      </c>
      <c r="B4" s="33" t="b">
        <v>0</v>
      </c>
      <c r="C4" s="95" t="b">
        <f t="shared" si="0"/>
        <v>1</v>
      </c>
    </row>
    <row r="5" spans="1:3" ht="15.75" thickBot="1">
      <c r="A5" s="161" t="s">
        <v>919</v>
      </c>
      <c r="B5" s="33" t="b">
        <v>0</v>
      </c>
      <c r="C5" s="95" t="b">
        <f t="shared" si="0"/>
        <v>1</v>
      </c>
    </row>
    <row r="6" spans="1:3" ht="15.75" customHeight="1" thickBot="1">
      <c r="A6" s="161" t="s">
        <v>922</v>
      </c>
      <c r="B6" s="33" t="b">
        <v>0</v>
      </c>
      <c r="C6" s="95" t="b">
        <f t="shared" si="0"/>
        <v>1</v>
      </c>
    </row>
    <row r="7" spans="1:3" ht="15.75" customHeight="1" thickBot="1">
      <c r="A7" s="1" t="s">
        <v>930</v>
      </c>
      <c r="B7" s="33" t="b">
        <v>0</v>
      </c>
      <c r="C7" s="95" t="b">
        <f t="shared" si="0"/>
        <v>1</v>
      </c>
    </row>
    <row r="8" spans="1:3" ht="15.75" customHeight="1" thickBot="1">
      <c r="A8" s="1" t="s">
        <v>932</v>
      </c>
      <c r="B8" s="33" t="b">
        <v>0</v>
      </c>
      <c r="C8" s="95" t="b">
        <f t="shared" si="0"/>
        <v>1</v>
      </c>
    </row>
    <row r="9" spans="1:3" ht="15.75" customHeight="1">
      <c r="A9" s="78"/>
      <c r="B9" s="79"/>
      <c r="C9" s="95"/>
    </row>
    <row r="10" spans="1:3" ht="15.75" customHeight="1" thickBot="1">
      <c r="A10" s="90"/>
      <c r="B10" s="91"/>
      <c r="C10" s="95"/>
    </row>
    <row r="11" spans="1:3" ht="15.75" customHeight="1" thickTop="1">
      <c r="A11" s="88" t="s">
        <v>14</v>
      </c>
      <c r="B11" s="7" t="s">
        <v>18</v>
      </c>
      <c r="C11" s="95"/>
    </row>
    <row r="12" spans="1:3" ht="15.75" customHeight="1" thickBot="1">
      <c r="A12" s="89"/>
      <c r="B12" s="80"/>
      <c r="C12" s="95"/>
    </row>
    <row r="13" spans="1:3" ht="15.75" thickBot="1">
      <c r="A13" s="1" t="s">
        <v>927</v>
      </c>
      <c r="B13" s="33" t="b">
        <v>0</v>
      </c>
      <c r="C13" s="95" t="b">
        <f>NOT(B13)</f>
        <v>1</v>
      </c>
    </row>
    <row r="14" spans="1:3" ht="15.75" thickBot="1">
      <c r="A14" s="1" t="s">
        <v>925</v>
      </c>
      <c r="B14" s="33" t="b">
        <v>0</v>
      </c>
      <c r="C14" s="95" t="b">
        <f>NOT(B14)</f>
        <v>1</v>
      </c>
    </row>
    <row r="15" spans="1:3" ht="15.75" thickBot="1">
      <c r="A15" s="1" t="s">
        <v>926</v>
      </c>
      <c r="B15" s="33" t="b">
        <v>0</v>
      </c>
      <c r="C15" s="95" t="b">
        <f>NOT(B15)</f>
        <v>1</v>
      </c>
    </row>
  </sheetData>
  <dataValidations count="2">
    <dataValidation allowBlank="1" showInputMessage="1" showErrorMessage="1" prompt="Consult your physician if unsure" sqref="A7 A9:A12" xr:uid="{00000000-0002-0000-1D00-000000000000}"/>
    <dataValidation allowBlank="1" showInputMessage="1" showErrorMessage="1" prompt="Consult your pharmacist if unsure" sqref="A3 A4 A5 A6 A8 A13 A14 A15" xr:uid="{00000000-0002-0000-1D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0">
        <x14:dataValidation type="list" showInputMessage="1" showErrorMessage="1" error="Please answer as Yes or No" xr:uid="{00000000-0002-0000-1D00-000002000000}">
          <x14:formula1>
            <xm:f>random!$A$2:$A$3</xm:f>
          </x14:formula1>
          <xm:sqref>B12 B9:B10</xm:sqref>
        </x14:dataValidation>
        <x14:dataValidation type="list" showInputMessage="1" showErrorMessage="1" error="Please answer as Yes or No" prompt="Gels are better for oily skin, are oil-free but more drying, may cause burning, irritation and prevent cosmetics from adhering to skin. Alcohol/acetone gels provide better penetration of active ingredients but are more drying than non-alcohol gels.  " xr:uid="{00000000-0002-0000-1D00-000003000000}">
          <x14:formula1>
            <xm:f>random!$A$2:$A$3</xm:f>
          </x14:formula1>
          <xm:sqref>B4</xm:sqref>
        </x14:dataValidation>
        <x14:dataValidation type="list" showInputMessage="1" showErrorMessage="1" error="Please answer as Yes or No" prompt="Lotions are slightly less drying than gels, can be used for any skin type and spread well over hair-bearing skin. Lotions may burn or dry skin if they contain propylene glycol. May be suitable for dry or sensitive skin. _x000a_" xr:uid="{00000000-0002-0000-1D00-000004000000}">
          <x14:formula1>
            <xm:f>random!$A$2:$A$3</xm:f>
          </x14:formula1>
          <xm:sqref>B5</xm:sqref>
        </x14:dataValidation>
        <x14:dataValidation type="list" showInputMessage="1" showErrorMessage="1" error="Please answer as Yes or No" prompt="Creams are more emolient and preferable for dry or sensitive skin." xr:uid="{00000000-0002-0000-1D00-000005000000}">
          <x14:formula1>
            <xm:f>random!$A$2:$A$3</xm:f>
          </x14:formula1>
          <xm:sqref>B3</xm:sqref>
        </x14:dataValidation>
        <x14:dataValidation type="list" showInputMessage="1" showErrorMessage="1" error="Please answer as Yes or No" prompt="Solutions, especially with high alcohol or acetone content, are best for oily skin but are most drying and irritating." xr:uid="{00000000-0002-0000-1D00-000006000000}">
          <x14:formula1>
            <xm:f>random!$A$2:$A$3</xm:f>
          </x14:formula1>
          <xm:sqref>B6</xm:sqref>
        </x14:dataValidation>
        <x14:dataValidation type="list" showInputMessage="1" showErrorMessage="1" error="Please answer as Yes or No" prompt="Salicylic acid has comedolytic activity which may prevent inflamed lesions and slight anti-inflammatory activity. May cause some local peeling, discomfort, burning, irritation and redness. Helps ingredient penetration." xr:uid="{00000000-0002-0000-1D00-000007000000}">
          <x14:formula1>
            <xm:f>random!$A$2:$A$3</xm:f>
          </x14:formula1>
          <xm:sqref>B14</xm:sqref>
        </x14:dataValidation>
        <x14:dataValidation type="list" showInputMessage="1" showErrorMessage="1" error="Please answer as Yes or No" prompt="Peroxide has bactericidal activity, may decrease inflammed lesions and sebum production. Comedone activity may be less than salicylic acid. May cause irritation fading with use, bleach hair/clothing and odour. Potential allergic/sensitivity reactions.  " xr:uid="{00000000-0002-0000-1D00-000008000000}">
          <x14:formula1>
            <xm:f>random!$A$2:$A$3</xm:f>
          </x14:formula1>
          <xm:sqref>B13</xm:sqref>
        </x14:dataValidation>
        <x14:dataValidation type="list" showInputMessage="1" showErrorMessage="1" error="Please answer as Yes or No" prompt="Benzoyl peroxide products are chemically incompatible with retinoic acid and decrease their activity. Benzoyl peroxide may temporarily turn skin and hair yellow/orange with use of dapsone." xr:uid="{00000000-0002-0000-1D00-000009000000}">
          <x14:formula1>
            <xm:f>random!$A$2:$A$3</xm:f>
          </x14:formula1>
          <xm:sqref>B15</xm:sqref>
        </x14:dataValidation>
        <x14:dataValidation type="list" showInputMessage="1" showErrorMessage="1" error="Please answer as Yes or No" prompt="Cleansers are ideal for removing oils, dirt and treating large surface areas." xr:uid="{00000000-0002-0000-1D00-00000A000000}">
          <x14:formula1>
            <xm:f>random!$A$2:$A$3</xm:f>
          </x14:formula1>
          <xm:sqref>B7</xm:sqref>
        </x14:dataValidation>
        <x14:dataValidation type="list" showInputMessage="1" showErrorMessage="1" error="Please answer as Yes or No" prompt="Allow treatment of individualized lesions and may provide a more portable option. " xr:uid="{00000000-0002-0000-1D00-00000B000000}">
          <x14:formula1>
            <xm:f>random!$A$2:$A$3</xm:f>
          </x14:formula1>
          <xm:sqref>B8</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50"/>
  <sheetViews>
    <sheetView workbookViewId="0">
      <selection activeCell="J2" sqref="J2"/>
    </sheetView>
  </sheetViews>
  <sheetFormatPr defaultRowHeight="15"/>
  <cols>
    <col min="1" max="1" width="63.140625" customWidth="1"/>
    <col min="2" max="9" width="11" customWidth="1"/>
    <col min="10" max="10" width="12" customWidth="1"/>
    <col min="11" max="11" width="80.7109375" customWidth="1"/>
  </cols>
  <sheetData>
    <row r="1" spans="1:11">
      <c r="A1" s="70" t="s">
        <v>1248</v>
      </c>
      <c r="B1" t="s">
        <v>726</v>
      </c>
      <c r="C1" t="s">
        <v>730</v>
      </c>
      <c r="D1" t="s">
        <v>923</v>
      </c>
      <c r="E1" t="s">
        <v>812</v>
      </c>
      <c r="F1" t="s">
        <v>596</v>
      </c>
      <c r="G1" t="s">
        <v>924</v>
      </c>
      <c r="H1" t="s">
        <v>399</v>
      </c>
      <c r="I1" t="s">
        <v>931</v>
      </c>
      <c r="J1" t="s">
        <v>688</v>
      </c>
      <c r="K1" t="s">
        <v>381</v>
      </c>
    </row>
    <row r="2" spans="1:11">
      <c r="A2" t="b">
        <f>IF(Table1522[[#This Row],[Column11]],Table1522[[#This Row],[Column12]])</f>
        <v>0</v>
      </c>
      <c r="B2" s="20" t="b">
        <f>AND('Acne Products Criteria'!B14,'Acne Products Criteria'!C13)</f>
        <v>0</v>
      </c>
      <c r="C2" s="17"/>
      <c r="D2" s="17"/>
      <c r="E2" s="17"/>
      <c r="F2" s="17"/>
      <c r="G2" s="17"/>
      <c r="H2" s="20" t="b">
        <f>AND('Acne Products Criteria'!B7,'Acne Products Criteria'!C8)</f>
        <v>0</v>
      </c>
      <c r="I2" s="17"/>
      <c r="J2" t="b">
        <f>AND(Table1522[[#This Row],[Salicylic Acid]:[Spot Treatment]])</f>
        <v>0</v>
      </c>
      <c r="K2" s="28" t="s">
        <v>727</v>
      </c>
    </row>
    <row r="3" spans="1:11">
      <c r="A3" t="b">
        <f>IF(Table1522[[#This Row],[Column11]],Table1522[[#This Row],[Column12]])</f>
        <v>0</v>
      </c>
      <c r="B3" s="20" t="b">
        <f>B2</f>
        <v>0</v>
      </c>
      <c r="C3" s="17"/>
      <c r="D3" s="20" t="b">
        <f>AND('Acne Products Criteria'!B3,'Acne Products Criteria'!C4:C6)</f>
        <v>0</v>
      </c>
      <c r="E3" s="17"/>
      <c r="F3" s="17"/>
      <c r="G3" s="17"/>
      <c r="H3" s="20" t="b">
        <f>H2</f>
        <v>0</v>
      </c>
      <c r="I3" s="17"/>
      <c r="J3" t="b">
        <f>AND(Table1522[[#This Row],[Salicylic Acid]:[Spot Treatment]])</f>
        <v>0</v>
      </c>
      <c r="K3" s="28" t="s">
        <v>728</v>
      </c>
    </row>
    <row r="4" spans="1:11">
      <c r="A4" t="b">
        <f>IF(Table1522[[#This Row],[Column11]],Table1522[[#This Row],[Column12]])</f>
        <v>0</v>
      </c>
      <c r="B4" s="17"/>
      <c r="C4" s="20" t="b">
        <f>AND('Acne Products Criteria'!B13,'Acne Products Criteria'!C14,'Acne Products Criteria'!C15)</f>
        <v>0</v>
      </c>
      <c r="D4" s="17"/>
      <c r="E4" s="20" t="b">
        <f>AND('Acne Products Criteria'!B5,'Acne Products Criteria'!C3:C4,'Acne Products Criteria'!C6)</f>
        <v>0</v>
      </c>
      <c r="F4" s="17"/>
      <c r="G4" s="17"/>
      <c r="H4" s="20" t="b">
        <f>H2</f>
        <v>0</v>
      </c>
      <c r="I4" s="17"/>
      <c r="J4" t="b">
        <f>AND(Table1522[[#This Row],[Salicylic Acid]:[Spot Treatment]])</f>
        <v>0</v>
      </c>
      <c r="K4" s="28" t="s">
        <v>729</v>
      </c>
    </row>
    <row r="5" spans="1:11">
      <c r="A5" t="b">
        <f>IF(Table1522[[#This Row],[Column11]],Table1522[[#This Row],[Column12]])</f>
        <v>0</v>
      </c>
      <c r="B5" s="17"/>
      <c r="C5" s="20" t="b">
        <f>C4</f>
        <v>0</v>
      </c>
      <c r="D5" s="17"/>
      <c r="E5" s="17"/>
      <c r="F5" s="17"/>
      <c r="G5" s="17"/>
      <c r="H5" s="20" t="b">
        <f>H2</f>
        <v>0</v>
      </c>
      <c r="I5" s="17"/>
      <c r="J5" t="b">
        <f>AND(Table1522[[#This Row],[Salicylic Acid]:[Spot Treatment]])</f>
        <v>0</v>
      </c>
      <c r="K5" s="28" t="s">
        <v>731</v>
      </c>
    </row>
    <row r="6" spans="1:11">
      <c r="A6" t="b">
        <f>IF(Table1522[[#This Row],[Column11]],Table1522[[#This Row],[Column12]])</f>
        <v>0</v>
      </c>
      <c r="B6" s="20" t="b">
        <f>B2</f>
        <v>0</v>
      </c>
      <c r="C6" s="17"/>
      <c r="D6" s="17"/>
      <c r="E6" s="17"/>
      <c r="F6" s="17"/>
      <c r="G6" s="20" t="b">
        <f>AND('Acne Products Criteria'!B6,'Acne Products Criteria'!C3:C5)</f>
        <v>0</v>
      </c>
      <c r="H6" s="17"/>
      <c r="I6" s="20" t="b">
        <f>AND('Acne Products Criteria'!B8,'Acne Products Criteria'!C7)</f>
        <v>0</v>
      </c>
      <c r="J6" t="b">
        <f>AND(Table1522[[#This Row],[Salicylic Acid]:[Spot Treatment]])</f>
        <v>0</v>
      </c>
      <c r="K6" s="28" t="s">
        <v>732</v>
      </c>
    </row>
    <row r="7" spans="1:11">
      <c r="A7" t="b">
        <f>IF(Table1522[[#This Row],[Column11]],Table1522[[#This Row],[Column12]])</f>
        <v>0</v>
      </c>
      <c r="B7" s="17"/>
      <c r="C7" s="20" t="b">
        <f>C4</f>
        <v>0</v>
      </c>
      <c r="D7" s="17"/>
      <c r="E7" s="17"/>
      <c r="F7" s="17"/>
      <c r="G7" s="17"/>
      <c r="H7" s="20" t="b">
        <f>H2</f>
        <v>0</v>
      </c>
      <c r="I7" s="17"/>
      <c r="J7" t="b">
        <f>AND(Table1522[[#This Row],[Salicylic Acid]:[Spot Treatment]])</f>
        <v>0</v>
      </c>
      <c r="K7" s="28" t="s">
        <v>733</v>
      </c>
    </row>
    <row r="8" spans="1:11">
      <c r="A8" t="b">
        <f>IF(Table1522[[#This Row],[Column11]],Table1522[[#This Row],[Column12]])</f>
        <v>0</v>
      </c>
      <c r="B8" s="17"/>
      <c r="C8" s="20" t="b">
        <f>C4</f>
        <v>0</v>
      </c>
      <c r="D8" s="17"/>
      <c r="E8" s="17"/>
      <c r="F8" s="17"/>
      <c r="G8" s="17"/>
      <c r="H8" s="17"/>
      <c r="I8" s="20" t="b">
        <f>I6</f>
        <v>0</v>
      </c>
      <c r="J8" t="b">
        <f>AND(Table1522[[#This Row],[Salicylic Acid]:[Spot Treatment]])</f>
        <v>0</v>
      </c>
      <c r="K8" s="28" t="s">
        <v>734</v>
      </c>
    </row>
    <row r="9" spans="1:11">
      <c r="A9" t="b">
        <f>IF(Table1522[[#This Row],[Column11]],Table1522[[#This Row],[Column12]])</f>
        <v>0</v>
      </c>
      <c r="B9" s="17"/>
      <c r="C9" s="20" t="b">
        <f>C4</f>
        <v>0</v>
      </c>
      <c r="D9" s="17"/>
      <c r="E9" s="17"/>
      <c r="F9" s="17"/>
      <c r="G9" s="17"/>
      <c r="H9" s="17"/>
      <c r="I9" s="20" t="b">
        <f>I6</f>
        <v>0</v>
      </c>
      <c r="J9" t="b">
        <f>AND(Table1522[[#This Row],[Salicylic Acid]:[Spot Treatment]])</f>
        <v>0</v>
      </c>
      <c r="K9" s="28" t="s">
        <v>735</v>
      </c>
    </row>
    <row r="10" spans="1:11">
      <c r="A10" t="b">
        <f>IF(Table1522[[#This Row],[Column11]],Table1522[[#This Row],[Column12]])</f>
        <v>0</v>
      </c>
      <c r="B10" s="20" t="b">
        <f>B2</f>
        <v>0</v>
      </c>
      <c r="C10" s="17"/>
      <c r="D10" s="17"/>
      <c r="E10" s="17"/>
      <c r="F10" s="17"/>
      <c r="G10" s="20" t="b">
        <f>G6</f>
        <v>0</v>
      </c>
      <c r="H10" s="17"/>
      <c r="I10" s="20" t="b">
        <f>I6</f>
        <v>0</v>
      </c>
      <c r="J10" t="b">
        <f>AND(Table1522[[#This Row],[Salicylic Acid]:[Spot Treatment]])</f>
        <v>0</v>
      </c>
      <c r="K10" s="28" t="s">
        <v>736</v>
      </c>
    </row>
    <row r="11" spans="1:11">
      <c r="A11" t="b">
        <f>IF(Table1522[[#This Row],[Column11]],Table1522[[#This Row],[Column12]])</f>
        <v>0</v>
      </c>
      <c r="B11" s="20" t="b">
        <f>B2</f>
        <v>0</v>
      </c>
      <c r="C11" s="17"/>
      <c r="D11" s="17"/>
      <c r="E11" s="17"/>
      <c r="F11" s="17"/>
      <c r="G11" s="17"/>
      <c r="H11" s="17"/>
      <c r="I11" s="20" t="b">
        <f>I6</f>
        <v>0</v>
      </c>
      <c r="J11" t="b">
        <f>AND(Table1522[[#This Row],[Salicylic Acid]:[Spot Treatment]])</f>
        <v>0</v>
      </c>
      <c r="K11" s="28" t="s">
        <v>737</v>
      </c>
    </row>
    <row r="12" spans="1:11">
      <c r="A12" s="16" t="e">
        <f>IF(Table1522[[#This Row],[Column11]],Table1522[[#This Row],[Column12]])</f>
        <v>#VALUE!</v>
      </c>
      <c r="B12" s="16"/>
      <c r="C12" s="16"/>
      <c r="D12" s="16"/>
      <c r="E12" s="16"/>
      <c r="F12" s="16"/>
      <c r="G12" s="16"/>
      <c r="H12" s="16"/>
      <c r="I12" s="16"/>
      <c r="J12" s="16" t="e">
        <f>AND(Table1522[[#This Row],[Salicylic Acid]:[Spot Treatment]])</f>
        <v>#VALUE!</v>
      </c>
      <c r="K12" s="16"/>
    </row>
    <row r="13" spans="1:11">
      <c r="A13" t="b">
        <f>IF(Table1522[[#This Row],[Column11]],Table1522[[#This Row],[Column12]])</f>
        <v>0</v>
      </c>
      <c r="B13" s="17"/>
      <c r="C13" s="20" t="b">
        <f>C4</f>
        <v>0</v>
      </c>
      <c r="D13" s="20" t="b">
        <f>D3</f>
        <v>0</v>
      </c>
      <c r="E13" s="17"/>
      <c r="F13" s="17"/>
      <c r="G13" s="17"/>
      <c r="H13" s="17"/>
      <c r="I13" s="20" t="b">
        <f>I6</f>
        <v>0</v>
      </c>
      <c r="J13" t="b">
        <f>AND(Table1522[[#This Row],[Salicylic Acid]:[Spot Treatment]])</f>
        <v>0</v>
      </c>
      <c r="K13" s="29" t="s">
        <v>738</v>
      </c>
    </row>
    <row r="14" spans="1:11">
      <c r="A14" t="b">
        <f>IF(Table1522[[#This Row],[Column11]],Table1522[[#This Row],[Column12]])</f>
        <v>0</v>
      </c>
      <c r="B14" s="20" t="b">
        <f>B2</f>
        <v>0</v>
      </c>
      <c r="C14" s="17"/>
      <c r="D14" s="17"/>
      <c r="E14" s="17"/>
      <c r="F14" s="20" t="b">
        <f>AND('Acne Products Criteria'!B4,'Acne Products Criteria'!C3,'Acne Products Criteria'!C5:C6)</f>
        <v>0</v>
      </c>
      <c r="G14" s="17"/>
      <c r="H14" s="17"/>
      <c r="I14" s="20" t="b">
        <f>I6</f>
        <v>0</v>
      </c>
      <c r="J14" t="b">
        <f>AND(Table1522[[#This Row],[Salicylic Acid]:[Spot Treatment]])</f>
        <v>0</v>
      </c>
      <c r="K14" s="29" t="s">
        <v>739</v>
      </c>
    </row>
    <row r="15" spans="1:11">
      <c r="A15" t="b">
        <f>IF(Table1522[[#This Row],[Column11]],Table1522[[#This Row],[Column12]])</f>
        <v>0</v>
      </c>
      <c r="B15" s="20" t="b">
        <f>B2</f>
        <v>0</v>
      </c>
      <c r="C15" s="17"/>
      <c r="D15" s="17"/>
      <c r="E15" s="17"/>
      <c r="F15" s="17"/>
      <c r="G15" s="17"/>
      <c r="H15" s="20" t="b">
        <f>H2</f>
        <v>0</v>
      </c>
      <c r="I15" s="17"/>
      <c r="J15" t="b">
        <f>AND(Table1522[[#This Row],[Salicylic Acid]:[Spot Treatment]])</f>
        <v>0</v>
      </c>
      <c r="K15" s="29" t="s">
        <v>740</v>
      </c>
    </row>
    <row r="16" spans="1:11">
      <c r="A16" t="b">
        <f>IF(Table1522[[#This Row],[Column11]],Table1522[[#This Row],[Column12]])</f>
        <v>0</v>
      </c>
      <c r="B16" s="20" t="b">
        <f>B2</f>
        <v>0</v>
      </c>
      <c r="C16" s="17"/>
      <c r="D16" s="17"/>
      <c r="E16" s="17"/>
      <c r="F16" s="17"/>
      <c r="G16" s="20" t="b">
        <f>G6</f>
        <v>0</v>
      </c>
      <c r="H16" s="17"/>
      <c r="I16" s="20" t="b">
        <f>I6</f>
        <v>0</v>
      </c>
      <c r="J16" t="b">
        <f>AND(Table1522[[#This Row],[Salicylic Acid]:[Spot Treatment]])</f>
        <v>0</v>
      </c>
      <c r="K16" s="29" t="s">
        <v>741</v>
      </c>
    </row>
    <row r="17" spans="1:11">
      <c r="A17" t="b">
        <f>IF(Table1522[[#This Row],[Column11]],Table1522[[#This Row],[Column12]])</f>
        <v>0</v>
      </c>
      <c r="B17" s="20" t="b">
        <f>B2</f>
        <v>0</v>
      </c>
      <c r="C17" s="17"/>
      <c r="D17" s="17"/>
      <c r="E17" s="17"/>
      <c r="F17" s="17"/>
      <c r="G17" s="17"/>
      <c r="H17" s="20" t="b">
        <f>H2</f>
        <v>0</v>
      </c>
      <c r="I17" s="17"/>
      <c r="J17" t="b">
        <f>AND(Table1522[[#This Row],[Salicylic Acid]:[Spot Treatment]])</f>
        <v>0</v>
      </c>
      <c r="K17" s="29" t="s">
        <v>742</v>
      </c>
    </row>
    <row r="18" spans="1:11">
      <c r="A18" t="b">
        <f>IF(Table1522[[#This Row],[Column11]],Table1522[[#This Row],[Column12]])</f>
        <v>0</v>
      </c>
      <c r="B18" s="20" t="b">
        <f>B2</f>
        <v>0</v>
      </c>
      <c r="C18" s="17"/>
      <c r="D18" s="17"/>
      <c r="E18" s="17"/>
      <c r="F18" s="17"/>
      <c r="G18" s="20" t="b">
        <f>G6</f>
        <v>0</v>
      </c>
      <c r="H18" s="17"/>
      <c r="I18" s="20" t="b">
        <f>I6</f>
        <v>0</v>
      </c>
      <c r="J18" t="b">
        <f>AND(Table1522[[#This Row],[Salicylic Acid]:[Spot Treatment]])</f>
        <v>0</v>
      </c>
      <c r="K18" s="29" t="s">
        <v>743</v>
      </c>
    </row>
    <row r="19" spans="1:11">
      <c r="A19" t="b">
        <f>IF(Table1522[[#This Row],[Column11]],Table1522[[#This Row],[Column12]])</f>
        <v>0</v>
      </c>
      <c r="B19" s="20" t="b">
        <f>B2</f>
        <v>0</v>
      </c>
      <c r="C19" s="17"/>
      <c r="D19" s="17"/>
      <c r="E19" s="17"/>
      <c r="F19" s="17"/>
      <c r="G19" s="17"/>
      <c r="H19" s="20" t="b">
        <f>H2</f>
        <v>0</v>
      </c>
      <c r="I19" s="17"/>
      <c r="J19" t="b">
        <f>AND(Table1522[[#This Row],[Salicylic Acid]:[Spot Treatment]])</f>
        <v>0</v>
      </c>
      <c r="K19" s="29" t="s">
        <v>744</v>
      </c>
    </row>
    <row r="20" spans="1:11">
      <c r="A20" t="b">
        <f>IF(Table1522[[#This Row],[Column11]],Table1522[[#This Row],[Column12]])</f>
        <v>0</v>
      </c>
      <c r="B20" s="20" t="b">
        <f>B2</f>
        <v>0</v>
      </c>
      <c r="C20" s="17"/>
      <c r="D20" s="17"/>
      <c r="E20" s="17"/>
      <c r="F20" s="17"/>
      <c r="G20" s="17"/>
      <c r="H20" s="20" t="b">
        <f>H2</f>
        <v>0</v>
      </c>
      <c r="I20" s="17"/>
      <c r="J20" t="b">
        <f>AND(Table1522[[#This Row],[Salicylic Acid]:[Spot Treatment]])</f>
        <v>0</v>
      </c>
      <c r="K20" s="29" t="s">
        <v>745</v>
      </c>
    </row>
    <row r="21" spans="1:11">
      <c r="A21" t="b">
        <f>IF(Table1522[[#This Row],[Column11]],Table1522[[#This Row],[Column12]])</f>
        <v>0</v>
      </c>
      <c r="B21" s="20" t="b">
        <f>B2</f>
        <v>0</v>
      </c>
      <c r="C21" s="17"/>
      <c r="D21" s="17"/>
      <c r="E21" s="20" t="b">
        <f>E4</f>
        <v>0</v>
      </c>
      <c r="F21" s="17"/>
      <c r="G21" s="17"/>
      <c r="H21" s="20" t="b">
        <f>H2</f>
        <v>0</v>
      </c>
      <c r="I21" s="17"/>
      <c r="J21" t="b">
        <f>AND(Table1522[[#This Row],[Salicylic Acid]:[Spot Treatment]])</f>
        <v>0</v>
      </c>
      <c r="K21" s="29" t="s">
        <v>746</v>
      </c>
    </row>
    <row r="22" spans="1:11">
      <c r="A22" t="b">
        <f>IF(Table1522[[#This Row],[Column11]],Table1522[[#This Row],[Column12]])</f>
        <v>0</v>
      </c>
      <c r="B22" s="17"/>
      <c r="C22" s="20" t="b">
        <f>C4</f>
        <v>0</v>
      </c>
      <c r="D22" s="20" t="b">
        <f>D3</f>
        <v>0</v>
      </c>
      <c r="E22" s="17"/>
      <c r="F22" s="17"/>
      <c r="G22" s="17"/>
      <c r="H22" s="20" t="b">
        <f>H2</f>
        <v>0</v>
      </c>
      <c r="I22" s="17"/>
      <c r="J22" t="b">
        <f>AND(Table1522[[#This Row],[Salicylic Acid]:[Spot Treatment]])</f>
        <v>0</v>
      </c>
      <c r="K22" s="29" t="s">
        <v>747</v>
      </c>
    </row>
    <row r="23" spans="1:11">
      <c r="A23" t="b">
        <f>IF(Table1522[[#This Row],[Column11]],Table1522[[#This Row],[Column12]])</f>
        <v>0</v>
      </c>
      <c r="B23" s="17"/>
      <c r="C23" s="20" t="b">
        <f>C4</f>
        <v>0</v>
      </c>
      <c r="D23" s="20" t="b">
        <f>D3</f>
        <v>0</v>
      </c>
      <c r="E23" s="17"/>
      <c r="F23" s="17"/>
      <c r="G23" s="17"/>
      <c r="H23" s="17"/>
      <c r="I23" s="20" t="b">
        <f>I6</f>
        <v>0</v>
      </c>
      <c r="J23" t="b">
        <f>AND(Table1522[[#This Row],[Salicylic Acid]:[Spot Treatment]])</f>
        <v>0</v>
      </c>
      <c r="K23" s="29" t="s">
        <v>748</v>
      </c>
    </row>
    <row r="24" spans="1:11">
      <c r="A24" t="b">
        <f>IF(Table1522[[#This Row],[Column11]],Table1522[[#This Row],[Column12]])</f>
        <v>0</v>
      </c>
      <c r="B24" s="20" t="b">
        <f>B2</f>
        <v>0</v>
      </c>
      <c r="C24" s="17"/>
      <c r="D24" s="17"/>
      <c r="E24" s="17"/>
      <c r="F24" s="17"/>
      <c r="G24" s="17"/>
      <c r="H24" s="20" t="b">
        <f>H2</f>
        <v>0</v>
      </c>
      <c r="I24" s="17"/>
      <c r="J24" t="b">
        <f>AND(Table1522[[#This Row],[Salicylic Acid]:[Spot Treatment]])</f>
        <v>0</v>
      </c>
      <c r="K24" s="29" t="s">
        <v>749</v>
      </c>
    </row>
    <row r="25" spans="1:11">
      <c r="A25" t="b">
        <f>IF(Table1522[[#This Row],[Column11]],Table1522[[#This Row],[Column12]])</f>
        <v>0</v>
      </c>
      <c r="B25" s="20" t="b">
        <f>B2</f>
        <v>0</v>
      </c>
      <c r="C25" s="17"/>
      <c r="D25" s="17"/>
      <c r="E25" s="17"/>
      <c r="F25" s="17"/>
      <c r="G25" s="17"/>
      <c r="H25" s="20" t="b">
        <f>H2</f>
        <v>0</v>
      </c>
      <c r="I25" s="17"/>
      <c r="J25" t="b">
        <f>AND(Table1522[[#This Row],[Salicylic Acid]:[Spot Treatment]])</f>
        <v>0</v>
      </c>
      <c r="K25" s="29" t="s">
        <v>750</v>
      </c>
    </row>
    <row r="26" spans="1:11">
      <c r="A26" t="b">
        <f>IF(Table1522[[#This Row],[Column11]],Table1522[[#This Row],[Column12]])</f>
        <v>0</v>
      </c>
      <c r="B26" s="20" t="b">
        <f>B2</f>
        <v>0</v>
      </c>
      <c r="C26" s="17"/>
      <c r="D26" s="17"/>
      <c r="E26" s="17"/>
      <c r="F26" s="17"/>
      <c r="G26" s="20" t="b">
        <f>G6</f>
        <v>0</v>
      </c>
      <c r="H26" s="17"/>
      <c r="I26" s="20" t="b">
        <f>I6</f>
        <v>0</v>
      </c>
      <c r="J26" t="b">
        <f>AND(Table1522[[#This Row],[Salicylic Acid]:[Spot Treatment]])</f>
        <v>0</v>
      </c>
      <c r="K26" s="29" t="s">
        <v>751</v>
      </c>
    </row>
    <row r="27" spans="1:11">
      <c r="A27" s="16" t="e">
        <f>IF(Table1522[[#This Row],[Column11]],Table1522[[#This Row],[Column12]])</f>
        <v>#VALUE!</v>
      </c>
      <c r="B27" s="16"/>
      <c r="C27" s="16"/>
      <c r="D27" s="16"/>
      <c r="E27" s="16"/>
      <c r="F27" s="16"/>
      <c r="G27" s="16"/>
      <c r="H27" s="16"/>
      <c r="I27" s="16"/>
      <c r="J27" s="16" t="e">
        <f>AND(Table1522[[#This Row],[Salicylic Acid]:[Spot Treatment]])</f>
        <v>#VALUE!</v>
      </c>
      <c r="K27" s="16"/>
    </row>
    <row r="28" spans="1:11">
      <c r="A28" t="b">
        <f>IF(Table1522[[#This Row],[Column11]],Table1522[[#This Row],[Column12]])</f>
        <v>0</v>
      </c>
      <c r="B28" s="20" t="b">
        <f>B2</f>
        <v>0</v>
      </c>
      <c r="C28" s="17"/>
      <c r="D28" s="17"/>
      <c r="E28" s="17"/>
      <c r="F28" s="17"/>
      <c r="G28" s="17"/>
      <c r="H28" s="20" t="b">
        <f>H2</f>
        <v>0</v>
      </c>
      <c r="I28" s="17"/>
      <c r="J28" t="b">
        <f>AND(Table1522[[#This Row],[Salicylic Acid]:[Spot Treatment]])</f>
        <v>0</v>
      </c>
      <c r="K28" s="28" t="s">
        <v>752</v>
      </c>
    </row>
    <row r="29" spans="1:11">
      <c r="A29" t="b">
        <f>IF(Table1522[[#This Row],[Column11]],Table1522[[#This Row],[Column12]])</f>
        <v>0</v>
      </c>
      <c r="B29" s="20" t="b">
        <f>B2</f>
        <v>0</v>
      </c>
      <c r="C29" s="17"/>
      <c r="D29" s="17"/>
      <c r="E29" s="17"/>
      <c r="F29" s="17"/>
      <c r="G29" s="17"/>
      <c r="H29" s="20" t="b">
        <f>H2</f>
        <v>0</v>
      </c>
      <c r="I29" s="17"/>
      <c r="J29" t="b">
        <f>AND(Table1522[[#This Row],[Salicylic Acid]:[Spot Treatment]])</f>
        <v>0</v>
      </c>
      <c r="K29" s="28" t="s">
        <v>753</v>
      </c>
    </row>
    <row r="30" spans="1:11">
      <c r="A30" t="b">
        <f>IF(Table1522[[#This Row],[Column11]],Table1522[[#This Row],[Column12]])</f>
        <v>0</v>
      </c>
      <c r="B30" s="20" t="b">
        <f>B2</f>
        <v>0</v>
      </c>
      <c r="C30" s="17"/>
      <c r="D30" s="17"/>
      <c r="E30" s="17"/>
      <c r="F30" s="17"/>
      <c r="G30" s="17"/>
      <c r="H30" s="20" t="b">
        <f>H2</f>
        <v>0</v>
      </c>
      <c r="I30" s="17"/>
      <c r="J30" t="b">
        <f>AND(Table1522[[#This Row],[Salicylic Acid]:[Spot Treatment]])</f>
        <v>0</v>
      </c>
      <c r="K30" s="28" t="s">
        <v>754</v>
      </c>
    </row>
    <row r="31" spans="1:11">
      <c r="A31" t="b">
        <f>IF(Table1522[[#This Row],[Column11]],Table1522[[#This Row],[Column12]])</f>
        <v>0</v>
      </c>
      <c r="B31" s="20" t="b">
        <f>B2</f>
        <v>0</v>
      </c>
      <c r="C31" s="17"/>
      <c r="D31" s="17"/>
      <c r="E31" s="17"/>
      <c r="F31" s="20" t="b">
        <f>F14</f>
        <v>0</v>
      </c>
      <c r="G31" s="17"/>
      <c r="H31" s="20" t="b">
        <f>H2</f>
        <v>0</v>
      </c>
      <c r="I31" s="17"/>
      <c r="J31" t="b">
        <f>AND(Table1522[[#This Row],[Salicylic Acid]:[Spot Treatment]])</f>
        <v>0</v>
      </c>
      <c r="K31" s="28" t="s">
        <v>755</v>
      </c>
    </row>
    <row r="32" spans="1:11">
      <c r="A32" t="b">
        <f>IF(Table1522[[#This Row],[Column11]],Table1522[[#This Row],[Column12]])</f>
        <v>0</v>
      </c>
      <c r="B32" s="17"/>
      <c r="C32" s="20" t="b">
        <f>C4</f>
        <v>0</v>
      </c>
      <c r="D32" s="17"/>
      <c r="E32" s="17"/>
      <c r="F32" s="20" t="b">
        <f>F14</f>
        <v>0</v>
      </c>
      <c r="G32" s="17"/>
      <c r="H32" s="20" t="b">
        <f>H2</f>
        <v>0</v>
      </c>
      <c r="I32" s="17"/>
      <c r="J32" t="b">
        <f>AND(Table1522[[#This Row],[Salicylic Acid]:[Spot Treatment]])</f>
        <v>0</v>
      </c>
      <c r="K32" s="28" t="s">
        <v>756</v>
      </c>
    </row>
    <row r="33" spans="1:11">
      <c r="A33" t="b">
        <f>IF(Table1522[[#This Row],[Column11]],Table1522[[#This Row],[Column12]])</f>
        <v>0</v>
      </c>
      <c r="B33" s="17"/>
      <c r="C33" s="20" t="b">
        <f>C4</f>
        <v>0</v>
      </c>
      <c r="D33" s="17"/>
      <c r="E33" s="17"/>
      <c r="F33" s="17"/>
      <c r="G33" s="17"/>
      <c r="H33" s="20" t="b">
        <f>H2</f>
        <v>0</v>
      </c>
      <c r="I33" s="17"/>
      <c r="J33" t="b">
        <f>AND(Table1522[[#This Row],[Salicylic Acid]:[Spot Treatment]])</f>
        <v>0</v>
      </c>
      <c r="K33" s="28" t="s">
        <v>757</v>
      </c>
    </row>
    <row r="34" spans="1:11">
      <c r="A34" t="b">
        <f>IF(Table1522[[#This Row],[Column11]],Table1522[[#This Row],[Column12]])</f>
        <v>0</v>
      </c>
      <c r="B34" s="20" t="b">
        <f>B2</f>
        <v>0</v>
      </c>
      <c r="C34" s="17"/>
      <c r="D34" s="20" t="b">
        <f>D3</f>
        <v>0</v>
      </c>
      <c r="E34" s="17"/>
      <c r="F34" s="17"/>
      <c r="G34" s="17"/>
      <c r="H34" s="20" t="b">
        <f>H2</f>
        <v>0</v>
      </c>
      <c r="I34" s="17"/>
      <c r="J34" t="b">
        <f>AND(Table1522[[#This Row],[Salicylic Acid]:[Spot Treatment]])</f>
        <v>0</v>
      </c>
      <c r="K34" s="28" t="s">
        <v>758</v>
      </c>
    </row>
    <row r="35" spans="1:11">
      <c r="A35" t="b">
        <f>IF(Table1522[[#This Row],[Column11]],Table1522[[#This Row],[Column12]])</f>
        <v>0</v>
      </c>
      <c r="B35" s="20" t="b">
        <f>B2</f>
        <v>0</v>
      </c>
      <c r="C35" s="17"/>
      <c r="D35" s="17"/>
      <c r="E35" s="17"/>
      <c r="F35" s="17"/>
      <c r="G35" s="17"/>
      <c r="H35" s="20" t="b">
        <f>H2</f>
        <v>0</v>
      </c>
      <c r="I35" s="17"/>
      <c r="J35" t="b">
        <f>AND(Table1522[[#This Row],[Salicylic Acid]:[Spot Treatment]])</f>
        <v>0</v>
      </c>
      <c r="K35" s="28" t="s">
        <v>759</v>
      </c>
    </row>
    <row r="36" spans="1:11">
      <c r="A36" t="b">
        <f>IF(Table1522[[#This Row],[Column11]],Table1522[[#This Row],[Column12]])</f>
        <v>0</v>
      </c>
      <c r="B36" s="20" t="b">
        <f>B2</f>
        <v>0</v>
      </c>
      <c r="C36" s="17"/>
      <c r="D36" s="17"/>
      <c r="E36" s="17"/>
      <c r="F36" s="17"/>
      <c r="G36" s="17"/>
      <c r="H36" s="17"/>
      <c r="I36" s="20" t="b">
        <f>I6</f>
        <v>0</v>
      </c>
      <c r="J36" t="b">
        <f>AND(Table1522[[#This Row],[Salicylic Acid]:[Spot Treatment]])</f>
        <v>0</v>
      </c>
      <c r="K36" s="28" t="s">
        <v>760</v>
      </c>
    </row>
    <row r="37" spans="1:11">
      <c r="A37" t="b">
        <f>IF(Table1522[[#This Row],[Column11]],Table1522[[#This Row],[Column12]])</f>
        <v>0</v>
      </c>
      <c r="B37" s="20" t="b">
        <f>B2</f>
        <v>0</v>
      </c>
      <c r="C37" s="17"/>
      <c r="D37" s="17"/>
      <c r="E37" s="17"/>
      <c r="F37" s="17"/>
      <c r="G37" s="20" t="b">
        <f>G6</f>
        <v>0</v>
      </c>
      <c r="H37" s="20" t="b">
        <f>H2</f>
        <v>0</v>
      </c>
      <c r="I37" s="17"/>
      <c r="J37" t="b">
        <f>AND(Table1522[[#This Row],[Salicylic Acid]:[Spot Treatment]])</f>
        <v>0</v>
      </c>
      <c r="K37" s="28" t="s">
        <v>761</v>
      </c>
    </row>
    <row r="38" spans="1:11">
      <c r="A38" t="b">
        <f>IF(Table1522[[#This Row],[Column11]],Table1522[[#This Row],[Column12]])</f>
        <v>0</v>
      </c>
      <c r="B38" s="20" t="b">
        <f>B2</f>
        <v>0</v>
      </c>
      <c r="C38" s="17"/>
      <c r="D38" s="20" t="b">
        <f>D3</f>
        <v>0</v>
      </c>
      <c r="E38" s="17"/>
      <c r="F38" s="17"/>
      <c r="G38" s="17"/>
      <c r="H38" s="20" t="b">
        <f>H2</f>
        <v>0</v>
      </c>
      <c r="I38" s="17"/>
      <c r="J38" t="b">
        <f>AND(Table1522[[#This Row],[Salicylic Acid]:[Spot Treatment]])</f>
        <v>0</v>
      </c>
      <c r="K38" s="28" t="s">
        <v>762</v>
      </c>
    </row>
    <row r="39" spans="1:11">
      <c r="A39" t="b">
        <f>IF(Table1522[[#This Row],[Column11]],Table1522[[#This Row],[Column12]])</f>
        <v>0</v>
      </c>
      <c r="B39" s="20" t="b">
        <f>B2</f>
        <v>0</v>
      </c>
      <c r="C39" s="17"/>
      <c r="D39" s="17"/>
      <c r="E39" s="17"/>
      <c r="F39" s="17"/>
      <c r="G39" s="20" t="b">
        <f>G6</f>
        <v>0</v>
      </c>
      <c r="H39" s="20" t="b">
        <f>H2</f>
        <v>0</v>
      </c>
      <c r="I39" s="17"/>
      <c r="J39" t="b">
        <f>AND(Table1522[[#This Row],[Salicylic Acid]:[Spot Treatment]])</f>
        <v>0</v>
      </c>
      <c r="K39" s="28" t="s">
        <v>763</v>
      </c>
    </row>
    <row r="40" spans="1:11">
      <c r="A40" t="b">
        <f>IF(Table1522[[#This Row],[Column11]],Table1522[[#This Row],[Column12]])</f>
        <v>0</v>
      </c>
      <c r="B40" s="20" t="b">
        <f>B2</f>
        <v>0</v>
      </c>
      <c r="C40" s="17"/>
      <c r="D40" s="17"/>
      <c r="E40" s="17"/>
      <c r="F40" s="17"/>
      <c r="G40" s="20" t="b">
        <f>G6</f>
        <v>0</v>
      </c>
      <c r="H40" s="20" t="b">
        <f>H2</f>
        <v>0</v>
      </c>
      <c r="I40" s="17"/>
      <c r="J40" t="b">
        <f>AND(Table1522[[#This Row],[Salicylic Acid]:[Spot Treatment]])</f>
        <v>0</v>
      </c>
      <c r="K40" s="28" t="s">
        <v>764</v>
      </c>
    </row>
    <row r="41" spans="1:11">
      <c r="A41" t="b">
        <f>IF(Table1522[[#This Row],[Column11]],Table1522[[#This Row],[Column12]])</f>
        <v>0</v>
      </c>
      <c r="B41" s="20" t="b">
        <f>B2</f>
        <v>0</v>
      </c>
      <c r="C41" s="17"/>
      <c r="D41" s="17"/>
      <c r="E41" s="17"/>
      <c r="F41" s="17"/>
      <c r="G41" s="17"/>
      <c r="H41" s="20" t="b">
        <f>H2</f>
        <v>0</v>
      </c>
      <c r="I41" s="17"/>
      <c r="J41" t="b">
        <f>AND(Table1522[[#This Row],[Salicylic Acid]:[Spot Treatment]])</f>
        <v>0</v>
      </c>
      <c r="K41" s="28" t="s">
        <v>765</v>
      </c>
    </row>
    <row r="42" spans="1:11">
      <c r="A42" s="16" t="e">
        <f>IF(Table1522[[#This Row],[Column11]],Table1522[[#This Row],[Column12]])</f>
        <v>#VALUE!</v>
      </c>
      <c r="B42" s="16"/>
      <c r="C42" s="16"/>
      <c r="D42" s="16"/>
      <c r="E42" s="16"/>
      <c r="F42" s="16"/>
      <c r="G42" s="16"/>
      <c r="H42" s="16"/>
      <c r="I42" s="16"/>
      <c r="J42" s="16" t="e">
        <f>AND(Table1522[[#This Row],[Salicylic Acid]:[Spot Treatment]])</f>
        <v>#VALUE!</v>
      </c>
      <c r="K42" s="16"/>
    </row>
    <row r="43" spans="1:11">
      <c r="A43" t="e">
        <f>IF(Table1522[[#This Row],[Column11]],Table1522[[#This Row],[Column12]])</f>
        <v>#VALUE!</v>
      </c>
      <c r="J43" t="e">
        <f>AND(Table1522[[#This Row],[Salicylic Acid]:[Spot Treatment]])</f>
        <v>#VALUE!</v>
      </c>
    </row>
    <row r="44" spans="1:11">
      <c r="A44" t="e">
        <f>IF(Table1522[[#This Row],[Column11]],Table1522[[#This Row],[Column12]])</f>
        <v>#VALUE!</v>
      </c>
      <c r="J44" t="e">
        <f>AND(Table1522[[#This Row],[Salicylic Acid]:[Spot Treatment]])</f>
        <v>#VALUE!</v>
      </c>
    </row>
    <row r="45" spans="1:11">
      <c r="A45" t="e">
        <f>IF(Table1522[[#This Row],[Column11]],Table1522[[#This Row],[Column12]])</f>
        <v>#VALUE!</v>
      </c>
      <c r="J45" t="e">
        <f>AND(Table1522[[#This Row],[Salicylic Acid]:[Spot Treatment]])</f>
        <v>#VALUE!</v>
      </c>
    </row>
    <row r="46" spans="1:11">
      <c r="A46" t="e">
        <f>IF(Table1522[[#This Row],[Column11]],Table1522[[#This Row],[Column12]])</f>
        <v>#VALUE!</v>
      </c>
      <c r="J46" t="e">
        <f>AND(Table1522[[#This Row],[Salicylic Acid]:[Spot Treatment]])</f>
        <v>#VALUE!</v>
      </c>
    </row>
    <row r="47" spans="1:11">
      <c r="A47" t="e">
        <f>IF(Table1522[[#This Row],[Column11]],Table1522[[#This Row],[Column12]])</f>
        <v>#VALUE!</v>
      </c>
      <c r="J47" t="e">
        <f>AND(Table1522[[#This Row],[Salicylic Acid]:[Spot Treatment]])</f>
        <v>#VALUE!</v>
      </c>
    </row>
    <row r="48" spans="1:11">
      <c r="A48" t="e">
        <f>IF(Table1522[[#This Row],[Column11]],Table1522[[#This Row],[Column12]])</f>
        <v>#VALUE!</v>
      </c>
      <c r="J48" t="e">
        <f>AND(Table1522[[#This Row],[Salicylic Acid]:[Spot Treatment]])</f>
        <v>#VALUE!</v>
      </c>
    </row>
    <row r="49" spans="1:10">
      <c r="A49" t="e">
        <f>IF(Table1522[[#This Row],[Column11]],Table1522[[#This Row],[Column12]])</f>
        <v>#VALUE!</v>
      </c>
      <c r="J49" t="e">
        <f>AND(Table1522[[#This Row],[Salicylic Acid]:[Spot Treatment]])</f>
        <v>#VALUE!</v>
      </c>
    </row>
    <row r="50" spans="1:10">
      <c r="A50" t="e">
        <f>IF(Table1522[[#This Row],[Column11]],Table1522[[#This Row],[Column12]])</f>
        <v>#VALUE!</v>
      </c>
      <c r="J50" t="e">
        <f>AND(Table1522[[#This Row],[Salicylic Acid]:[Spot Treatment]])</f>
        <v>#VALUE!</v>
      </c>
    </row>
  </sheetData>
  <hyperlinks>
    <hyperlink ref="K2" r:id="rId1" xr:uid="{00000000-0004-0000-1E00-000000000000}"/>
    <hyperlink ref="K3" r:id="rId2" xr:uid="{00000000-0004-0000-1E00-000001000000}"/>
    <hyperlink ref="K4" r:id="rId3" xr:uid="{00000000-0004-0000-1E00-000002000000}"/>
    <hyperlink ref="K5" r:id="rId4" xr:uid="{00000000-0004-0000-1E00-000003000000}"/>
    <hyperlink ref="K6" r:id="rId5" xr:uid="{00000000-0004-0000-1E00-000004000000}"/>
    <hyperlink ref="K7" r:id="rId6" xr:uid="{00000000-0004-0000-1E00-000005000000}"/>
    <hyperlink ref="K8" r:id="rId7" xr:uid="{00000000-0004-0000-1E00-000006000000}"/>
    <hyperlink ref="K9" r:id="rId8" xr:uid="{00000000-0004-0000-1E00-000007000000}"/>
    <hyperlink ref="K10" r:id="rId9" xr:uid="{00000000-0004-0000-1E00-000008000000}"/>
    <hyperlink ref="K11" r:id="rId10" xr:uid="{00000000-0004-0000-1E00-000009000000}"/>
    <hyperlink ref="K13" r:id="rId11" display="Rapid Rescue Spot Treatment Cream" xr:uid="{00000000-0004-0000-1E00-00000A000000}"/>
    <hyperlink ref="K14" r:id="rId12" xr:uid="{00000000-0004-0000-1E00-00000B000000}"/>
    <hyperlink ref="K15" r:id="rId13" xr:uid="{00000000-0004-0000-1E00-00000C000000}"/>
    <hyperlink ref="K16" r:id="rId14" xr:uid="{00000000-0004-0000-1E00-00000D000000}"/>
    <hyperlink ref="K17" r:id="rId15" xr:uid="{00000000-0004-0000-1E00-00000E000000}"/>
    <hyperlink ref="K18" r:id="rId16" xr:uid="{00000000-0004-0000-1E00-00000F000000}"/>
    <hyperlink ref="K19" r:id="rId17" xr:uid="{00000000-0004-0000-1E00-000010000000}"/>
    <hyperlink ref="K20" r:id="rId18" xr:uid="{00000000-0004-0000-1E00-000011000000}"/>
    <hyperlink ref="K21" r:id="rId19" xr:uid="{00000000-0004-0000-1E00-000012000000}"/>
    <hyperlink ref="K22" r:id="rId20" xr:uid="{00000000-0004-0000-1E00-000013000000}"/>
    <hyperlink ref="K23" r:id="rId21" xr:uid="{00000000-0004-0000-1E00-000014000000}"/>
    <hyperlink ref="K24" r:id="rId22" xr:uid="{00000000-0004-0000-1E00-000015000000}"/>
    <hyperlink ref="K25" r:id="rId23" xr:uid="{00000000-0004-0000-1E00-000016000000}"/>
    <hyperlink ref="K26" r:id="rId24" xr:uid="{00000000-0004-0000-1E00-000017000000}"/>
    <hyperlink ref="K28" r:id="rId25" display="https://www.cleanandclear.ca/products/treatments/clean-clear-acne-triple-clear-clay-mask" xr:uid="{00000000-0004-0000-1E00-000018000000}"/>
    <hyperlink ref="K29" r:id="rId26" display="https://www.cleanandclear.ca/products/cleansers/acne-triple-clear-bubble-foam-cleanser" xr:uid="{00000000-0004-0000-1E00-000019000000}"/>
    <hyperlink ref="K30" r:id="rId27" display="https://www.cleanandclear.ca/products/scrubs/acne-triple-clear-exfoliating-scrub" xr:uid="{00000000-0004-0000-1E00-00001A000000}"/>
    <hyperlink ref="K31" r:id="rId28" display="https://www.cleanandclear.ca/products/cleansers/acne-triple-clear-gel-cleanser" xr:uid="{00000000-0004-0000-1E00-00001B000000}"/>
    <hyperlink ref="K32" r:id="rId29" display="https://www.cleanandclear.ca/products/treatments/clean-clear-persa-gel-5" xr:uid="{00000000-0004-0000-1E00-00001C000000}"/>
    <hyperlink ref="K33" r:id="rId30" display="https://www.cleanandclear.ca/products/facial-cleansers/continuous-control-acne-cleanser" xr:uid="{00000000-0004-0000-1E00-00001D000000}"/>
    <hyperlink ref="K34" r:id="rId31" display="https://www.cleanandclear.ca/products/moisturizers/advantage-acne-control-moisturizer" xr:uid="{00000000-0004-0000-1E00-00001E000000}"/>
    <hyperlink ref="K35" r:id="rId32" display="https://www.cleanandclear.ca/products/facial-cleansers/advantage-3-in-1-foaming-acne-wash" xr:uid="{00000000-0004-0000-1E00-00001F000000}"/>
    <hyperlink ref="K36" r:id="rId33" display="https://www.cleanandclear.ca/products/acne-treatments/advantage-acne-spot-treatment" xr:uid="{00000000-0004-0000-1E00-000020000000}"/>
    <hyperlink ref="K37" r:id="rId34" display="https://www.cleanandclear.ca/products/astringents/clean-clear-blackhead-clearing-astringent" xr:uid="{00000000-0004-0000-1E00-000021000000}"/>
    <hyperlink ref="K38" r:id="rId35" display="https://www.cleanandclear.ca/products/moisturizers/essentials-dual-action-moisturizer" xr:uid="{00000000-0004-0000-1E00-000022000000}"/>
    <hyperlink ref="K39" r:id="rId36" display="https://www.cleanandclear.ca/products/astringents-toners/essentials-deep-cleaning-astringent" xr:uid="{00000000-0004-0000-1E00-000023000000}"/>
    <hyperlink ref="K40" r:id="rId37" display="https://www.cleanandclear.ca/products/astringents-toners/essentials-deep-cleaning-toner-sensitive-skin" xr:uid="{00000000-0004-0000-1E00-000024000000}"/>
    <hyperlink ref="K41" r:id="rId38" display="https://www.cleanandclear.ca/products/facial-scrubs/blackhead-eraser-scrub" xr:uid="{00000000-0004-0000-1E00-000025000000}"/>
  </hyperlinks>
  <pageMargins left="0.7" right="0.7" top="0.75" bottom="0.75" header="0.3" footer="0.3"/>
  <pageSetup orientation="portrait" r:id="rId39"/>
  <tableParts count="1">
    <tablePart r:id="rId40"/>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10"/>
  <sheetViews>
    <sheetView workbookViewId="0">
      <selection activeCell="J19" sqref="J19"/>
    </sheetView>
  </sheetViews>
  <sheetFormatPr defaultRowHeight="15"/>
  <cols>
    <col min="1" max="1" width="56.85546875" customWidth="1"/>
    <col min="3" max="4" width="9.140625" style="87"/>
    <col min="5" max="5" width="17.140625" customWidth="1"/>
  </cols>
  <sheetData>
    <row r="1" spans="1:5" ht="15.75" thickTop="1">
      <c r="A1" s="3" t="s">
        <v>15</v>
      </c>
      <c r="B1" s="7" t="s">
        <v>18</v>
      </c>
      <c r="E1" s="8" t="s">
        <v>19</v>
      </c>
    </row>
    <row r="2" spans="1:5" ht="15.75" thickBot="1">
      <c r="B2" s="4"/>
      <c r="E2" s="4"/>
    </row>
    <row r="3" spans="1:5" ht="15.75" thickBot="1">
      <c r="A3" s="158" t="s">
        <v>807</v>
      </c>
      <c r="B3" s="33" t="b">
        <v>0</v>
      </c>
      <c r="C3" s="87" t="b">
        <f>NOT(B3)</f>
        <v>1</v>
      </c>
      <c r="D3" s="87" t="b">
        <f>AND(B4,C9,OR(B7:C7))</f>
        <v>0</v>
      </c>
      <c r="E3" s="4" t="b">
        <f>IF(D3,random!O7)</f>
        <v>0</v>
      </c>
    </row>
    <row r="4" spans="1:5" ht="15.75" thickBot="1">
      <c r="A4" s="158" t="s">
        <v>800</v>
      </c>
      <c r="B4" s="33" t="b">
        <v>0</v>
      </c>
      <c r="C4" s="87" t="b">
        <f t="shared" ref="C4:C6" si="0">NOT(B4)</f>
        <v>1</v>
      </c>
      <c r="D4" s="87" t="b">
        <f>AND(B3,C8,OR(B7:C7))</f>
        <v>0</v>
      </c>
      <c r="E4" s="4" t="b">
        <f>IF(D4,random!O8)</f>
        <v>0</v>
      </c>
    </row>
    <row r="5" spans="1:5" ht="15.75" thickBot="1">
      <c r="A5" s="158" t="s">
        <v>801</v>
      </c>
      <c r="B5" s="33" t="b">
        <v>0</v>
      </c>
      <c r="C5" s="87" t="b">
        <f t="shared" si="0"/>
        <v>1</v>
      </c>
      <c r="D5" s="87" t="b">
        <f>AND(B5,B7)</f>
        <v>0</v>
      </c>
      <c r="E5" s="4" t="b">
        <f>IF(D5,random!O9)</f>
        <v>0</v>
      </c>
    </row>
    <row r="6" spans="1:5" ht="15.75" thickBot="1">
      <c r="A6" s="158" t="s">
        <v>2016</v>
      </c>
      <c r="B6" s="33" t="b">
        <v>0</v>
      </c>
      <c r="C6" s="87" t="b">
        <f t="shared" si="0"/>
        <v>1</v>
      </c>
      <c r="D6" s="87" t="b">
        <f>AND(B6)</f>
        <v>0</v>
      </c>
      <c r="E6" s="48" t="b">
        <f>IF(D6,random!O10)</f>
        <v>0</v>
      </c>
    </row>
    <row r="7" spans="1:5" ht="15.75" thickBot="1">
      <c r="A7" s="1" t="s">
        <v>802</v>
      </c>
      <c r="B7" s="33" t="b">
        <v>1</v>
      </c>
      <c r="C7" s="87" t="b">
        <f>NOT(B7)</f>
        <v>0</v>
      </c>
      <c r="E7" s="2"/>
    </row>
    <row r="8" spans="1:5" ht="15.75" thickBot="1">
      <c r="A8" s="161" t="s">
        <v>806</v>
      </c>
      <c r="B8" s="33" t="b">
        <v>0</v>
      </c>
      <c r="C8" s="87" t="b">
        <f>NOT(B8)</f>
        <v>1</v>
      </c>
      <c r="E8" s="2"/>
    </row>
    <row r="9" spans="1:5" ht="15.75" thickBot="1">
      <c r="A9" s="161" t="s">
        <v>805</v>
      </c>
      <c r="B9" s="33" t="b">
        <v>0</v>
      </c>
      <c r="C9" s="87" t="b">
        <f>NOT(B9)</f>
        <v>1</v>
      </c>
      <c r="E9" s="2"/>
    </row>
    <row r="10" spans="1:5" ht="15.75" thickBot="1">
      <c r="A10" s="161" t="s">
        <v>2013</v>
      </c>
      <c r="B10" s="33" t="b">
        <v>0</v>
      </c>
      <c r="C10" s="87" t="b">
        <f>NOT(B10)</f>
        <v>1</v>
      </c>
    </row>
  </sheetData>
  <dataValidations count="1">
    <dataValidation allowBlank="1" showInputMessage="1" showErrorMessage="1" prompt="Consult your physician if unsure" sqref="A3:A10" xr:uid="{00000000-0002-0000-1F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8">
        <x14:dataValidation type="list" showInputMessage="1" showErrorMessage="1" error="Please answer as Yes or No" prompt="Cosult your pharmacist if unsure" xr:uid="{00000000-0002-0000-1F00-000001000000}">
          <x14:formula1>
            <xm:f>random!$A$2:$A$3</xm:f>
          </x14:formula1>
          <xm:sqref>B7</xm:sqref>
        </x14:dataValidation>
        <x14:dataValidation type="list" showInputMessage="1" showErrorMessage="1" error="Please answer as Yes or No" prompt="Swimmer's ear symptoms include ear discomfort, itch or pain and discharge in or from the ear. " xr:uid="{00000000-0002-0000-1F00-000002000000}">
          <x14:formula1>
            <xm:f>random!$A$2:$A$3</xm:f>
          </x14:formula1>
          <xm:sqref>B4</xm:sqref>
        </x14:dataValidation>
        <x14:dataValidation type="list" showInputMessage="1" showErrorMessage="1" error="Please answer as Yes or No" prompt="Symptoms include ear fullness, itching and/or reduced hearing. Consult your physician if abnormal symptoms, ear pain, ear drainage or rash in the ear. Consult your physician for unresolved symptoms despite 4-5 days of non-prescription therapy. " xr:uid="{00000000-0002-0000-1F00-000003000000}">
          <x14:formula1>
            <xm:f>random!$A$2:$A$3</xm:f>
          </x14:formula1>
          <xm:sqref>B5</xm:sqref>
        </x14:dataValidation>
        <x14:dataValidation type="list" showInputMessage="1" showErrorMessage="1" error="Please answer as Yes or No" prompt="Some products may be formulated with anesthetic to provide pain relief." xr:uid="{00000000-0002-0000-1F00-000004000000}">
          <x14:formula1>
            <xm:f>random!$A$2:$A$3</xm:f>
          </x14:formula1>
          <xm:sqref>B3</xm:sqref>
        </x14:dataValidation>
        <x14:dataValidation type="list" showInputMessage="1" showErrorMessage="1" error="Please answer as Yes or No" prompt="Avoid use of products with anesthetics if you have experienced sensitivity or irritation with lidocaine or benzocaine. " xr:uid="{00000000-0002-0000-1F00-000005000000}">
          <x14:formula1>
            <xm:f>random!$A$2:$A$3</xm:f>
          </x14:formula1>
          <xm:sqref>B8</xm:sqref>
        </x14:dataValidation>
        <x14:dataValidation type="list" showInputMessage="1" showErrorMessage="1" error="Please answer as Yes or No" prompt="Avoid use of products with preservatives if you have experienced sensitivity or irritation with benzalkonium chloride. " xr:uid="{00000000-0002-0000-1F00-000006000000}">
          <x14:formula1>
            <xm:f>random!$A$2:$A$3</xm:f>
          </x14:formula1>
          <xm:sqref>B9</xm:sqref>
        </x14:dataValidation>
        <x14:dataValidation type="list" showInputMessage="1" showErrorMessage="1" error="Please answer as Yes or No" prompt="Avoid use of products with peanut oil if you have experienced sensitivity, irritation or severe reactions to peanuts. " xr:uid="{F9305F92-127B-4227-A4FD-DA32646EF83B}">
          <x14:formula1>
            <xm:f>random!$A$2:$A$3</xm:f>
          </x14:formula1>
          <xm:sqref>B10</xm:sqref>
        </x14:dataValidation>
        <x14:dataValidation type="list" showInputMessage="1" showErrorMessage="1" error="Please answer as Yes or No" prompt="Symptoms include ear fullness and reduced hearing. Use may prevent ear infection. Consult your physician if abnormal symptoms, ear pain, ear drainage or rash in the ear. Consult your physician for unresolved symptoms despite non-prescription therapy. " xr:uid="{B1FCB090-9DB2-49D5-9B28-49D232172CEB}">
          <x14:formula1>
            <xm:f>random!$A$2:$A$3</xm:f>
          </x14:formula1>
          <xm:sqref>B6</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H14"/>
  <sheetViews>
    <sheetView workbookViewId="0">
      <selection activeCell="G2" sqref="G2"/>
    </sheetView>
  </sheetViews>
  <sheetFormatPr defaultRowHeight="15"/>
  <cols>
    <col min="1" max="1" width="27.5703125" customWidth="1"/>
    <col min="2" max="6" width="11" customWidth="1"/>
    <col min="7" max="7" width="12" customWidth="1"/>
    <col min="8" max="8" width="48.140625" customWidth="1"/>
  </cols>
  <sheetData>
    <row r="1" spans="1:8">
      <c r="A1" s="70" t="s">
        <v>1248</v>
      </c>
      <c r="B1" t="s">
        <v>680</v>
      </c>
      <c r="C1" t="s">
        <v>362</v>
      </c>
      <c r="D1" t="s">
        <v>2014</v>
      </c>
      <c r="E1" t="s">
        <v>2017</v>
      </c>
      <c r="F1" t="s">
        <v>789</v>
      </c>
      <c r="G1" t="s">
        <v>688</v>
      </c>
      <c r="H1" t="s">
        <v>381</v>
      </c>
    </row>
    <row r="2" spans="1:8">
      <c r="A2" t="b">
        <f>IF(Table16[[#This Row],[Column11]],Table16[[#This Row],[Column12]])</f>
        <v>0</v>
      </c>
      <c r="B2" s="20" t="b">
        <f>AND('Ear Product Criteria'!B4,'Ear Product Criteria'!C5:C6,'Ear Product Criteria'!C9,OR('Ear Product Criteria'!B7:C7))</f>
        <v>0</v>
      </c>
      <c r="C2" s="20" t="b">
        <f>AND('Ear Product Criteria'!B3,'Ear Product Criteria'!C5:C6,'Ear Product Criteria'!C8,OR('Ear Product Criteria'!B7:C7))</f>
        <v>0</v>
      </c>
      <c r="D2" s="17" t="b">
        <f>OR('Ear Product Criteria'!B10:C10)</f>
        <v>1</v>
      </c>
      <c r="E2" s="17"/>
      <c r="F2" s="17"/>
      <c r="G2" t="b">
        <f>AND(Table16[[#This Row],[Antibiotic]:[Solvent]])</f>
        <v>0</v>
      </c>
      <c r="H2" s="28" t="s">
        <v>785</v>
      </c>
    </row>
    <row r="3" spans="1:8">
      <c r="A3" t="b">
        <f>IF(Table16[[#This Row],[Column11]],Table16[[#This Row],[Column12]])</f>
        <v>0</v>
      </c>
      <c r="B3" s="20" t="b">
        <f>B2</f>
        <v>0</v>
      </c>
      <c r="C3" s="17"/>
      <c r="D3" s="17" t="b">
        <f>D2</f>
        <v>1</v>
      </c>
      <c r="E3" s="17"/>
      <c r="F3" s="17"/>
      <c r="G3" t="b">
        <f>AND(Table16[[#This Row],[Antibiotic]:[Solvent]])</f>
        <v>0</v>
      </c>
      <c r="H3" s="28" t="s">
        <v>786</v>
      </c>
    </row>
    <row r="4" spans="1:8">
      <c r="A4" s="16" t="e">
        <f>IF(Table16[[#This Row],[Column11]],Table16[[#This Row],[Column12]])</f>
        <v>#VALUE!</v>
      </c>
      <c r="B4" s="16"/>
      <c r="C4" s="16"/>
      <c r="D4" s="16"/>
      <c r="E4" s="16"/>
      <c r="F4" s="16"/>
      <c r="G4" s="16" t="e">
        <f>AND(Table16[[#This Row],[Antibiotic]:[Solvent]])</f>
        <v>#VALUE!</v>
      </c>
      <c r="H4" s="16"/>
    </row>
    <row r="5" spans="1:8">
      <c r="A5" t="b">
        <f>IF(Table16[[#This Row],[Column11]],Table16[[#This Row],[Column12]])</f>
        <v>0</v>
      </c>
      <c r="B5" s="17"/>
      <c r="C5" s="20" t="b">
        <f>C2</f>
        <v>0</v>
      </c>
      <c r="D5" s="207" t="b">
        <f>D2</f>
        <v>1</v>
      </c>
      <c r="E5" s="207"/>
      <c r="F5" s="17"/>
      <c r="G5" t="b">
        <f>AND(Table16[[#This Row],[Antibiotic]:[Solvent]])</f>
        <v>0</v>
      </c>
      <c r="H5" s="11" t="s">
        <v>787</v>
      </c>
    </row>
    <row r="6" spans="1:8">
      <c r="A6" s="16" t="e">
        <f>IF(Table16[[#This Row],[Column11]],Table16[[#This Row],[Column12]])</f>
        <v>#VALUE!</v>
      </c>
      <c r="B6" s="16"/>
      <c r="C6" s="16"/>
      <c r="D6" s="16"/>
      <c r="E6" s="16"/>
      <c r="F6" s="16"/>
      <c r="G6" s="16" t="e">
        <f>AND(Table16[[#This Row],[Antibiotic]:[Solvent]])</f>
        <v>#VALUE!</v>
      </c>
      <c r="H6" s="16"/>
    </row>
    <row r="7" spans="1:8">
      <c r="A7" t="b">
        <f>IF(Table16[[#This Row],[Column11]],Table16[[#This Row],[Column12]])</f>
        <v>0</v>
      </c>
      <c r="B7" s="20" t="b">
        <f>B2</f>
        <v>0</v>
      </c>
      <c r="C7" s="17"/>
      <c r="D7" s="17" t="b">
        <f>D2</f>
        <v>1</v>
      </c>
      <c r="E7" s="17"/>
      <c r="F7" s="17"/>
      <c r="G7" t="b">
        <f>AND(Table16[[#This Row],[Antibiotic]:[Solvent]])</f>
        <v>0</v>
      </c>
      <c r="H7" s="29" t="s">
        <v>788</v>
      </c>
    </row>
    <row r="8" spans="1:8">
      <c r="A8" s="16" t="e">
        <f>IF(Table16[[#This Row],[Column11]],Table16[[#This Row],[Column12]])</f>
        <v>#VALUE!</v>
      </c>
      <c r="B8" s="16"/>
      <c r="C8" s="16"/>
      <c r="D8" s="16" t="e">
        <f>OR('Ear Product Criteria'!B16:C16)</f>
        <v>#VALUE!</v>
      </c>
      <c r="E8" s="16"/>
      <c r="F8" s="16"/>
      <c r="G8" s="16" t="e">
        <f>AND(Table16[[#This Row],[Antibiotic]:[Solvent]])</f>
        <v>#VALUE!</v>
      </c>
      <c r="H8" s="16"/>
    </row>
    <row r="9" spans="1:8">
      <c r="A9" t="b">
        <f>IF(Table16[[#This Row],[Column11]],Table16[[#This Row],[Column12]])</f>
        <v>0</v>
      </c>
      <c r="B9" s="17"/>
      <c r="C9" s="17"/>
      <c r="D9" s="20" t="b">
        <f>AND('Ear Product Criteria'!C10)</f>
        <v>1</v>
      </c>
      <c r="E9" s="17"/>
      <c r="F9" s="20" t="b">
        <f>AND('Ear Product Criteria'!B5,'Ear Product Criteria'!B7,'Ear Product Criteria'!C4,'Ear Product Criteria'!C6)</f>
        <v>0</v>
      </c>
      <c r="G9" t="b">
        <f>AND(Table16[[#This Row],[Antibiotic]:[Solvent]])</f>
        <v>0</v>
      </c>
      <c r="H9" s="11" t="s">
        <v>790</v>
      </c>
    </row>
    <row r="10" spans="1:8">
      <c r="A10" s="16" t="e">
        <f>IF(Table16[[#This Row],[Column11]],Table16[[#This Row],[Column12]])</f>
        <v>#VALUE!</v>
      </c>
      <c r="B10" s="16"/>
      <c r="C10" s="16"/>
      <c r="D10" s="16"/>
      <c r="E10" s="16"/>
      <c r="F10" s="16"/>
      <c r="G10" s="16" t="e">
        <f>AND(Table16[[#This Row],[Antibiotic]:[Solvent]])</f>
        <v>#VALUE!</v>
      </c>
      <c r="H10" s="16"/>
    </row>
    <row r="11" spans="1:8">
      <c r="A11" t="b">
        <f>IF(Table16[[#This Row],[Column11]],Table16[[#This Row],[Column12]])</f>
        <v>0</v>
      </c>
      <c r="B11" s="17"/>
      <c r="C11" s="17"/>
      <c r="D11" s="17" t="b">
        <f>D2</f>
        <v>1</v>
      </c>
      <c r="E11" s="17"/>
      <c r="F11" s="20" t="b">
        <f>F9</f>
        <v>0</v>
      </c>
      <c r="G11" t="b">
        <f>AND(Table16[[#This Row],[Antibiotic]:[Solvent]])</f>
        <v>0</v>
      </c>
      <c r="H11" s="29" t="s">
        <v>791</v>
      </c>
    </row>
    <row r="12" spans="1:8">
      <c r="A12" s="16" t="e">
        <f>IF(Table16[[#This Row],[Column11]],Table16[[#This Row],[Column12]])</f>
        <v>#VALUE!</v>
      </c>
      <c r="B12" s="16"/>
      <c r="C12" s="16"/>
      <c r="D12" s="16" t="e">
        <f>OR('Ear Product Criteria'!B19:C19)</f>
        <v>#VALUE!</v>
      </c>
      <c r="E12" s="16"/>
      <c r="F12" s="16"/>
      <c r="G12" s="16" t="e">
        <f>AND(Table16[[#This Row],[Antibiotic]:[Solvent]])</f>
        <v>#VALUE!</v>
      </c>
      <c r="H12" s="16"/>
    </row>
    <row r="13" spans="1:8">
      <c r="A13" s="21" t="b">
        <f>IF(Table16[[#This Row],[Column11]],Table16[[#This Row],[Column12]])</f>
        <v>0</v>
      </c>
      <c r="B13" s="17"/>
      <c r="C13" s="17"/>
      <c r="D13" s="17" t="b">
        <f>D2</f>
        <v>1</v>
      </c>
      <c r="E13" s="20" t="b">
        <f>AND('Ear Product Criteria'!B6,'Ear Product Criteria'!C4:C5,OR('Ear Product Criteria'!B7:C7))</f>
        <v>0</v>
      </c>
      <c r="F13" s="17"/>
      <c r="G13" s="21" t="b">
        <f>AND(Table16[[#This Row],[Antibiotic]:[Solvent]])</f>
        <v>0</v>
      </c>
      <c r="H13" s="29" t="s">
        <v>2015</v>
      </c>
    </row>
    <row r="14" spans="1:8">
      <c r="A14" s="16"/>
      <c r="B14" s="16"/>
      <c r="C14" s="16"/>
      <c r="D14" s="16"/>
      <c r="E14" s="16"/>
      <c r="F14" s="16"/>
      <c r="G14" s="16"/>
      <c r="H14" s="16"/>
    </row>
  </sheetData>
  <hyperlinks>
    <hyperlink ref="H2" r:id="rId1" display="https://www.polysporin.ca/products/pain-relief-ear-drops" xr:uid="{00000000-0004-0000-2000-000000000000}"/>
    <hyperlink ref="H3" r:id="rId2" display="https://www.polysporin.ca/products/antibiotic-eye-drops" xr:uid="{00000000-0004-0000-2000-000001000000}"/>
    <hyperlink ref="H5" r:id="rId3" xr:uid="{00000000-0004-0000-2000-000002000000}"/>
    <hyperlink ref="H7" r:id="rId4" xr:uid="{00000000-0004-0000-2000-000003000000}"/>
    <hyperlink ref="H9" r:id="rId5" xr:uid="{00000000-0004-0000-2000-000004000000}"/>
    <hyperlink ref="H11" r:id="rId6" xr:uid="{00000000-0004-0000-2000-000005000000}"/>
    <hyperlink ref="H13" r:id="rId7" location=":~:text=Auro-Dri%20Ear%20Water%20Drying%20Aid%2C%201%20oz.%20By,are%20safe%20to%20use%20with%20the%20whole%20family." xr:uid="{C3300D45-F5E7-42EB-9DDC-F8C27F754560}"/>
  </hyperlinks>
  <pageMargins left="0.7" right="0.7" top="0.75" bottom="0.75" header="0.3" footer="0.3"/>
  <pageSetup orientation="portrait" r:id="rId8"/>
  <tableParts count="1">
    <tablePart r:id="rId9"/>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23"/>
  <sheetViews>
    <sheetView workbookViewId="0">
      <selection activeCell="A26" sqref="A26"/>
    </sheetView>
  </sheetViews>
  <sheetFormatPr defaultRowHeight="15"/>
  <cols>
    <col min="1" max="1" width="50.42578125" customWidth="1"/>
    <col min="3" max="3" width="9.140625" style="87"/>
  </cols>
  <sheetData>
    <row r="1" spans="1:3" ht="15.75" thickTop="1">
      <c r="A1" s="3" t="s">
        <v>15</v>
      </c>
      <c r="B1" s="7" t="s">
        <v>18</v>
      </c>
      <c r="C1" s="208"/>
    </row>
    <row r="2" spans="1:3" ht="15.75" thickBot="1">
      <c r="B2" s="4"/>
      <c r="C2" s="208"/>
    </row>
    <row r="3" spans="1:3" ht="15.75" thickBot="1">
      <c r="A3" s="161" t="s">
        <v>899</v>
      </c>
      <c r="B3" s="33" t="b">
        <v>0</v>
      </c>
      <c r="C3" s="208"/>
    </row>
    <row r="4" spans="1:3" ht="15.75" thickBot="1">
      <c r="A4" s="161" t="s">
        <v>900</v>
      </c>
      <c r="B4" s="33" t="b">
        <v>0</v>
      </c>
      <c r="C4" s="208"/>
    </row>
    <row r="5" spans="1:3" ht="15.75" thickBot="1">
      <c r="A5" s="161" t="s">
        <v>901</v>
      </c>
      <c r="B5" s="33" t="b">
        <v>0</v>
      </c>
      <c r="C5" s="208"/>
    </row>
    <row r="6" spans="1:3" ht="15.75" thickBot="1">
      <c r="A6" s="158" t="s">
        <v>904</v>
      </c>
      <c r="B6" s="33" t="b">
        <v>0</v>
      </c>
      <c r="C6" s="208" t="b">
        <f>NOT(B6)</f>
        <v>1</v>
      </c>
    </row>
    <row r="7" spans="1:3" ht="15.75" thickBot="1">
      <c r="A7" s="158" t="s">
        <v>902</v>
      </c>
      <c r="B7" s="33" t="b">
        <v>0</v>
      </c>
      <c r="C7" s="208" t="b">
        <f t="shared" ref="C7:C8" si="0">NOT(B7)</f>
        <v>1</v>
      </c>
    </row>
    <row r="8" spans="1:3" ht="15.75" thickBot="1">
      <c r="A8" s="158" t="s">
        <v>903</v>
      </c>
      <c r="B8" s="33" t="b">
        <v>0</v>
      </c>
      <c r="C8" s="208" t="b">
        <f t="shared" si="0"/>
        <v>1</v>
      </c>
    </row>
    <row r="9" spans="1:3" ht="15.75" thickBot="1">
      <c r="A9" s="1" t="s">
        <v>910</v>
      </c>
      <c r="B9" s="33" t="b">
        <v>0</v>
      </c>
      <c r="C9" s="208" t="b">
        <f>NOT(B9)</f>
        <v>1</v>
      </c>
    </row>
    <row r="10" spans="1:3" ht="15.75" thickBot="1">
      <c r="A10" s="170" t="s">
        <v>905</v>
      </c>
      <c r="B10" s="33" t="b">
        <v>0</v>
      </c>
      <c r="C10" s="208" t="b">
        <f>NOT(B10)</f>
        <v>1</v>
      </c>
    </row>
    <row r="11" spans="1:3" ht="15.75" thickBot="1">
      <c r="A11" s="1" t="s">
        <v>909</v>
      </c>
      <c r="B11" s="33" t="b">
        <v>0</v>
      </c>
      <c r="C11" s="208" t="b">
        <f>NOT(B11)</f>
        <v>1</v>
      </c>
    </row>
    <row r="12" spans="1:3" ht="15.75" thickBot="1">
      <c r="A12" s="1" t="s">
        <v>906</v>
      </c>
      <c r="B12" s="33" t="b">
        <v>0</v>
      </c>
      <c r="C12" s="208" t="b">
        <f>NOT(B12)</f>
        <v>1</v>
      </c>
    </row>
    <row r="13" spans="1:3" ht="15.75" thickBot="1">
      <c r="A13" s="177" t="s">
        <v>907</v>
      </c>
      <c r="B13" s="33" t="b">
        <v>0</v>
      </c>
      <c r="C13" s="208"/>
    </row>
    <row r="14" spans="1:3" ht="15.75" thickBot="1">
      <c r="A14" s="177" t="s">
        <v>908</v>
      </c>
      <c r="B14" s="33" t="b">
        <v>0</v>
      </c>
      <c r="C14" s="208"/>
    </row>
    <row r="15" spans="1:3" ht="15.75" thickBot="1">
      <c r="A15" s="1" t="s">
        <v>911</v>
      </c>
      <c r="B15" s="33" t="b">
        <v>0</v>
      </c>
      <c r="C15" s="208" t="b">
        <f>NOT(B15)</f>
        <v>1</v>
      </c>
    </row>
    <row r="16" spans="1:3" ht="15.75" thickBot="1">
      <c r="A16" s="1" t="s">
        <v>912</v>
      </c>
      <c r="B16" s="33" t="b">
        <v>0</v>
      </c>
      <c r="C16" s="208" t="b">
        <f>NOT(B16)</f>
        <v>1</v>
      </c>
    </row>
    <row r="17" spans="1:3" ht="15.75" thickBot="1">
      <c r="A17" s="1" t="s">
        <v>913</v>
      </c>
      <c r="B17" s="33" t="b">
        <v>0</v>
      </c>
      <c r="C17" s="208" t="b">
        <f>NOT(B17)</f>
        <v>1</v>
      </c>
    </row>
    <row r="18" spans="1:3" ht="15.75" thickBot="1">
      <c r="A18" s="1" t="s">
        <v>1268</v>
      </c>
      <c r="B18" s="33" t="b">
        <v>0</v>
      </c>
      <c r="C18" s="208" t="b">
        <f>NOT(B18)</f>
        <v>1</v>
      </c>
    </row>
    <row r="19" spans="1:3" ht="15.75" thickBot="1">
      <c r="A19" s="1" t="s">
        <v>916</v>
      </c>
      <c r="B19" s="33" t="b">
        <v>0</v>
      </c>
      <c r="C19" s="208" t="b">
        <f>NOT(B19)</f>
        <v>1</v>
      </c>
    </row>
    <row r="21" spans="1:3">
      <c r="B21" s="21"/>
    </row>
    <row r="22" spans="1:3">
      <c r="B22" s="21"/>
    </row>
    <row r="23" spans="1:3">
      <c r="B23" s="21"/>
    </row>
  </sheetData>
  <dataValidations count="1">
    <dataValidation allowBlank="1" showInputMessage="1" showErrorMessage="1" prompt="Consult your pharmacist if unsure" sqref="A3:A19" xr:uid="{00000000-0002-0000-21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7">
        <x14:dataValidation type="list" showInputMessage="1" showErrorMessage="1" error="Please answer as Yes or No" prompt="Some products are specifically formulated for application to young children and infants." xr:uid="{00000000-0002-0000-2100-000002000000}">
          <x14:formula1>
            <xm:f>random!$A$2:$A$3</xm:f>
          </x14:formula1>
          <xm:sqref>B18</xm:sqref>
        </x14:dataValidation>
        <x14:dataValidation type="list" showInputMessage="1" showErrorMessage="1" error="Please answer as Yes or No" prompt="Broad spectrum sun screens protect against both UVA and UVB rays and reduce risk of sun burn. Few products are not marketed as broad spectrum. ***Not selecting this category may considerably limit options***" xr:uid="{00000000-0002-0000-2100-000003000000}">
          <x14:formula1>
            <xm:f>random!$A$2:$A$3</xm:f>
          </x14:formula1>
          <xm:sqref>B19</xm:sqref>
        </x14:dataValidation>
        <x14:dataValidation type="list" showInputMessage="1" showErrorMessage="1" error="Please answer as Yes or No" prompt="Products with the highest SPF are ideal for fair-skinned individuals which easily burn in the sun. " xr:uid="{00000000-0002-0000-2100-000004000000}">
          <x14:formula1>
            <xm:f>random!$A$2:$A$3</xm:f>
          </x14:formula1>
          <xm:sqref>B5</xm:sqref>
        </x14:dataValidation>
        <x14:dataValidation type="list" showInputMessage="1" showErrorMessage="1" error="Please answer as Yes or No" prompt="Some products with lower SPF will provide some sun protection but can also allow an individual to tan. Caution is advised in order to prevent sun burn." xr:uid="{00000000-0002-0000-2100-000005000000}">
          <x14:formula1>
            <xm:f>random!$A$2:$A$3</xm:f>
          </x14:formula1>
          <xm:sqref>B3</xm:sqref>
        </x14:dataValidation>
        <x14:dataValidation type="list" showInputMessage="1" showErrorMessage="1" error="Please answer as Yes or No" prompt="Higher SPF products allow indivduals to spend a fair amount of time in the sun with proper/frequent reapplication." xr:uid="{00000000-0002-0000-2100-000006000000}">
          <x14:formula1>
            <xm:f>random!$A$2:$A$3</xm:f>
          </x14:formula1>
          <xm:sqref>B4</xm:sqref>
        </x14:dataValidation>
        <x14:dataValidation type="list" showInputMessage="1" showErrorMessage="1" error="Please answer as Yes or No" prompt="Sprays are easily applied but may leave skin with a sticky and/or shine. Avoid inhaling spray or accidental application to the eyes and/or mucous membranes. Some products may be flammable." xr:uid="{00000000-0002-0000-2100-000007000000}">
          <x14:formula1>
            <xm:f>random!$A$2:$A$3</xm:f>
          </x14:formula1>
          <xm:sqref>B8</xm:sqref>
        </x14:dataValidation>
        <x14:dataValidation type="list" showInputMessage="1" showErrorMessage="1" error="Please answer as Yes or No" prompt="Creams and lotions are most cosmetically appealing and easy to spread. Ideal for application to face and body. " xr:uid="{00000000-0002-0000-2100-000008000000}">
          <x14:formula1>
            <xm:f>random!$A$2:$A$3</xm:f>
          </x14:formula1>
          <xm:sqref>B6</xm:sqref>
        </x14:dataValidation>
        <x14:dataValidation type="list" showInputMessage="1" showErrorMessage="1" error="Please answer as Yes or No" prompt="Convenient and portable product but more difficult to spread and apply consistently over large areas. Idea for small areas such as the lips." xr:uid="{00000000-0002-0000-2100-000009000000}">
          <x14:formula1>
            <xm:f>random!$A$2:$A$3</xm:f>
          </x14:formula1>
          <xm:sqref>B7</xm:sqref>
        </x14:dataValidation>
        <x14:dataValidation type="list" showInputMessage="1" showErrorMessage="1" error="Please answer as Yes or No" prompt="Some products may remain/retain some protective benefit regardless of sweat or water exposure. Note that product should be reapplied after swimming." xr:uid="{00000000-0002-0000-2100-00000A000000}">
          <x14:formula1>
            <xm:f>random!$A$2:$A$3</xm:f>
          </x14:formula1>
          <xm:sqref>B9</xm:sqref>
        </x14:dataValidation>
        <x14:dataValidation type="list" showInputMessage="1" showErrorMessage="1" error="Please answer as Yes or No" prompt="Some products containing PABA, oxybenzone and/or avobenzone may cause skin sensitivity or allergic reactions in some individuals. Avoid use if you are sensitive/allergic." xr:uid="{00000000-0002-0000-2100-00000B000000}">
          <x14:formula1>
            <xm:f>random!$A$2:$A$3</xm:f>
          </x14:formula1>
          <xm:sqref>B10</xm:sqref>
        </x14:dataValidation>
        <x14:dataValidation type="list" showInputMessage="1" showErrorMessage="1" error="Please answer as Yes or No" prompt="Products with physical blocks such as zinc oxide provide high broad spectrum protection but may be less cosmetically appealing. Best for areas that burn easily or for young children." xr:uid="{00000000-0002-0000-2100-00000C000000}">
          <x14:formula1>
            <xm:f>random!$A$2:$A$3</xm:f>
          </x14:formula1>
          <xm:sqref>B11</xm:sqref>
        </x14:dataValidation>
        <x14:dataValidation type="list" showInputMessage="1" showErrorMessage="1" error="Please answer as Yes or No" prompt="Some products may block skin pores and worsen acne. Avoid use in individuals prone to or suffering from acne. " xr:uid="{00000000-0002-0000-2100-00000D000000}">
          <x14:formula1>
            <xm:f>random!$A$2:$A$3</xm:f>
          </x14:formula1>
          <xm:sqref>B12</xm:sqref>
        </x14:dataValidation>
        <x14:dataValidation type="list" showInputMessage="1" showErrorMessage="1" error="Please answer as Yes or No" prompt="Some product formulations are best for application to the face and/or lips." xr:uid="{00000000-0002-0000-2100-00000E000000}">
          <x14:formula1>
            <xm:f>random!$A$2:$A$3</xm:f>
          </x14:formula1>
          <xm:sqref>B13</xm:sqref>
        </x14:dataValidation>
        <x14:dataValidation type="list" showInputMessage="1" showErrorMessage="1" error="Please answer as Yes or No" prompt="Some product formulations are best for application to the body." xr:uid="{00000000-0002-0000-2100-00000F000000}">
          <x14:formula1>
            <xm:f>random!$A$2:$A$3</xm:f>
          </x14:formula1>
          <xm:sqref>B14</xm:sqref>
        </x14:dataValidation>
        <x14:dataValidation type="list" showInputMessage="1" showErrorMessage="1" error="Please answer as Yes or No" prompt="Some products are formulated with ingredients that are unlikely to cause skin sensitivity or allergic reactions." xr:uid="{00000000-0002-0000-2100-000010000000}">
          <x14:formula1>
            <xm:f>random!$A$2:$A$3</xm:f>
          </x14:formula1>
          <xm:sqref>B15</xm:sqref>
        </x14:dataValidation>
        <x14:dataValidation type="list" showInputMessage="1" showErrorMessage="1" error="Please answer as Yes or No" prompt="Individuals with sensitivity/allergies to fragrances should select fragrance-free products." xr:uid="{00000000-0002-0000-2100-000011000000}">
          <x14:formula1>
            <xm:f>random!$A$2:$A$3</xm:f>
          </x14:formula1>
          <xm:sqref>B16</xm:sqref>
        </x14:dataValidation>
        <x14:dataValidation type="list" showInputMessage="1" showErrorMessage="1" error="Please answer as Yes or No" prompt="Some products are formulated without oils and are less likely to block skin pores. Ideal for individuals with acne or acne-prone skin." xr:uid="{00000000-0002-0000-2100-000012000000}">
          <x14:formula1>
            <xm:f>random!$A$2:$A$3</xm:f>
          </x14:formula1>
          <xm:sqref>B17</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T99"/>
  <sheetViews>
    <sheetView workbookViewId="0">
      <selection activeCell="B25" sqref="B25"/>
    </sheetView>
  </sheetViews>
  <sheetFormatPr defaultRowHeight="15"/>
  <cols>
    <col min="1" max="1" width="56" customWidth="1"/>
    <col min="2" max="2" width="10.140625" customWidth="1"/>
    <col min="3" max="7" width="11" customWidth="1"/>
    <col min="8" max="8" width="11.140625" customWidth="1"/>
    <col min="9" max="19" width="12" customWidth="1"/>
    <col min="20" max="20" width="99.5703125" customWidth="1"/>
  </cols>
  <sheetData>
    <row r="1" spans="1:20">
      <c r="A1" s="70" t="s">
        <v>1248</v>
      </c>
      <c r="B1" s="204" t="s">
        <v>1952</v>
      </c>
      <c r="C1" s="204" t="s">
        <v>1953</v>
      </c>
      <c r="D1" s="204" t="s">
        <v>1954</v>
      </c>
      <c r="E1" t="s">
        <v>887</v>
      </c>
      <c r="F1" t="s">
        <v>816</v>
      </c>
      <c r="G1" t="s">
        <v>812</v>
      </c>
      <c r="H1" t="s">
        <v>809</v>
      </c>
      <c r="I1" s="204" t="s">
        <v>915</v>
      </c>
      <c r="J1" t="s">
        <v>914</v>
      </c>
      <c r="K1" t="s">
        <v>814</v>
      </c>
      <c r="L1" t="s">
        <v>1955</v>
      </c>
      <c r="M1" t="s">
        <v>811</v>
      </c>
      <c r="N1" t="s">
        <v>1027</v>
      </c>
      <c r="O1" t="s">
        <v>825</v>
      </c>
      <c r="P1" t="s">
        <v>826</v>
      </c>
      <c r="Q1" t="s">
        <v>827</v>
      </c>
      <c r="R1" t="s">
        <v>1357</v>
      </c>
      <c r="S1" t="s">
        <v>139</v>
      </c>
      <c r="T1" t="s">
        <v>382</v>
      </c>
    </row>
    <row r="2" spans="1:20" ht="14.25" customHeight="1">
      <c r="A2" t="b">
        <f>IF(Table19[[#This Row],[Column2]],Table19[[#This Row],[Column13]])</f>
        <v>0</v>
      </c>
      <c r="B2" s="17"/>
      <c r="C2" s="20" t="b">
        <f>AND('Sun Screen Criteria'!B4)</f>
        <v>0</v>
      </c>
      <c r="D2" s="20" t="b">
        <f>AND('Sun Screen Criteria'!B5)</f>
        <v>0</v>
      </c>
      <c r="E2" s="17"/>
      <c r="F2" s="17"/>
      <c r="G2" s="20" t="b">
        <f>AND('Sun Screen Criteria'!B6,'Sun Screen Criteria'!C7:C8)</f>
        <v>0</v>
      </c>
      <c r="H2" s="20" t="b">
        <f>AND('Sun Screen Criteria'!B19)</f>
        <v>0</v>
      </c>
      <c r="I2" s="17" t="b">
        <f>AND('Sun Screen Criteria'!C18)</f>
        <v>1</v>
      </c>
      <c r="J2" s="20" t="b">
        <f>OR('Sun Screen Criteria'!B9:C9)</f>
        <v>1</v>
      </c>
      <c r="K2" s="20" t="b">
        <f>AND('Sun Screen Criteria'!C10)</f>
        <v>1</v>
      </c>
      <c r="L2" s="20" t="b">
        <f>AND('Sun Screen Criteria'!B13)</f>
        <v>0</v>
      </c>
      <c r="M2" s="20" t="b">
        <f>AND('Sun Screen Criteria'!B14)</f>
        <v>0</v>
      </c>
      <c r="N2" s="20" t="b">
        <f>OR('Sun Screen Criteria'!B12:C12)</f>
        <v>1</v>
      </c>
      <c r="O2" s="17" t="b">
        <f>AND('Sun Screen Criteria'!C15)</f>
        <v>1</v>
      </c>
      <c r="P2" s="20" t="b">
        <f>OR('Sun Screen Criteria'!B16:C16)</f>
        <v>1</v>
      </c>
      <c r="Q2" s="20" t="b">
        <f>OR('Sun Screen Criteria'!B17:C17)</f>
        <v>1</v>
      </c>
      <c r="R2" s="17" t="b">
        <f>AND('Sun Screen Criteria'!C11)</f>
        <v>1</v>
      </c>
      <c r="S2" t="b">
        <f>AND(Table19[[#This Row],[Non-comedogenic]:[Mineral]],Table19[[#This Row],[Spray/Whip/Oil]:[Oxy/Avobenzone]],OR(Table19[[#This Row],[Low SPF]:[High SPF]]),OR(Table19[[#This Row],[Face/Lips]:[Body]]))</f>
        <v>0</v>
      </c>
      <c r="T2" s="28" t="s">
        <v>810</v>
      </c>
    </row>
    <row r="3" spans="1:20">
      <c r="A3" t="b">
        <f>IF(Table19[[#This Row],[Column2]],Table19[[#This Row],[Column13]])</f>
        <v>0</v>
      </c>
      <c r="B3" s="17"/>
      <c r="C3" s="17"/>
      <c r="D3" s="20" t="b">
        <f>D2</f>
        <v>0</v>
      </c>
      <c r="E3" s="17"/>
      <c r="F3" s="17"/>
      <c r="G3" s="20" t="b">
        <f t="shared" ref="G3:L3" si="0">G2</f>
        <v>0</v>
      </c>
      <c r="H3" s="20" t="b">
        <f t="shared" si="0"/>
        <v>0</v>
      </c>
      <c r="I3" s="17" t="b">
        <f t="shared" si="0"/>
        <v>1</v>
      </c>
      <c r="J3" s="20" t="b">
        <f t="shared" si="0"/>
        <v>1</v>
      </c>
      <c r="K3" s="20" t="b">
        <f t="shared" si="0"/>
        <v>1</v>
      </c>
      <c r="L3" s="20" t="b">
        <f t="shared" si="0"/>
        <v>0</v>
      </c>
      <c r="M3" s="17"/>
      <c r="N3" s="20" t="b">
        <f>N2</f>
        <v>1</v>
      </c>
      <c r="O3" s="17" t="b">
        <f>O2</f>
        <v>1</v>
      </c>
      <c r="P3" s="17" t="b">
        <f>AND('Sun Screen Criteria'!C16)</f>
        <v>1</v>
      </c>
      <c r="Q3" s="20" t="b">
        <f>Q2</f>
        <v>1</v>
      </c>
      <c r="R3" s="17" t="b">
        <f>R2</f>
        <v>1</v>
      </c>
      <c r="S3" t="b">
        <f>AND(Table19[[#This Row],[Non-comedogenic]:[Mineral]],Table19[[#This Row],[Spray/Whip/Oil]:[Oxy/Avobenzone]],OR(Table19[[#This Row],[Low SPF]:[High SPF]]),OR(Table19[[#This Row],[Face/Lips]:[Body]]))</f>
        <v>0</v>
      </c>
      <c r="T3" s="28" t="s">
        <v>813</v>
      </c>
    </row>
    <row r="4" spans="1:20">
      <c r="A4" t="b">
        <f>IF(Table19[[#This Row],[Column2]],Table19[[#This Row],[Column13]])</f>
        <v>0</v>
      </c>
      <c r="B4" s="17"/>
      <c r="C4" s="20" t="b">
        <f>C2</f>
        <v>0</v>
      </c>
      <c r="D4" s="17"/>
      <c r="E4" s="17"/>
      <c r="F4" s="20" t="b">
        <f>AND('Sun Screen Criteria'!B7,'Sun Screen Criteria'!C6,'Sun Screen Criteria'!C8)</f>
        <v>0</v>
      </c>
      <c r="G4" s="17"/>
      <c r="H4" s="20" t="b">
        <f t="shared" ref="H4:O4" si="1">H2</f>
        <v>0</v>
      </c>
      <c r="I4" s="17" t="b">
        <f t="shared" si="1"/>
        <v>1</v>
      </c>
      <c r="J4" s="20" t="b">
        <f t="shared" si="1"/>
        <v>1</v>
      </c>
      <c r="K4" s="20" t="b">
        <f t="shared" si="1"/>
        <v>1</v>
      </c>
      <c r="L4" s="20" t="b">
        <f t="shared" si="1"/>
        <v>0</v>
      </c>
      <c r="M4" s="20" t="b">
        <f t="shared" si="1"/>
        <v>0</v>
      </c>
      <c r="N4" s="20" t="b">
        <f t="shared" si="1"/>
        <v>1</v>
      </c>
      <c r="O4" s="17" t="b">
        <f t="shared" si="1"/>
        <v>1</v>
      </c>
      <c r="P4" s="17" t="b">
        <f>P3</f>
        <v>1</v>
      </c>
      <c r="Q4" s="20" t="b">
        <f>Q2</f>
        <v>1</v>
      </c>
      <c r="R4" s="17" t="b">
        <f>R2</f>
        <v>1</v>
      </c>
      <c r="S4" t="b">
        <f>AND(Table19[[#This Row],[Non-comedogenic]:[Mineral]],Table19[[#This Row],[Spray/Whip/Oil]:[Oxy/Avobenzone]],OR(Table19[[#This Row],[Low SPF]:[High SPF]]),OR(Table19[[#This Row],[Face/Lips]:[Body]]))</f>
        <v>0</v>
      </c>
      <c r="T4" s="28" t="s">
        <v>815</v>
      </c>
    </row>
    <row r="5" spans="1:20">
      <c r="A5" t="b">
        <f>IF(Table19[[#This Row],[Column2]],Table19[[#This Row],[Column13]])</f>
        <v>0</v>
      </c>
      <c r="B5" s="17"/>
      <c r="C5" s="20" t="b">
        <f>C2</f>
        <v>0</v>
      </c>
      <c r="D5" s="20" t="b">
        <f>D2</f>
        <v>0</v>
      </c>
      <c r="E5" s="17"/>
      <c r="F5" s="17"/>
      <c r="G5" s="20" t="b">
        <f t="shared" ref="G5:L5" si="2">G2</f>
        <v>0</v>
      </c>
      <c r="H5" s="20" t="b">
        <f t="shared" si="2"/>
        <v>0</v>
      </c>
      <c r="I5" s="17" t="b">
        <f t="shared" si="2"/>
        <v>1</v>
      </c>
      <c r="J5" s="20" t="b">
        <f t="shared" si="2"/>
        <v>1</v>
      </c>
      <c r="K5" s="20" t="b">
        <f t="shared" si="2"/>
        <v>1</v>
      </c>
      <c r="L5" s="20" t="b">
        <f t="shared" si="2"/>
        <v>0</v>
      </c>
      <c r="M5" s="17"/>
      <c r="N5" s="20" t="b">
        <f>N2</f>
        <v>1</v>
      </c>
      <c r="O5" s="17" t="b">
        <f>O2</f>
        <v>1</v>
      </c>
      <c r="P5" s="17" t="b">
        <f>P3</f>
        <v>1</v>
      </c>
      <c r="Q5" s="17" t="b">
        <f>AND('Sun Screen Criteria'!C17)</f>
        <v>1</v>
      </c>
      <c r="R5" s="17" t="b">
        <f>R2</f>
        <v>1</v>
      </c>
      <c r="S5" t="b">
        <f>AND(Table19[[#This Row],[Non-comedogenic]:[Mineral]],Table19[[#This Row],[Spray/Whip/Oil]:[Oxy/Avobenzone]],OR(Table19[[#This Row],[Low SPF]:[High SPF]]),OR(Table19[[#This Row],[Face/Lips]:[Body]]))</f>
        <v>0</v>
      </c>
      <c r="T5" s="28" t="s">
        <v>817</v>
      </c>
    </row>
    <row r="6" spans="1:20">
      <c r="A6" t="b">
        <f>IF(Table19[[#This Row],[Column2]],Table19[[#This Row],[Column13]])</f>
        <v>0</v>
      </c>
      <c r="B6" s="17"/>
      <c r="C6" s="20" t="b">
        <f>C2</f>
        <v>0</v>
      </c>
      <c r="D6" s="17"/>
      <c r="E6" s="17"/>
      <c r="F6" s="17"/>
      <c r="G6" s="20" t="b">
        <f>G2</f>
        <v>0</v>
      </c>
      <c r="H6" s="20" t="b">
        <f>H2</f>
        <v>0</v>
      </c>
      <c r="I6" s="17" t="b">
        <f>I2</f>
        <v>1</v>
      </c>
      <c r="J6" s="20" t="b">
        <f>J2</f>
        <v>1</v>
      </c>
      <c r="K6" s="20" t="b">
        <f>K2</f>
        <v>1</v>
      </c>
      <c r="L6" s="17"/>
      <c r="M6" s="20" t="b">
        <f>M2</f>
        <v>0</v>
      </c>
      <c r="N6" s="20" t="b">
        <f>N2</f>
        <v>1</v>
      </c>
      <c r="O6" s="17" t="b">
        <f>O2</f>
        <v>1</v>
      </c>
      <c r="P6" s="17" t="b">
        <f>P3</f>
        <v>1</v>
      </c>
      <c r="Q6" s="20" t="b">
        <f>Q2</f>
        <v>1</v>
      </c>
      <c r="R6" s="17" t="b">
        <f>R2</f>
        <v>1</v>
      </c>
      <c r="S6" t="b">
        <f>AND(Table19[[#This Row],[Non-comedogenic]:[Mineral]],Table19[[#This Row],[Spray/Whip/Oil]:[Oxy/Avobenzone]],OR(Table19[[#This Row],[Low SPF]:[High SPF]]),OR(Table19[[#This Row],[Face/Lips]:[Body]]))</f>
        <v>0</v>
      </c>
      <c r="T6" s="28" t="s">
        <v>818</v>
      </c>
    </row>
    <row r="7" spans="1:20">
      <c r="A7" t="b">
        <f>IF(Table19[[#This Row],[Column2]],Table19[[#This Row],[Column13]])</f>
        <v>0</v>
      </c>
      <c r="B7" s="17"/>
      <c r="C7" s="20" t="b">
        <f>C2</f>
        <v>0</v>
      </c>
      <c r="D7" s="20" t="b">
        <f>D2</f>
        <v>0</v>
      </c>
      <c r="E7" s="20" t="b">
        <f>AND('Sun Screen Criteria'!B8,'Sun Screen Criteria'!C6:C7)</f>
        <v>0</v>
      </c>
      <c r="F7" s="17"/>
      <c r="G7" s="17"/>
      <c r="H7" s="20" t="b">
        <f>H2</f>
        <v>0</v>
      </c>
      <c r="I7" s="17" t="b">
        <f>I2</f>
        <v>1</v>
      </c>
      <c r="J7" s="20" t="b">
        <f>J2</f>
        <v>1</v>
      </c>
      <c r="K7" s="20" t="b">
        <f>K2</f>
        <v>1</v>
      </c>
      <c r="L7" s="17"/>
      <c r="M7" s="20" t="b">
        <f>M2</f>
        <v>0</v>
      </c>
      <c r="N7" s="17" t="b">
        <f>AND('Sun Screen Criteria'!C12)</f>
        <v>1</v>
      </c>
      <c r="O7" s="17" t="b">
        <f>O2</f>
        <v>1</v>
      </c>
      <c r="P7" s="17" t="b">
        <f>P3</f>
        <v>1</v>
      </c>
      <c r="Q7" s="20" t="b">
        <f>Q2</f>
        <v>1</v>
      </c>
      <c r="R7" s="17" t="b">
        <f>R2</f>
        <v>1</v>
      </c>
      <c r="S7" t="b">
        <f>AND(Table19[[#This Row],[Non-comedogenic]:[Mineral]],Table19[[#This Row],[Spray/Whip/Oil]:[Oxy/Avobenzone]],OR(Table19[[#This Row],[Low SPF]:[High SPF]]),OR(Table19[[#This Row],[Face/Lips]:[Body]]))</f>
        <v>0</v>
      </c>
      <c r="T7" s="28" t="s">
        <v>819</v>
      </c>
    </row>
    <row r="8" spans="1:20">
      <c r="A8" t="b">
        <f>IF(Table19[[#This Row],[Column2]],Table19[[#This Row],[Column13]])</f>
        <v>0</v>
      </c>
      <c r="B8" s="17"/>
      <c r="C8" s="20" t="b">
        <f>C2</f>
        <v>0</v>
      </c>
      <c r="D8" s="17"/>
      <c r="E8" s="17"/>
      <c r="F8" s="17"/>
      <c r="G8" s="20" t="b">
        <f>G2</f>
        <v>0</v>
      </c>
      <c r="H8" s="20" t="b">
        <f>H2</f>
        <v>0</v>
      </c>
      <c r="I8" s="17" t="b">
        <f>I2</f>
        <v>1</v>
      </c>
      <c r="J8" s="20" t="b">
        <f>J2</f>
        <v>1</v>
      </c>
      <c r="K8" s="20" t="b">
        <f>K2</f>
        <v>1</v>
      </c>
      <c r="L8" s="17"/>
      <c r="M8" s="20" t="b">
        <f>M2</f>
        <v>0</v>
      </c>
      <c r="N8" s="17" t="b">
        <f>N7</f>
        <v>1</v>
      </c>
      <c r="O8" s="17" t="b">
        <f>O2</f>
        <v>1</v>
      </c>
      <c r="P8" s="17" t="b">
        <f>P3</f>
        <v>1</v>
      </c>
      <c r="Q8" s="20" t="b">
        <f>Q2</f>
        <v>1</v>
      </c>
      <c r="R8" s="17" t="b">
        <f>R2</f>
        <v>1</v>
      </c>
      <c r="S8" t="b">
        <f>AND(Table19[[#This Row],[Non-comedogenic]:[Mineral]],Table19[[#This Row],[Spray/Whip/Oil]:[Oxy/Avobenzone]],OR(Table19[[#This Row],[Low SPF]:[High SPF]]),OR(Table19[[#This Row],[Face/Lips]:[Body]]))</f>
        <v>0</v>
      </c>
      <c r="T8" s="28" t="s">
        <v>820</v>
      </c>
    </row>
    <row r="9" spans="1:20">
      <c r="A9" t="b">
        <f>IF(Table19[[#This Row],[Column2]],Table19[[#This Row],[Column13]])</f>
        <v>0</v>
      </c>
      <c r="B9" s="17"/>
      <c r="C9" s="20" t="b">
        <f>C2</f>
        <v>0</v>
      </c>
      <c r="D9" s="20" t="b">
        <f>D2</f>
        <v>0</v>
      </c>
      <c r="E9" s="20" t="b">
        <f>E7</f>
        <v>0</v>
      </c>
      <c r="F9" s="17"/>
      <c r="G9" s="17"/>
      <c r="H9" s="20" t="b">
        <f>H2</f>
        <v>0</v>
      </c>
      <c r="I9" s="17" t="b">
        <f>I2</f>
        <v>1</v>
      </c>
      <c r="J9" s="20" t="b">
        <f>J2</f>
        <v>1</v>
      </c>
      <c r="K9" s="20" t="b">
        <f>K2</f>
        <v>1</v>
      </c>
      <c r="L9" s="17"/>
      <c r="M9" s="20" t="b">
        <f>M2</f>
        <v>0</v>
      </c>
      <c r="N9" s="20" t="b">
        <f>N2</f>
        <v>1</v>
      </c>
      <c r="O9" s="17" t="b">
        <f>O2</f>
        <v>1</v>
      </c>
      <c r="P9" s="17" t="b">
        <f>P3</f>
        <v>1</v>
      </c>
      <c r="Q9" s="20" t="b">
        <f>Q2</f>
        <v>1</v>
      </c>
      <c r="R9" s="17" t="b">
        <f>R2</f>
        <v>1</v>
      </c>
      <c r="S9" t="b">
        <f>AND(Table19[[#This Row],[Non-comedogenic]:[Mineral]],Table19[[#This Row],[Spray/Whip/Oil]:[Oxy/Avobenzone]],OR(Table19[[#This Row],[Low SPF]:[High SPF]]),OR(Table19[[#This Row],[Face/Lips]:[Body]]))</f>
        <v>0</v>
      </c>
      <c r="T9" s="28" t="s">
        <v>821</v>
      </c>
    </row>
    <row r="10" spans="1:20">
      <c r="A10" t="b">
        <f>IF(Table19[[#This Row],[Column2]],Table19[[#This Row],[Column13]])</f>
        <v>0</v>
      </c>
      <c r="B10" s="17"/>
      <c r="C10" s="20" t="b">
        <f>C2</f>
        <v>0</v>
      </c>
      <c r="D10" s="20" t="b">
        <f>D2</f>
        <v>0</v>
      </c>
      <c r="E10" s="17"/>
      <c r="F10" s="17"/>
      <c r="G10" s="20" t="b">
        <f>G2</f>
        <v>0</v>
      </c>
      <c r="H10" s="20" t="b">
        <f>H2</f>
        <v>0</v>
      </c>
      <c r="I10" s="17" t="b">
        <f>I2</f>
        <v>1</v>
      </c>
      <c r="J10" s="17" t="b">
        <f>AND('Sun Screen Criteria'!C9)</f>
        <v>1</v>
      </c>
      <c r="K10" s="20" t="b">
        <f>K2</f>
        <v>1</v>
      </c>
      <c r="L10" s="17"/>
      <c r="M10" s="20" t="b">
        <f>M2</f>
        <v>0</v>
      </c>
      <c r="N10" s="20" t="b">
        <f>N2</f>
        <v>1</v>
      </c>
      <c r="O10" s="17" t="b">
        <f>O2</f>
        <v>1</v>
      </c>
      <c r="P10" s="17" t="b">
        <f>P3</f>
        <v>1</v>
      </c>
      <c r="Q10" s="17" t="b">
        <f>Q5</f>
        <v>1</v>
      </c>
      <c r="R10" s="17" t="b">
        <f>R2</f>
        <v>1</v>
      </c>
      <c r="S10" t="b">
        <f>AND(Table19[[#This Row],[Non-comedogenic]:[Mineral]],Table19[[#This Row],[Spray/Whip/Oil]:[Oxy/Avobenzone]],OR(Table19[[#This Row],[Low SPF]:[High SPF]]),OR(Table19[[#This Row],[Face/Lips]:[Body]]))</f>
        <v>0</v>
      </c>
      <c r="T10" s="28" t="s">
        <v>822</v>
      </c>
    </row>
    <row r="11" spans="1:20">
      <c r="A11" t="b">
        <f>IF(Table19[[#This Row],[Column2]],Table19[[#This Row],[Column13]])</f>
        <v>0</v>
      </c>
      <c r="B11" s="17"/>
      <c r="C11" s="20" t="b">
        <f>C2</f>
        <v>0</v>
      </c>
      <c r="D11" s="17"/>
      <c r="E11" s="17"/>
      <c r="F11" s="17"/>
      <c r="G11" s="20" t="b">
        <f>G2</f>
        <v>0</v>
      </c>
      <c r="H11" s="20" t="b">
        <f>H2</f>
        <v>0</v>
      </c>
      <c r="I11" s="17" t="b">
        <f>I2</f>
        <v>1</v>
      </c>
      <c r="J11" s="20" t="b">
        <f>J2</f>
        <v>1</v>
      </c>
      <c r="K11" s="17"/>
      <c r="L11" s="17"/>
      <c r="M11" s="20" t="b">
        <f>M2</f>
        <v>0</v>
      </c>
      <c r="N11" s="20" t="b">
        <f>N2</f>
        <v>1</v>
      </c>
      <c r="O11" s="20" t="b">
        <f>OR('Sun Screen Criteria'!B15:C15)</f>
        <v>1</v>
      </c>
      <c r="P11" s="20" t="b">
        <f>P2</f>
        <v>1</v>
      </c>
      <c r="Q11" s="20" t="b">
        <f>Q2</f>
        <v>1</v>
      </c>
      <c r="R11" s="17" t="b">
        <f>R2</f>
        <v>1</v>
      </c>
      <c r="S11" t="b">
        <f>AND(Table19[[#This Row],[Non-comedogenic]:[Mineral]],Table19[[#This Row],[Spray/Whip/Oil]:[Oxy/Avobenzone]],OR(Table19[[#This Row],[Low SPF]:[High SPF]]),OR(Table19[[#This Row],[Face/Lips]:[Body]]))</f>
        <v>0</v>
      </c>
      <c r="T11" s="28" t="s">
        <v>823</v>
      </c>
    </row>
    <row r="12" spans="1:20">
      <c r="A12" t="b">
        <f>IF(Table19[[#This Row],[Column2]],Table19[[#This Row],[Column13]])</f>
        <v>0</v>
      </c>
      <c r="B12" s="17"/>
      <c r="C12" s="20" t="b">
        <f>C2</f>
        <v>0</v>
      </c>
      <c r="D12" s="17"/>
      <c r="E12" s="17"/>
      <c r="F12" s="17"/>
      <c r="G12" s="20" t="b">
        <f>G2</f>
        <v>0</v>
      </c>
      <c r="H12" s="20" t="b">
        <f>H2</f>
        <v>0</v>
      </c>
      <c r="I12" s="17" t="b">
        <f>I2</f>
        <v>1</v>
      </c>
      <c r="J12" s="20" t="b">
        <f>J2</f>
        <v>1</v>
      </c>
      <c r="K12" s="17"/>
      <c r="L12" s="20" t="b">
        <f>L2</f>
        <v>0</v>
      </c>
      <c r="M12" s="17"/>
      <c r="N12" s="20" t="b">
        <f>N2</f>
        <v>1</v>
      </c>
      <c r="O12" s="20" t="b">
        <f>O11</f>
        <v>1</v>
      </c>
      <c r="P12" s="20" t="b">
        <f>P2</f>
        <v>1</v>
      </c>
      <c r="Q12" s="20" t="b">
        <f>Q2</f>
        <v>1</v>
      </c>
      <c r="R12" s="17" t="b">
        <f>R2</f>
        <v>1</v>
      </c>
      <c r="S12" t="b">
        <f>AND(Table19[[#This Row],[Non-comedogenic]:[Mineral]],Table19[[#This Row],[Spray/Whip/Oil]:[Oxy/Avobenzone]],OR(Table19[[#This Row],[Low SPF]:[High SPF]]),OR(Table19[[#This Row],[Face/Lips]:[Body]]))</f>
        <v>0</v>
      </c>
      <c r="T12" s="28" t="s">
        <v>824</v>
      </c>
    </row>
    <row r="13" spans="1:20">
      <c r="A13" t="b">
        <f>IF(Table19[[#This Row],[Column2]],Table19[[#This Row],[Column13]])</f>
        <v>0</v>
      </c>
      <c r="B13" s="17"/>
      <c r="C13" s="20" t="b">
        <f>C2</f>
        <v>0</v>
      </c>
      <c r="D13" s="20" t="b">
        <f>D2</f>
        <v>0</v>
      </c>
      <c r="E13" s="17"/>
      <c r="F13" s="17"/>
      <c r="G13" s="20" t="b">
        <f t="shared" ref="G13:M13" si="3">G2</f>
        <v>0</v>
      </c>
      <c r="H13" s="20" t="b">
        <f t="shared" si="3"/>
        <v>0</v>
      </c>
      <c r="I13" s="17" t="b">
        <f t="shared" si="3"/>
        <v>1</v>
      </c>
      <c r="J13" s="20" t="b">
        <f t="shared" si="3"/>
        <v>1</v>
      </c>
      <c r="K13" s="20" t="b">
        <f t="shared" si="3"/>
        <v>1</v>
      </c>
      <c r="L13" s="20" t="b">
        <f t="shared" si="3"/>
        <v>0</v>
      </c>
      <c r="M13" s="20" t="b">
        <f t="shared" si="3"/>
        <v>0</v>
      </c>
      <c r="N13" s="17" t="b">
        <f>N7</f>
        <v>1</v>
      </c>
      <c r="O13" s="17" t="b">
        <f>O2</f>
        <v>1</v>
      </c>
      <c r="P13" s="17" t="b">
        <f>P3</f>
        <v>1</v>
      </c>
      <c r="Q13" s="20" t="b">
        <f>Q2</f>
        <v>1</v>
      </c>
      <c r="R13" s="17" t="b">
        <f>R2</f>
        <v>1</v>
      </c>
      <c r="S13" t="b">
        <f>AND(Table19[[#This Row],[Non-comedogenic]:[Mineral]],Table19[[#This Row],[Spray/Whip/Oil]:[Oxy/Avobenzone]],OR(Table19[[#This Row],[Low SPF]:[High SPF]]),OR(Table19[[#This Row],[Face/Lips]:[Body]]))</f>
        <v>0</v>
      </c>
      <c r="T13" s="28" t="s">
        <v>828</v>
      </c>
    </row>
    <row r="14" spans="1:20">
      <c r="A14" t="b">
        <f>IF(Table19[[#This Row],[Column2]],Table19[[#This Row],[Column13]])</f>
        <v>0</v>
      </c>
      <c r="B14" s="17"/>
      <c r="C14" s="20" t="b">
        <f>C2</f>
        <v>0</v>
      </c>
      <c r="D14" s="20" t="b">
        <f>D2</f>
        <v>0</v>
      </c>
      <c r="E14" s="20" t="b">
        <f>E7</f>
        <v>0</v>
      </c>
      <c r="F14" s="17"/>
      <c r="G14" s="17"/>
      <c r="H14" s="20" t="b">
        <f t="shared" ref="H14:M14" si="4">H2</f>
        <v>0</v>
      </c>
      <c r="I14" s="17" t="b">
        <f t="shared" si="4"/>
        <v>1</v>
      </c>
      <c r="J14" s="20" t="b">
        <f t="shared" si="4"/>
        <v>1</v>
      </c>
      <c r="K14" s="20" t="b">
        <f t="shared" si="4"/>
        <v>1</v>
      </c>
      <c r="L14" s="20" t="b">
        <f t="shared" si="4"/>
        <v>0</v>
      </c>
      <c r="M14" s="20" t="b">
        <f t="shared" si="4"/>
        <v>0</v>
      </c>
      <c r="N14" s="17" t="b">
        <f>N7</f>
        <v>1</v>
      </c>
      <c r="O14" s="17" t="b">
        <f>O2</f>
        <v>1</v>
      </c>
      <c r="P14" s="17" t="b">
        <f>P3</f>
        <v>1</v>
      </c>
      <c r="Q14" s="20" t="b">
        <f>Q2</f>
        <v>1</v>
      </c>
      <c r="R14" s="17" t="b">
        <f>R2</f>
        <v>1</v>
      </c>
      <c r="S14" t="b">
        <f>AND(Table19[[#This Row],[Non-comedogenic]:[Mineral]],Table19[[#This Row],[Spray/Whip/Oil]:[Oxy/Avobenzone]],OR(Table19[[#This Row],[Low SPF]:[High SPF]]),OR(Table19[[#This Row],[Face/Lips]:[Body]]))</f>
        <v>0</v>
      </c>
      <c r="T14" s="28" t="s">
        <v>829</v>
      </c>
    </row>
    <row r="15" spans="1:20">
      <c r="A15" t="b">
        <f>IF(Table19[[#This Row],[Column2]],Table19[[#This Row],[Column13]])</f>
        <v>0</v>
      </c>
      <c r="B15" s="17"/>
      <c r="C15" s="17"/>
      <c r="D15" s="20" t="b">
        <f>D2</f>
        <v>0</v>
      </c>
      <c r="E15" s="20" t="b">
        <f>E7</f>
        <v>0</v>
      </c>
      <c r="F15" s="17"/>
      <c r="G15" s="17"/>
      <c r="H15" s="20" t="b">
        <f>H2</f>
        <v>0</v>
      </c>
      <c r="I15" s="20" t="b">
        <f>OR('Sun Screen Criteria'!B18:C18)</f>
        <v>1</v>
      </c>
      <c r="J15" s="20" t="b">
        <f>J2</f>
        <v>1</v>
      </c>
      <c r="K15" s="20" t="b">
        <f>K2</f>
        <v>1</v>
      </c>
      <c r="L15" s="20" t="b">
        <f>L2</f>
        <v>0</v>
      </c>
      <c r="M15" s="20" t="b">
        <f>M2</f>
        <v>0</v>
      </c>
      <c r="N15" s="17" t="b">
        <f>N7</f>
        <v>1</v>
      </c>
      <c r="O15" s="20" t="b">
        <f>O11</f>
        <v>1</v>
      </c>
      <c r="P15" s="17" t="b">
        <f>P3</f>
        <v>1</v>
      </c>
      <c r="Q15" s="20" t="b">
        <f>Q2</f>
        <v>1</v>
      </c>
      <c r="R15" s="17" t="b">
        <f>R2</f>
        <v>1</v>
      </c>
      <c r="S15" t="b">
        <f>AND(Table19[[#This Row],[Non-comedogenic]:[Mineral]],Table19[[#This Row],[Spray/Whip/Oil]:[Oxy/Avobenzone]],OR(Table19[[#This Row],[Low SPF]:[High SPF]]),OR(Table19[[#This Row],[Face/Lips]:[Body]]))</f>
        <v>0</v>
      </c>
      <c r="T15" s="28" t="s">
        <v>830</v>
      </c>
    </row>
    <row r="16" spans="1:20">
      <c r="A16" t="b">
        <f>IF(Table19[[#This Row],[Column2]],Table19[[#This Row],[Column13]])</f>
        <v>0</v>
      </c>
      <c r="B16" s="17"/>
      <c r="C16" s="20" t="b">
        <f>C2</f>
        <v>0</v>
      </c>
      <c r="D16" s="20" t="b">
        <f>D2</f>
        <v>0</v>
      </c>
      <c r="E16" s="20" t="b">
        <f>E7</f>
        <v>0</v>
      </c>
      <c r="F16" s="17"/>
      <c r="G16" s="17"/>
      <c r="H16" s="20" t="b">
        <f>H2</f>
        <v>0</v>
      </c>
      <c r="I16" s="20" t="b">
        <f>I15</f>
        <v>1</v>
      </c>
      <c r="J16" s="20" t="b">
        <f>J2</f>
        <v>1</v>
      </c>
      <c r="K16" s="20" t="b">
        <f>K2</f>
        <v>1</v>
      </c>
      <c r="L16" s="20" t="b">
        <f>L2</f>
        <v>0</v>
      </c>
      <c r="M16" s="20" t="b">
        <f>M2</f>
        <v>0</v>
      </c>
      <c r="N16" s="17" t="b">
        <f>N7</f>
        <v>1</v>
      </c>
      <c r="O16" s="17" t="b">
        <f>O2</f>
        <v>1</v>
      </c>
      <c r="P16" s="17" t="b">
        <f>P3</f>
        <v>1</v>
      </c>
      <c r="Q16" s="20" t="b">
        <f>Q2</f>
        <v>1</v>
      </c>
      <c r="R16" s="17" t="b">
        <f>R2</f>
        <v>1</v>
      </c>
      <c r="S16" t="b">
        <f>AND(Table19[[#This Row],[Non-comedogenic]:[Mineral]],Table19[[#This Row],[Spray/Whip/Oil]:[Oxy/Avobenzone]],OR(Table19[[#This Row],[Low SPF]:[High SPF]]),OR(Table19[[#This Row],[Face/Lips]:[Body]]))</f>
        <v>0</v>
      </c>
      <c r="T16" s="28" t="s">
        <v>831</v>
      </c>
    </row>
    <row r="17" spans="1:20">
      <c r="A17" s="16" t="e">
        <f>IF(Table19[[#This Row],[Column2]],Table19[[#This Row],[Column13]])</f>
        <v>#VALUE!</v>
      </c>
      <c r="B17" s="16"/>
      <c r="C17" s="16"/>
      <c r="D17" s="16"/>
      <c r="E17" s="16"/>
      <c r="F17" s="16"/>
      <c r="G17" s="16"/>
      <c r="H17" s="16"/>
      <c r="I17" s="16"/>
      <c r="J17" s="16"/>
      <c r="K17" s="16"/>
      <c r="L17" s="16"/>
      <c r="M17" s="16"/>
      <c r="N17" s="16"/>
      <c r="O17" s="16"/>
      <c r="P17" s="16"/>
      <c r="Q17" s="16"/>
      <c r="R17" s="16"/>
      <c r="S17" s="16" t="e">
        <f>AND(Table19[[#This Row],[Non-comedogenic]:[Mineral]],Table19[[#This Row],[Spray/Whip/Oil]:[Oxy/Avobenzone]],OR(Table19[[#This Row],[Low SPF]:[High SPF]]),OR(Table19[[#This Row],[Face/Lips]:[Body]]))</f>
        <v>#VALUE!</v>
      </c>
      <c r="T17" s="16"/>
    </row>
    <row r="18" spans="1:20">
      <c r="A18" t="b">
        <f>IF(Table19[[#This Row],[Column2]],Table19[[#This Row],[Column13]])</f>
        <v>0</v>
      </c>
      <c r="B18" s="17"/>
      <c r="C18" s="20" t="b">
        <f>C2</f>
        <v>0</v>
      </c>
      <c r="D18" s="17"/>
      <c r="E18" s="20" t="b">
        <f>E7</f>
        <v>0</v>
      </c>
      <c r="F18" s="17"/>
      <c r="G18" s="17"/>
      <c r="H18" s="20" t="b">
        <f>H2</f>
        <v>0</v>
      </c>
      <c r="I18" s="17" t="b">
        <f>I2</f>
        <v>1</v>
      </c>
      <c r="J18" s="20" t="b">
        <f>J2</f>
        <v>1</v>
      </c>
      <c r="K18" s="17"/>
      <c r="L18" s="20" t="b">
        <f>L2</f>
        <v>0</v>
      </c>
      <c r="M18" s="20" t="b">
        <f>M2</f>
        <v>0</v>
      </c>
      <c r="N18" s="17" t="b">
        <f>N7</f>
        <v>1</v>
      </c>
      <c r="O18" s="17" t="b">
        <f>O2</f>
        <v>1</v>
      </c>
      <c r="P18" s="17" t="b">
        <f>P3</f>
        <v>1</v>
      </c>
      <c r="Q18" s="17" t="b">
        <f>Q5</f>
        <v>1</v>
      </c>
      <c r="R18" s="17" t="b">
        <f>R2</f>
        <v>1</v>
      </c>
      <c r="S18" t="b">
        <f>AND(Table19[[#This Row],[Non-comedogenic]:[Mineral]],Table19[[#This Row],[Spray/Whip/Oil]:[Oxy/Avobenzone]],OR(Table19[[#This Row],[Low SPF]:[High SPF]]),OR(Table19[[#This Row],[Face/Lips]:[Body]]))</f>
        <v>0</v>
      </c>
      <c r="T18" s="29" t="s">
        <v>832</v>
      </c>
    </row>
    <row r="19" spans="1:20">
      <c r="A19" t="b">
        <f>IF(Table19[[#This Row],[Column2]],Table19[[#This Row],[Column13]])</f>
        <v>0</v>
      </c>
      <c r="B19" s="17"/>
      <c r="C19" s="20" t="b">
        <f>C2</f>
        <v>0</v>
      </c>
      <c r="D19" s="17"/>
      <c r="E19" s="17"/>
      <c r="F19" s="17"/>
      <c r="G19" s="20" t="b">
        <f t="shared" ref="G19:M19" si="5">G2</f>
        <v>0</v>
      </c>
      <c r="H19" s="20" t="b">
        <f t="shared" si="5"/>
        <v>0</v>
      </c>
      <c r="I19" s="17" t="b">
        <f t="shared" si="5"/>
        <v>1</v>
      </c>
      <c r="J19" s="20" t="b">
        <f t="shared" si="5"/>
        <v>1</v>
      </c>
      <c r="K19" s="20" t="b">
        <f t="shared" si="5"/>
        <v>1</v>
      </c>
      <c r="L19" s="20" t="b">
        <f t="shared" si="5"/>
        <v>0</v>
      </c>
      <c r="M19" s="20" t="b">
        <f t="shared" si="5"/>
        <v>0</v>
      </c>
      <c r="N19" s="17" t="b">
        <f>N7</f>
        <v>1</v>
      </c>
      <c r="O19" s="20" t="b">
        <f>O11</f>
        <v>1</v>
      </c>
      <c r="P19" s="17" t="b">
        <f>P3</f>
        <v>1</v>
      </c>
      <c r="Q19" s="17" t="b">
        <f>Q5</f>
        <v>1</v>
      </c>
      <c r="R19" s="17" t="b">
        <f>R2</f>
        <v>1</v>
      </c>
      <c r="S19" t="b">
        <f>AND(Table19[[#This Row],[Non-comedogenic]:[Mineral]],Table19[[#This Row],[Spray/Whip/Oil]:[Oxy/Avobenzone]],OR(Table19[[#This Row],[Low SPF]:[High SPF]]),OR(Table19[[#This Row],[Face/Lips]:[Body]]))</f>
        <v>0</v>
      </c>
      <c r="T19" s="29" t="s">
        <v>833</v>
      </c>
    </row>
    <row r="20" spans="1:20">
      <c r="A20" t="b">
        <f>IF(Table19[[#This Row],[Column2]],Table19[[#This Row],[Column13]])</f>
        <v>0</v>
      </c>
      <c r="B20" s="17"/>
      <c r="C20" s="20" t="b">
        <f>C2</f>
        <v>0</v>
      </c>
      <c r="D20" s="17"/>
      <c r="E20" s="17"/>
      <c r="F20" s="17"/>
      <c r="G20" s="20" t="b">
        <f>G2</f>
        <v>0</v>
      </c>
      <c r="H20" s="20" t="b">
        <f>H2</f>
        <v>0</v>
      </c>
      <c r="I20" s="17" t="b">
        <f>I2</f>
        <v>1</v>
      </c>
      <c r="J20" s="20" t="b">
        <f>J2</f>
        <v>1</v>
      </c>
      <c r="K20" s="17"/>
      <c r="L20" s="20" t="b">
        <f>L2</f>
        <v>0</v>
      </c>
      <c r="M20" s="17"/>
      <c r="N20" s="20" t="b">
        <f>N2</f>
        <v>1</v>
      </c>
      <c r="O20" s="17" t="b">
        <f>O2</f>
        <v>1</v>
      </c>
      <c r="P20" s="17" t="b">
        <f>P3</f>
        <v>1</v>
      </c>
      <c r="Q20" s="20" t="b">
        <f>Q2</f>
        <v>1</v>
      </c>
      <c r="R20" s="17" t="b">
        <f>R2</f>
        <v>1</v>
      </c>
      <c r="S20" t="b">
        <f>AND(Table19[[#This Row],[Non-comedogenic]:[Mineral]],Table19[[#This Row],[Spray/Whip/Oil]:[Oxy/Avobenzone]],OR(Table19[[#This Row],[Low SPF]:[High SPF]]),OR(Table19[[#This Row],[Face/Lips]:[Body]]))</f>
        <v>0</v>
      </c>
      <c r="T20" s="29" t="s">
        <v>834</v>
      </c>
    </row>
    <row r="21" spans="1:20">
      <c r="A21" t="b">
        <f>IF(Table19[[#This Row],[Column2]],Table19[[#This Row],[Column13]])</f>
        <v>0</v>
      </c>
      <c r="B21" s="17"/>
      <c r="C21" s="20" t="b">
        <f>C2</f>
        <v>0</v>
      </c>
      <c r="D21" s="17"/>
      <c r="E21" s="17"/>
      <c r="F21" s="17"/>
      <c r="G21" s="20" t="b">
        <f>G2</f>
        <v>0</v>
      </c>
      <c r="H21" s="20" t="b">
        <f>H2</f>
        <v>0</v>
      </c>
      <c r="I21" s="17" t="b">
        <f>I2</f>
        <v>1</v>
      </c>
      <c r="J21" s="20" t="b">
        <f>J2</f>
        <v>1</v>
      </c>
      <c r="K21" s="20" t="b">
        <f>K2</f>
        <v>1</v>
      </c>
      <c r="L21" s="17"/>
      <c r="M21" s="20" t="b">
        <f>M2</f>
        <v>0</v>
      </c>
      <c r="N21" s="20" t="b">
        <f>N2</f>
        <v>1</v>
      </c>
      <c r="O21" s="17" t="b">
        <f>O2</f>
        <v>1</v>
      </c>
      <c r="P21" s="17" t="b">
        <f>P3</f>
        <v>1</v>
      </c>
      <c r="Q21" s="17" t="b">
        <f>Q5</f>
        <v>1</v>
      </c>
      <c r="R21" s="17" t="b">
        <f>R2</f>
        <v>1</v>
      </c>
      <c r="S21" t="b">
        <f>AND(Table19[[#This Row],[Non-comedogenic]:[Mineral]],Table19[[#This Row],[Spray/Whip/Oil]:[Oxy/Avobenzone]],OR(Table19[[#This Row],[Low SPF]:[High SPF]]),OR(Table19[[#This Row],[Face/Lips]:[Body]]))</f>
        <v>0</v>
      </c>
      <c r="T21" s="29" t="s">
        <v>835</v>
      </c>
    </row>
    <row r="22" spans="1:20">
      <c r="A22" t="b">
        <f>IF(Table19[[#This Row],[Column2]],Table19[[#This Row],[Column13]])</f>
        <v>0</v>
      </c>
      <c r="B22" s="17"/>
      <c r="C22" s="20" t="b">
        <f>C2</f>
        <v>0</v>
      </c>
      <c r="D22" s="17"/>
      <c r="E22" s="17"/>
      <c r="F22" s="17"/>
      <c r="G22" s="20" t="b">
        <f>G2</f>
        <v>0</v>
      </c>
      <c r="H22" s="20" t="b">
        <f>H2</f>
        <v>0</v>
      </c>
      <c r="I22" s="17" t="b">
        <f>I2</f>
        <v>1</v>
      </c>
      <c r="J22" s="20" t="b">
        <f>J2</f>
        <v>1</v>
      </c>
      <c r="K22" s="17"/>
      <c r="L22" s="20" t="b">
        <f>L2</f>
        <v>0</v>
      </c>
      <c r="M22" s="17"/>
      <c r="N22" s="17" t="b">
        <f>N7</f>
        <v>1</v>
      </c>
      <c r="O22" s="20" t="b">
        <f>O11</f>
        <v>1</v>
      </c>
      <c r="P22" s="17" t="b">
        <f>P3</f>
        <v>1</v>
      </c>
      <c r="Q22" s="17" t="b">
        <f>Q5</f>
        <v>1</v>
      </c>
      <c r="R22" s="20" t="b">
        <f>OR('Sun Screen Criteria'!B11:C11)</f>
        <v>1</v>
      </c>
      <c r="S22" t="b">
        <f>AND(Table19[[#This Row],[Non-comedogenic]:[Mineral]],Table19[[#This Row],[Spray/Whip/Oil]:[Oxy/Avobenzone]],OR(Table19[[#This Row],[Low SPF]:[High SPF]]),OR(Table19[[#This Row],[Face/Lips]:[Body]]))</f>
        <v>0</v>
      </c>
      <c r="T22" s="29" t="s">
        <v>836</v>
      </c>
    </row>
    <row r="23" spans="1:20">
      <c r="A23" t="b">
        <f>IF(Table19[[#This Row],[Column2]],Table19[[#This Row],[Column13]])</f>
        <v>0</v>
      </c>
      <c r="B23" s="17"/>
      <c r="C23" s="20" t="b">
        <f>C2</f>
        <v>0</v>
      </c>
      <c r="D23" s="17"/>
      <c r="E23" s="17"/>
      <c r="F23" s="17"/>
      <c r="G23" s="20" t="b">
        <f>G2</f>
        <v>0</v>
      </c>
      <c r="H23" s="20" t="b">
        <f>H2</f>
        <v>0</v>
      </c>
      <c r="I23" s="17" t="b">
        <f>I2</f>
        <v>1</v>
      </c>
      <c r="J23" s="20" t="b">
        <f>J2</f>
        <v>1</v>
      </c>
      <c r="K23" s="17"/>
      <c r="L23" s="17"/>
      <c r="M23" s="20" t="b">
        <f>M2</f>
        <v>0</v>
      </c>
      <c r="N23" s="17" t="b">
        <f>N7</f>
        <v>1</v>
      </c>
      <c r="O23" s="20" t="b">
        <f>O11</f>
        <v>1</v>
      </c>
      <c r="P23" s="17" t="b">
        <f>P3</f>
        <v>1</v>
      </c>
      <c r="Q23" s="17" t="b">
        <f>Q5</f>
        <v>1</v>
      </c>
      <c r="R23" s="20" t="b">
        <f>R22</f>
        <v>1</v>
      </c>
      <c r="S23" t="b">
        <f>AND(Table19[[#This Row],[Non-comedogenic]:[Mineral]],Table19[[#This Row],[Spray/Whip/Oil]:[Oxy/Avobenzone]],OR(Table19[[#This Row],[Low SPF]:[High SPF]]),OR(Table19[[#This Row],[Face/Lips]:[Body]]))</f>
        <v>0</v>
      </c>
      <c r="T23" s="29" t="s">
        <v>837</v>
      </c>
    </row>
    <row r="24" spans="1:20">
      <c r="A24" t="b">
        <f>IF(Table19[[#This Row],[Column2]],Table19[[#This Row],[Column13]])</f>
        <v>0</v>
      </c>
      <c r="B24" s="17"/>
      <c r="C24" s="20" t="b">
        <f>C2</f>
        <v>0</v>
      </c>
      <c r="D24" s="17"/>
      <c r="E24" s="20" t="b">
        <f>E7</f>
        <v>0</v>
      </c>
      <c r="F24" s="17"/>
      <c r="G24" s="17"/>
      <c r="H24" s="20" t="b">
        <f>H2</f>
        <v>0</v>
      </c>
      <c r="I24" s="17" t="b">
        <f>I2</f>
        <v>1</v>
      </c>
      <c r="J24" s="20" t="b">
        <f>J2</f>
        <v>1</v>
      </c>
      <c r="K24" s="17"/>
      <c r="L24" s="20" t="b">
        <f>L2</f>
        <v>0</v>
      </c>
      <c r="M24" s="20" t="b">
        <f>M2</f>
        <v>0</v>
      </c>
      <c r="N24" s="20" t="b">
        <f>N2</f>
        <v>1</v>
      </c>
      <c r="O24" s="17" t="b">
        <f>O2</f>
        <v>1</v>
      </c>
      <c r="P24" s="17" t="b">
        <f>P3</f>
        <v>1</v>
      </c>
      <c r="Q24" s="17" t="b">
        <f>Q5</f>
        <v>1</v>
      </c>
      <c r="R24" s="17" t="b">
        <f>R2</f>
        <v>1</v>
      </c>
      <c r="S24" t="b">
        <f>AND(Table19[[#This Row],[Non-comedogenic]:[Mineral]],Table19[[#This Row],[Spray/Whip/Oil]:[Oxy/Avobenzone]],OR(Table19[[#This Row],[Low SPF]:[High SPF]]),OR(Table19[[#This Row],[Face/Lips]:[Body]]))</f>
        <v>0</v>
      </c>
      <c r="T24" s="29" t="s">
        <v>838</v>
      </c>
    </row>
    <row r="25" spans="1:20">
      <c r="A25" t="b">
        <f>IF(Table19[[#This Row],[Column2]],Table19[[#This Row],[Column13]])</f>
        <v>0</v>
      </c>
      <c r="B25" s="20" t="b">
        <f>AND('Sun Screen Criteria'!B3)</f>
        <v>0</v>
      </c>
      <c r="C25" s="17"/>
      <c r="D25" s="17"/>
      <c r="E25" s="17"/>
      <c r="F25" s="17"/>
      <c r="G25" s="20" t="b">
        <f>G2</f>
        <v>0</v>
      </c>
      <c r="H25" s="20" t="b">
        <f>H2</f>
        <v>0</v>
      </c>
      <c r="I25" s="17" t="b">
        <f>I2</f>
        <v>1</v>
      </c>
      <c r="J25" s="20" t="b">
        <f>J2</f>
        <v>1</v>
      </c>
      <c r="K25" s="17"/>
      <c r="L25" s="20" t="b">
        <f>L2</f>
        <v>0</v>
      </c>
      <c r="M25" s="20" t="b">
        <f>M2</f>
        <v>0</v>
      </c>
      <c r="N25" s="20" t="b">
        <f>N2</f>
        <v>1</v>
      </c>
      <c r="O25" s="20" t="b">
        <f>O11</f>
        <v>1</v>
      </c>
      <c r="P25" s="17" t="b">
        <f>P3</f>
        <v>1</v>
      </c>
      <c r="Q25" s="17" t="b">
        <f>Q5</f>
        <v>1</v>
      </c>
      <c r="R25" s="17" t="b">
        <f>R2</f>
        <v>1</v>
      </c>
      <c r="S25" t="b">
        <f>AND(Table19[[#This Row],[Non-comedogenic]:[Mineral]],Table19[[#This Row],[Spray/Whip/Oil]:[Oxy/Avobenzone]],OR(Table19[[#This Row],[Low SPF]:[High SPF]]),OR(Table19[[#This Row],[Face/Lips]:[Body]]))</f>
        <v>0</v>
      </c>
      <c r="T25" s="29" t="s">
        <v>839</v>
      </c>
    </row>
    <row r="26" spans="1:20">
      <c r="A26" t="b">
        <f>IF(Table19[[#This Row],[Column2]],Table19[[#This Row],[Column13]])</f>
        <v>0</v>
      </c>
      <c r="B26" s="17"/>
      <c r="C26" s="20" t="b">
        <f>C2</f>
        <v>0</v>
      </c>
      <c r="D26" s="17"/>
      <c r="E26" s="20" t="b">
        <f>E7</f>
        <v>0</v>
      </c>
      <c r="F26" s="17"/>
      <c r="G26" s="17"/>
      <c r="H26" s="20" t="b">
        <f>H2</f>
        <v>0</v>
      </c>
      <c r="I26" s="20" t="b">
        <f>I15</f>
        <v>1</v>
      </c>
      <c r="J26" s="20" t="b">
        <f>J2</f>
        <v>1</v>
      </c>
      <c r="K26" s="17"/>
      <c r="L26" s="20" t="b">
        <f>L2</f>
        <v>0</v>
      </c>
      <c r="M26" s="20" t="b">
        <f>M2</f>
        <v>0</v>
      </c>
      <c r="N26" s="17" t="b">
        <f>N7</f>
        <v>1</v>
      </c>
      <c r="O26" s="17" t="b">
        <f>O2</f>
        <v>1</v>
      </c>
      <c r="P26" s="17" t="b">
        <f>P3</f>
        <v>1</v>
      </c>
      <c r="Q26" s="17" t="b">
        <f>Q5</f>
        <v>1</v>
      </c>
      <c r="R26" s="17" t="b">
        <f>R2</f>
        <v>1</v>
      </c>
      <c r="S26" t="b">
        <f>AND(Table19[[#This Row],[Non-comedogenic]:[Mineral]],Table19[[#This Row],[Spray/Whip/Oil]:[Oxy/Avobenzone]],OR(Table19[[#This Row],[Low SPF]:[High SPF]]),OR(Table19[[#This Row],[Face/Lips]:[Body]]))</f>
        <v>0</v>
      </c>
      <c r="T26" s="29" t="s">
        <v>840</v>
      </c>
    </row>
    <row r="27" spans="1:20">
      <c r="A27" t="b">
        <f>IF(Table19[[#This Row],[Column2]],Table19[[#This Row],[Column13]])</f>
        <v>0</v>
      </c>
      <c r="B27" s="17"/>
      <c r="C27" s="17"/>
      <c r="D27" s="20" t="b">
        <f>D2</f>
        <v>0</v>
      </c>
      <c r="E27" s="17"/>
      <c r="F27" s="17"/>
      <c r="G27" s="20" t="b">
        <f>G2</f>
        <v>0</v>
      </c>
      <c r="H27" s="20" t="b">
        <f>H2</f>
        <v>0</v>
      </c>
      <c r="I27" s="20" t="b">
        <f>I15</f>
        <v>1</v>
      </c>
      <c r="J27" s="20" t="b">
        <f>J2</f>
        <v>1</v>
      </c>
      <c r="K27" s="17"/>
      <c r="L27" s="20" t="b">
        <f>L2</f>
        <v>0</v>
      </c>
      <c r="M27" s="20" t="b">
        <f>M2</f>
        <v>0</v>
      </c>
      <c r="N27" s="17" t="b">
        <f>N7</f>
        <v>1</v>
      </c>
      <c r="O27" s="20" t="b">
        <f>O11</f>
        <v>1</v>
      </c>
      <c r="P27" s="17" t="b">
        <f>P3</f>
        <v>1</v>
      </c>
      <c r="Q27" s="17" t="b">
        <f>Q5</f>
        <v>1</v>
      </c>
      <c r="R27" s="17" t="b">
        <f>R2</f>
        <v>1</v>
      </c>
      <c r="S27" t="b">
        <f>AND(Table19[[#This Row],[Non-comedogenic]:[Mineral]],Table19[[#This Row],[Spray/Whip/Oil]:[Oxy/Avobenzone]],OR(Table19[[#This Row],[Low SPF]:[High SPF]]),OR(Table19[[#This Row],[Face/Lips]:[Body]]))</f>
        <v>0</v>
      </c>
      <c r="T27" s="29" t="s">
        <v>841</v>
      </c>
    </row>
    <row r="28" spans="1:20">
      <c r="A28" t="b">
        <f>IF(Table19[[#This Row],[Column2]],Table19[[#This Row],[Column13]])</f>
        <v>0</v>
      </c>
      <c r="B28" s="17"/>
      <c r="C28" s="20" t="b">
        <f>C2</f>
        <v>0</v>
      </c>
      <c r="D28" s="17"/>
      <c r="E28" s="17"/>
      <c r="F28" s="17"/>
      <c r="G28" s="20" t="b">
        <f>G2</f>
        <v>0</v>
      </c>
      <c r="H28" s="20" t="b">
        <f>H2</f>
        <v>0</v>
      </c>
      <c r="I28" s="20" t="b">
        <f>I15</f>
        <v>1</v>
      </c>
      <c r="J28" s="20" t="b">
        <f>J2</f>
        <v>1</v>
      </c>
      <c r="K28" s="17"/>
      <c r="L28" s="20" t="b">
        <f>L2</f>
        <v>0</v>
      </c>
      <c r="M28" s="20" t="b">
        <f>M2</f>
        <v>0</v>
      </c>
      <c r="N28" s="17" t="b">
        <f>N7</f>
        <v>1</v>
      </c>
      <c r="O28" s="20" t="b">
        <f>O11</f>
        <v>1</v>
      </c>
      <c r="P28" s="17" t="b">
        <f>P3</f>
        <v>1</v>
      </c>
      <c r="Q28" s="17" t="b">
        <f>Q5</f>
        <v>1</v>
      </c>
      <c r="R28" s="20" t="b">
        <f>R22</f>
        <v>1</v>
      </c>
      <c r="S28" t="b">
        <f>AND(Table19[[#This Row],[Non-comedogenic]:[Mineral]],Table19[[#This Row],[Spray/Whip/Oil]:[Oxy/Avobenzone]],OR(Table19[[#This Row],[Low SPF]:[High SPF]]),OR(Table19[[#This Row],[Face/Lips]:[Body]]))</f>
        <v>0</v>
      </c>
      <c r="T28" s="29" t="s">
        <v>842</v>
      </c>
    </row>
    <row r="29" spans="1:20">
      <c r="A29" t="b">
        <f>IF(Table19[[#This Row],[Column2]],Table19[[#This Row],[Column13]])</f>
        <v>0</v>
      </c>
      <c r="B29" s="17"/>
      <c r="C29" s="20" t="b">
        <f>C2</f>
        <v>0</v>
      </c>
      <c r="D29" s="17"/>
      <c r="E29" s="17"/>
      <c r="F29" s="17"/>
      <c r="G29" s="20" t="b">
        <f>G2</f>
        <v>0</v>
      </c>
      <c r="H29" s="20" t="b">
        <f>H2</f>
        <v>0</v>
      </c>
      <c r="I29" s="20" t="b">
        <f>I15</f>
        <v>1</v>
      </c>
      <c r="J29" s="20" t="b">
        <f>J2</f>
        <v>1</v>
      </c>
      <c r="K29" s="17"/>
      <c r="L29" s="20" t="b">
        <f>L2</f>
        <v>0</v>
      </c>
      <c r="M29" s="20" t="b">
        <f>M2</f>
        <v>0</v>
      </c>
      <c r="N29" s="17" t="b">
        <f>N7</f>
        <v>1</v>
      </c>
      <c r="O29" s="20" t="b">
        <f>O11</f>
        <v>1</v>
      </c>
      <c r="P29" s="17" t="b">
        <f>P3</f>
        <v>1</v>
      </c>
      <c r="Q29" s="17" t="b">
        <f>Q5</f>
        <v>1</v>
      </c>
      <c r="R29" s="17" t="b">
        <f>R2</f>
        <v>1</v>
      </c>
      <c r="S29" t="b">
        <f>AND(Table19[[#This Row],[Non-comedogenic]:[Mineral]],Table19[[#This Row],[Spray/Whip/Oil]:[Oxy/Avobenzone]],OR(Table19[[#This Row],[Low SPF]:[High SPF]]),OR(Table19[[#This Row],[Face/Lips]:[Body]]))</f>
        <v>0</v>
      </c>
      <c r="T29" s="29" t="s">
        <v>843</v>
      </c>
    </row>
    <row r="30" spans="1:20">
      <c r="A30" t="b">
        <f>IF(Table19[[#This Row],[Column2]],Table19[[#This Row],[Column13]])</f>
        <v>0</v>
      </c>
      <c r="B30" s="17"/>
      <c r="C30" s="20" t="b">
        <f>C2</f>
        <v>0</v>
      </c>
      <c r="D30" s="17"/>
      <c r="E30" s="17"/>
      <c r="F30" s="17"/>
      <c r="G30" s="20" t="b">
        <f>G2</f>
        <v>0</v>
      </c>
      <c r="H30" s="20" t="b">
        <f>H2</f>
        <v>0</v>
      </c>
      <c r="I30" s="20" t="b">
        <f>I15</f>
        <v>1</v>
      </c>
      <c r="J30" s="20" t="b">
        <f>J2</f>
        <v>1</v>
      </c>
      <c r="K30" s="17"/>
      <c r="L30" s="20" t="b">
        <f>L2</f>
        <v>0</v>
      </c>
      <c r="M30" s="20" t="b">
        <f>M2</f>
        <v>0</v>
      </c>
      <c r="N30" s="17" t="b">
        <f>N7</f>
        <v>1</v>
      </c>
      <c r="O30" s="20" t="b">
        <f>O11</f>
        <v>1</v>
      </c>
      <c r="P30" s="17" t="b">
        <f>P3</f>
        <v>1</v>
      </c>
      <c r="Q30" s="17" t="b">
        <f>Q5</f>
        <v>1</v>
      </c>
      <c r="R30" s="20" t="b">
        <f>R22</f>
        <v>1</v>
      </c>
      <c r="S30" t="b">
        <f>AND(Table19[[#This Row],[Non-comedogenic]:[Mineral]],Table19[[#This Row],[Spray/Whip/Oil]:[Oxy/Avobenzone]],OR(Table19[[#This Row],[Low SPF]:[High SPF]]),OR(Table19[[#This Row],[Face/Lips]:[Body]]))</f>
        <v>0</v>
      </c>
      <c r="T30" s="29" t="s">
        <v>844</v>
      </c>
    </row>
    <row r="31" spans="1:20">
      <c r="A31" t="b">
        <f>IF(Table19[[#This Row],[Column2]],Table19[[#This Row],[Column13]])</f>
        <v>0</v>
      </c>
      <c r="B31" s="20" t="b">
        <f>B25</f>
        <v>0</v>
      </c>
      <c r="C31" s="20" t="b">
        <f>C2</f>
        <v>0</v>
      </c>
      <c r="D31" s="17"/>
      <c r="E31" s="17"/>
      <c r="F31" s="17"/>
      <c r="G31" s="20" t="b">
        <f>G2</f>
        <v>0</v>
      </c>
      <c r="H31" s="20" t="b">
        <f>H2</f>
        <v>0</v>
      </c>
      <c r="I31" s="17" t="b">
        <f>I2</f>
        <v>1</v>
      </c>
      <c r="J31" s="20" t="b">
        <f>J2</f>
        <v>1</v>
      </c>
      <c r="K31" s="17"/>
      <c r="L31" s="20" t="b">
        <f>L2</f>
        <v>0</v>
      </c>
      <c r="M31" s="20" t="b">
        <f>M2</f>
        <v>0</v>
      </c>
      <c r="N31" s="17" t="b">
        <f>N7</f>
        <v>1</v>
      </c>
      <c r="O31" s="17" t="b">
        <f>O2</f>
        <v>1</v>
      </c>
      <c r="P31" s="17" t="b">
        <f>P3</f>
        <v>1</v>
      </c>
      <c r="Q31" s="17" t="b">
        <f>Q5</f>
        <v>1</v>
      </c>
      <c r="R31" s="17" t="b">
        <f>R2</f>
        <v>1</v>
      </c>
      <c r="S31" t="b">
        <f>AND(Table19[[#This Row],[Non-comedogenic]:[Mineral]],Table19[[#This Row],[Spray/Whip/Oil]:[Oxy/Avobenzone]],OR(Table19[[#This Row],[Low SPF]:[High SPF]]),OR(Table19[[#This Row],[Face/Lips]:[Body]]))</f>
        <v>0</v>
      </c>
      <c r="T31" s="29" t="s">
        <v>845</v>
      </c>
    </row>
    <row r="32" spans="1:20">
      <c r="A32" t="b">
        <f>IF(Table19[[#This Row],[Column2]],Table19[[#This Row],[Column13]])</f>
        <v>0</v>
      </c>
      <c r="B32" s="17"/>
      <c r="C32" s="20" t="b">
        <f>C2</f>
        <v>0</v>
      </c>
      <c r="D32" s="17"/>
      <c r="E32" s="20" t="b">
        <f>E7</f>
        <v>0</v>
      </c>
      <c r="F32" s="17"/>
      <c r="G32" s="17"/>
      <c r="H32" s="20" t="b">
        <f>H2</f>
        <v>0</v>
      </c>
      <c r="I32" s="20" t="b">
        <f>I15</f>
        <v>1</v>
      </c>
      <c r="J32" s="20" t="b">
        <f>J2</f>
        <v>1</v>
      </c>
      <c r="K32" s="17"/>
      <c r="L32" s="20" t="b">
        <f>L2</f>
        <v>0</v>
      </c>
      <c r="M32" s="20" t="b">
        <f>M2</f>
        <v>0</v>
      </c>
      <c r="N32" s="17" t="b">
        <f>N7</f>
        <v>1</v>
      </c>
      <c r="O32" s="20" t="b">
        <f>O11</f>
        <v>1</v>
      </c>
      <c r="P32" s="17" t="b">
        <f>P3</f>
        <v>1</v>
      </c>
      <c r="Q32" s="17" t="b">
        <f>Q5</f>
        <v>1</v>
      </c>
      <c r="R32" s="17" t="b">
        <f>R2</f>
        <v>1</v>
      </c>
      <c r="S32" t="b">
        <f>AND(Table19[[#This Row],[Non-comedogenic]:[Mineral]],Table19[[#This Row],[Spray/Whip/Oil]:[Oxy/Avobenzone]],OR(Table19[[#This Row],[Low SPF]:[High SPF]]),OR(Table19[[#This Row],[Face/Lips]:[Body]]))</f>
        <v>0</v>
      </c>
      <c r="T32" s="29" t="s">
        <v>846</v>
      </c>
    </row>
    <row r="33" spans="1:20">
      <c r="A33" t="b">
        <f>IF(Table19[[#This Row],[Column2]],Table19[[#This Row],[Column13]])</f>
        <v>0</v>
      </c>
      <c r="B33" s="17"/>
      <c r="C33" s="20" t="b">
        <f>C2</f>
        <v>0</v>
      </c>
      <c r="D33" s="17"/>
      <c r="E33" s="20" t="b">
        <f>E7</f>
        <v>0</v>
      </c>
      <c r="F33" s="17"/>
      <c r="G33" s="17"/>
      <c r="H33" s="20" t="b">
        <f>H2</f>
        <v>0</v>
      </c>
      <c r="I33" s="17" t="b">
        <f>I2</f>
        <v>1</v>
      </c>
      <c r="J33" s="20" t="b">
        <f>J2</f>
        <v>1</v>
      </c>
      <c r="K33" s="17"/>
      <c r="L33" s="20" t="b">
        <f>L2</f>
        <v>0</v>
      </c>
      <c r="M33" s="20" t="b">
        <f>M2</f>
        <v>0</v>
      </c>
      <c r="N33" s="17" t="b">
        <f>N7</f>
        <v>1</v>
      </c>
      <c r="O33" s="20" t="b">
        <f>O11</f>
        <v>1</v>
      </c>
      <c r="P33" s="17" t="b">
        <f>P3</f>
        <v>1</v>
      </c>
      <c r="Q33" s="20" t="b">
        <f>Q2</f>
        <v>1</v>
      </c>
      <c r="R33" s="17" t="b">
        <f>R2</f>
        <v>1</v>
      </c>
      <c r="S33" t="b">
        <f>AND(Table19[[#This Row],[Non-comedogenic]:[Mineral]],Table19[[#This Row],[Spray/Whip/Oil]:[Oxy/Avobenzone]],OR(Table19[[#This Row],[Low SPF]:[High SPF]]),OR(Table19[[#This Row],[Face/Lips]:[Body]]))</f>
        <v>0</v>
      </c>
      <c r="T33" s="29" t="s">
        <v>847</v>
      </c>
    </row>
    <row r="34" spans="1:20">
      <c r="A34" t="b">
        <f>IF(Table19[[#This Row],[Column2]],Table19[[#This Row],[Column13]])</f>
        <v>0</v>
      </c>
      <c r="B34" s="17"/>
      <c r="C34" s="20" t="b">
        <f>C2</f>
        <v>0</v>
      </c>
      <c r="D34" s="17"/>
      <c r="E34" s="17"/>
      <c r="F34" s="20" t="b">
        <f>F4</f>
        <v>0</v>
      </c>
      <c r="G34" s="17"/>
      <c r="H34" s="20" t="b">
        <f>H2</f>
        <v>0</v>
      </c>
      <c r="I34" s="20" t="b">
        <f>I15</f>
        <v>1</v>
      </c>
      <c r="J34" s="20" t="b">
        <f>J2</f>
        <v>1</v>
      </c>
      <c r="K34" s="17"/>
      <c r="L34" s="20" t="b">
        <f>L2</f>
        <v>0</v>
      </c>
      <c r="M34" s="20" t="b">
        <f>M2</f>
        <v>0</v>
      </c>
      <c r="N34" s="17" t="b">
        <f>N7</f>
        <v>1</v>
      </c>
      <c r="O34" s="17" t="b">
        <f>O2</f>
        <v>1</v>
      </c>
      <c r="P34" s="17" t="b">
        <f>P3</f>
        <v>1</v>
      </c>
      <c r="Q34" s="17" t="b">
        <f>Q5</f>
        <v>1</v>
      </c>
      <c r="R34" s="20" t="b">
        <f>R22</f>
        <v>1</v>
      </c>
      <c r="S34" t="b">
        <f>AND(Table19[[#This Row],[Non-comedogenic]:[Mineral]],Table19[[#This Row],[Spray/Whip/Oil]:[Oxy/Avobenzone]],OR(Table19[[#This Row],[Low SPF]:[High SPF]]),OR(Table19[[#This Row],[Face/Lips]:[Body]]))</f>
        <v>0</v>
      </c>
      <c r="T34" s="29" t="s">
        <v>848</v>
      </c>
    </row>
    <row r="35" spans="1:20">
      <c r="A35" s="16" t="e">
        <f>IF(Table19[[#This Row],[Column2]],Table19[[#This Row],[Column13]])</f>
        <v>#VALUE!</v>
      </c>
      <c r="B35" s="16"/>
      <c r="C35" s="16"/>
      <c r="D35" s="16"/>
      <c r="E35" s="16"/>
      <c r="F35" s="16"/>
      <c r="G35" s="16"/>
      <c r="H35" s="16"/>
      <c r="I35" s="16"/>
      <c r="J35" s="16"/>
      <c r="K35" s="16"/>
      <c r="L35" s="16"/>
      <c r="M35" s="16"/>
      <c r="N35" s="16"/>
      <c r="O35" s="16"/>
      <c r="P35" s="16"/>
      <c r="Q35" s="16"/>
      <c r="R35" s="16"/>
      <c r="S35" s="16" t="e">
        <f>AND(Table19[[#This Row],[Non-comedogenic]:[Mineral]],Table19[[#This Row],[Spray/Whip/Oil]:[Oxy/Avobenzone]],OR(Table19[[#This Row],[Low SPF]:[High SPF]]),OR(Table19[[#This Row],[Face/Lips]:[Body]]))</f>
        <v>#VALUE!</v>
      </c>
      <c r="T35" s="16"/>
    </row>
    <row r="36" spans="1:20">
      <c r="A36" t="b">
        <f>IF(Table19[[#This Row],[Column2]],Table19[[#This Row],[Column13]])</f>
        <v>0</v>
      </c>
      <c r="B36" s="17"/>
      <c r="C36" s="20" t="b">
        <f>C2</f>
        <v>0</v>
      </c>
      <c r="D36" s="17"/>
      <c r="E36" s="17"/>
      <c r="F36" s="17"/>
      <c r="G36" s="20" t="b">
        <f>G2</f>
        <v>0</v>
      </c>
      <c r="H36" s="20" t="b">
        <f>H2</f>
        <v>0</v>
      </c>
      <c r="I36" s="17" t="b">
        <f>I2</f>
        <v>1</v>
      </c>
      <c r="J36" s="20" t="b">
        <f>J2</f>
        <v>1</v>
      </c>
      <c r="K36" s="17"/>
      <c r="L36" s="20" t="b">
        <f>L2</f>
        <v>0</v>
      </c>
      <c r="M36" s="20" t="b">
        <f>M2</f>
        <v>0</v>
      </c>
      <c r="N36" s="20" t="b">
        <f>N2</f>
        <v>1</v>
      </c>
      <c r="O36" s="17" t="b">
        <f>O2</f>
        <v>1</v>
      </c>
      <c r="P36" s="17" t="b">
        <f>P3</f>
        <v>1</v>
      </c>
      <c r="Q36" s="17" t="b">
        <f>Q5</f>
        <v>1</v>
      </c>
      <c r="R36" s="17" t="b">
        <f>R2</f>
        <v>1</v>
      </c>
      <c r="S36" t="b">
        <f>AND(Table19[[#This Row],[Non-comedogenic]:[Mineral]],Table19[[#This Row],[Spray/Whip/Oil]:[Oxy/Avobenzone]],OR(Table19[[#This Row],[Low SPF]:[High SPF]]),OR(Table19[[#This Row],[Face/Lips]:[Body]]))</f>
        <v>0</v>
      </c>
      <c r="T36" s="11" t="s">
        <v>849</v>
      </c>
    </row>
    <row r="37" spans="1:20">
      <c r="A37" t="b">
        <f>IF(Table19[[#This Row],[Column2]],Table19[[#This Row],[Column13]])</f>
        <v>0</v>
      </c>
      <c r="B37" s="17"/>
      <c r="C37" s="20" t="b">
        <f>C2</f>
        <v>0</v>
      </c>
      <c r="D37" s="17"/>
      <c r="E37" s="20" t="b">
        <f>E7</f>
        <v>0</v>
      </c>
      <c r="F37" s="17"/>
      <c r="G37" s="17"/>
      <c r="H37" s="20" t="b">
        <f>H2</f>
        <v>0</v>
      </c>
      <c r="I37" s="17" t="b">
        <f>I2</f>
        <v>1</v>
      </c>
      <c r="J37" s="20" t="b">
        <f>J2</f>
        <v>1</v>
      </c>
      <c r="K37" s="17"/>
      <c r="L37" s="20" t="b">
        <f>L2</f>
        <v>0</v>
      </c>
      <c r="M37" s="20" t="b">
        <f>M2</f>
        <v>0</v>
      </c>
      <c r="N37" s="20" t="b">
        <f>N2</f>
        <v>1</v>
      </c>
      <c r="O37" s="17" t="b">
        <f>O2</f>
        <v>1</v>
      </c>
      <c r="P37" s="17" t="b">
        <f>P3</f>
        <v>1</v>
      </c>
      <c r="Q37" s="17" t="b">
        <f>Q5</f>
        <v>1</v>
      </c>
      <c r="R37" s="17" t="b">
        <f>R2</f>
        <v>1</v>
      </c>
      <c r="S37" t="b">
        <f>AND(Table19[[#This Row],[Non-comedogenic]:[Mineral]],Table19[[#This Row],[Spray/Whip/Oil]:[Oxy/Avobenzone]],OR(Table19[[#This Row],[Low SPF]:[High SPF]]),OR(Table19[[#This Row],[Face/Lips]:[Body]]))</f>
        <v>0</v>
      </c>
      <c r="T37" s="29" t="s">
        <v>850</v>
      </c>
    </row>
    <row r="38" spans="1:20">
      <c r="A38" t="b">
        <f>IF(Table19[[#This Row],[Column2]],Table19[[#This Row],[Column13]])</f>
        <v>0</v>
      </c>
      <c r="B38" s="17"/>
      <c r="C38" s="20" t="b">
        <f>C2</f>
        <v>0</v>
      </c>
      <c r="D38" s="17"/>
      <c r="E38" s="20" t="b">
        <f>E7</f>
        <v>0</v>
      </c>
      <c r="F38" s="17"/>
      <c r="G38" s="17"/>
      <c r="H38" s="20" t="b">
        <f>H2</f>
        <v>0</v>
      </c>
      <c r="I38" s="17" t="b">
        <f>I2</f>
        <v>1</v>
      </c>
      <c r="J38" s="20" t="b">
        <f>J2</f>
        <v>1</v>
      </c>
      <c r="K38" s="17"/>
      <c r="L38" s="20" t="b">
        <f>L2</f>
        <v>0</v>
      </c>
      <c r="M38" s="20" t="b">
        <f>M2</f>
        <v>0</v>
      </c>
      <c r="N38" s="17" t="b">
        <f>N7</f>
        <v>1</v>
      </c>
      <c r="O38" s="17" t="b">
        <f>O2</f>
        <v>1</v>
      </c>
      <c r="P38" s="17" t="b">
        <f>P3</f>
        <v>1</v>
      </c>
      <c r="Q38" s="20" t="b">
        <f>Q2</f>
        <v>1</v>
      </c>
      <c r="R38" s="17" t="b">
        <f>R2</f>
        <v>1</v>
      </c>
      <c r="S38" t="b">
        <f>AND(Table19[[#This Row],[Non-comedogenic]:[Mineral]],Table19[[#This Row],[Spray/Whip/Oil]:[Oxy/Avobenzone]],OR(Table19[[#This Row],[Low SPF]:[High SPF]]),OR(Table19[[#This Row],[Face/Lips]:[Body]]))</f>
        <v>0</v>
      </c>
      <c r="T38" s="29" t="s">
        <v>851</v>
      </c>
    </row>
    <row r="39" spans="1:20">
      <c r="A39" t="b">
        <f>IF(Table19[[#This Row],[Column2]],Table19[[#This Row],[Column13]])</f>
        <v>0</v>
      </c>
      <c r="B39" s="17"/>
      <c r="C39" s="20" t="b">
        <f>C2</f>
        <v>0</v>
      </c>
      <c r="D39" s="17"/>
      <c r="E39" s="17"/>
      <c r="F39" s="17"/>
      <c r="G39" s="20" t="b">
        <f>G2</f>
        <v>0</v>
      </c>
      <c r="H39" s="20" t="b">
        <f>H2</f>
        <v>0</v>
      </c>
      <c r="I39" s="17" t="b">
        <f>I2</f>
        <v>1</v>
      </c>
      <c r="J39" s="20" t="b">
        <f>J2</f>
        <v>1</v>
      </c>
      <c r="K39" s="17"/>
      <c r="L39" s="20" t="b">
        <f>L2</f>
        <v>0</v>
      </c>
      <c r="M39" s="20" t="b">
        <f>M2</f>
        <v>0</v>
      </c>
      <c r="N39" s="17" t="b">
        <f>N7</f>
        <v>1</v>
      </c>
      <c r="O39" s="17" t="b">
        <f>O2</f>
        <v>1</v>
      </c>
      <c r="P39" s="17" t="b">
        <f>P3</f>
        <v>1</v>
      </c>
      <c r="Q39" s="17" t="b">
        <f>Q5</f>
        <v>1</v>
      </c>
      <c r="R39" s="17" t="b">
        <f>R2</f>
        <v>1</v>
      </c>
      <c r="S39" t="b">
        <f>AND(Table19[[#This Row],[Non-comedogenic]:[Mineral]],Table19[[#This Row],[Spray/Whip/Oil]:[Oxy/Avobenzone]],OR(Table19[[#This Row],[Low SPF]:[High SPF]]),OR(Table19[[#This Row],[Face/Lips]:[Body]]))</f>
        <v>0</v>
      </c>
      <c r="T39" s="29" t="s">
        <v>852</v>
      </c>
    </row>
    <row r="40" spans="1:20">
      <c r="A40" t="b">
        <f>IF(Table19[[#This Row],[Column2]],Table19[[#This Row],[Column13]])</f>
        <v>0</v>
      </c>
      <c r="B40" s="17"/>
      <c r="C40" s="20" t="b">
        <f>C2</f>
        <v>0</v>
      </c>
      <c r="D40" s="17"/>
      <c r="E40" s="17"/>
      <c r="F40" s="17"/>
      <c r="G40" s="20" t="b">
        <f>G2</f>
        <v>0</v>
      </c>
      <c r="H40" s="20" t="b">
        <f>H2</f>
        <v>0</v>
      </c>
      <c r="I40" s="17" t="b">
        <f>I2</f>
        <v>1</v>
      </c>
      <c r="J40" s="20" t="b">
        <f>J2</f>
        <v>1</v>
      </c>
      <c r="K40" s="17"/>
      <c r="L40" s="17"/>
      <c r="M40" s="20" t="b">
        <f>M2</f>
        <v>0</v>
      </c>
      <c r="N40" s="17" t="b">
        <f>N7</f>
        <v>1</v>
      </c>
      <c r="O40" s="17" t="b">
        <f>O2</f>
        <v>1</v>
      </c>
      <c r="P40" s="17" t="b">
        <f>P3</f>
        <v>1</v>
      </c>
      <c r="Q40" s="17" t="b">
        <f>Q5</f>
        <v>1</v>
      </c>
      <c r="R40" s="17" t="b">
        <f>R2</f>
        <v>1</v>
      </c>
      <c r="S40" t="b">
        <f>AND(Table19[[#This Row],[Non-comedogenic]:[Mineral]],Table19[[#This Row],[Spray/Whip/Oil]:[Oxy/Avobenzone]],OR(Table19[[#This Row],[Low SPF]:[High SPF]]),OR(Table19[[#This Row],[Face/Lips]:[Body]]))</f>
        <v>0</v>
      </c>
      <c r="T40" s="29" t="s">
        <v>853</v>
      </c>
    </row>
    <row r="41" spans="1:20">
      <c r="A41" t="b">
        <f>IF(Table19[[#This Row],[Column2]],Table19[[#This Row],[Column13]])</f>
        <v>0</v>
      </c>
      <c r="B41" s="17"/>
      <c r="C41" s="20" t="b">
        <f>C2</f>
        <v>0</v>
      </c>
      <c r="D41" s="17"/>
      <c r="E41" s="17"/>
      <c r="F41" s="17"/>
      <c r="G41" s="20" t="b">
        <f>G2</f>
        <v>0</v>
      </c>
      <c r="H41" s="20" t="b">
        <f>H2</f>
        <v>0</v>
      </c>
      <c r="I41" s="17" t="b">
        <f>I2</f>
        <v>1</v>
      </c>
      <c r="J41" s="17" t="b">
        <f>J10</f>
        <v>1</v>
      </c>
      <c r="K41" s="17"/>
      <c r="L41" s="20" t="b">
        <f>L2</f>
        <v>0</v>
      </c>
      <c r="M41" s="17"/>
      <c r="N41" s="20" t="b">
        <f>N2</f>
        <v>1</v>
      </c>
      <c r="O41" s="17" t="b">
        <f>O2</f>
        <v>1</v>
      </c>
      <c r="P41" s="17" t="b">
        <f>P3</f>
        <v>1</v>
      </c>
      <c r="Q41" s="20" t="b">
        <f>Q2</f>
        <v>1</v>
      </c>
      <c r="R41" s="17" t="b">
        <f>R2</f>
        <v>1</v>
      </c>
      <c r="S41" t="b">
        <f>AND(Table19[[#This Row],[Non-comedogenic]:[Mineral]],Table19[[#This Row],[Spray/Whip/Oil]:[Oxy/Avobenzone]],OR(Table19[[#This Row],[Low SPF]:[High SPF]]),OR(Table19[[#This Row],[Face/Lips]:[Body]]))</f>
        <v>0</v>
      </c>
      <c r="T41" s="29" t="s">
        <v>854</v>
      </c>
    </row>
    <row r="42" spans="1:20">
      <c r="A42" t="b">
        <f>IF(Table19[[#This Row],[Column2]],Table19[[#This Row],[Column13]])</f>
        <v>0</v>
      </c>
      <c r="B42" s="17"/>
      <c r="C42" s="20" t="b">
        <f>C2</f>
        <v>0</v>
      </c>
      <c r="D42" s="17"/>
      <c r="E42" s="20" t="b">
        <f>E7</f>
        <v>0</v>
      </c>
      <c r="F42" s="17"/>
      <c r="G42" s="17"/>
      <c r="H42" s="20" t="b">
        <f>H2</f>
        <v>0</v>
      </c>
      <c r="I42" s="17" t="b">
        <f>I2</f>
        <v>1</v>
      </c>
      <c r="J42" s="17" t="b">
        <f>J10</f>
        <v>1</v>
      </c>
      <c r="K42" s="17"/>
      <c r="L42" s="20" t="b">
        <f>L2</f>
        <v>0</v>
      </c>
      <c r="M42" s="20" t="b">
        <f>M2</f>
        <v>0</v>
      </c>
      <c r="N42" s="17" t="b">
        <f>N7</f>
        <v>1</v>
      </c>
      <c r="O42" s="17" t="b">
        <f>O2</f>
        <v>1</v>
      </c>
      <c r="P42" s="17" t="b">
        <f>P3</f>
        <v>1</v>
      </c>
      <c r="Q42" s="17" t="b">
        <f>Q5</f>
        <v>1</v>
      </c>
      <c r="R42" s="17" t="b">
        <f>R2</f>
        <v>1</v>
      </c>
      <c r="S42" t="b">
        <f>AND(Table19[[#This Row],[Non-comedogenic]:[Mineral]],Table19[[#This Row],[Spray/Whip/Oil]:[Oxy/Avobenzone]],OR(Table19[[#This Row],[Low SPF]:[High SPF]]),OR(Table19[[#This Row],[Face/Lips]:[Body]]))</f>
        <v>0</v>
      </c>
      <c r="T42" s="29" t="s">
        <v>855</v>
      </c>
    </row>
    <row r="43" spans="1:20">
      <c r="A43" t="b">
        <f>IF(Table19[[#This Row],[Column2]],Table19[[#This Row],[Column13]])</f>
        <v>0</v>
      </c>
      <c r="B43" s="20" t="b">
        <f>B25</f>
        <v>0</v>
      </c>
      <c r="C43" s="20" t="b">
        <f>C2</f>
        <v>0</v>
      </c>
      <c r="D43" s="17"/>
      <c r="E43" s="17"/>
      <c r="F43" s="17"/>
      <c r="G43" s="20" t="b">
        <f>G2</f>
        <v>0</v>
      </c>
      <c r="H43" s="20" t="b">
        <f>H2</f>
        <v>0</v>
      </c>
      <c r="I43" s="17" t="b">
        <f>I2</f>
        <v>1</v>
      </c>
      <c r="J43" s="20" t="b">
        <f>J2</f>
        <v>1</v>
      </c>
      <c r="K43" s="17"/>
      <c r="L43" s="20" t="b">
        <f>L2</f>
        <v>0</v>
      </c>
      <c r="M43" s="20" t="b">
        <f>M2</f>
        <v>0</v>
      </c>
      <c r="N43" s="17" t="b">
        <f>N7</f>
        <v>1</v>
      </c>
      <c r="O43" s="17" t="b">
        <f>O2</f>
        <v>1</v>
      </c>
      <c r="P43" s="17" t="b">
        <f>P3</f>
        <v>1</v>
      </c>
      <c r="Q43" s="20" t="b">
        <f>Q2</f>
        <v>1</v>
      </c>
      <c r="R43" s="17" t="b">
        <f>R2</f>
        <v>1</v>
      </c>
      <c r="S43" t="b">
        <f>AND(Table19[[#This Row],[Non-comedogenic]:[Mineral]],Table19[[#This Row],[Spray/Whip/Oil]:[Oxy/Avobenzone]],OR(Table19[[#This Row],[Low SPF]:[High SPF]]),OR(Table19[[#This Row],[Face/Lips]:[Body]]))</f>
        <v>0</v>
      </c>
      <c r="T43" s="29" t="s">
        <v>856</v>
      </c>
    </row>
    <row r="44" spans="1:20">
      <c r="A44" t="b">
        <f>IF(Table19[[#This Row],[Column2]],Table19[[#This Row],[Column13]])</f>
        <v>0</v>
      </c>
      <c r="B44" s="20" t="b">
        <f>B25</f>
        <v>0</v>
      </c>
      <c r="C44" s="17"/>
      <c r="D44" s="17"/>
      <c r="E44" s="20" t="b">
        <f>E7</f>
        <v>0</v>
      </c>
      <c r="F44" s="17"/>
      <c r="G44" s="17"/>
      <c r="H44" s="20" t="b">
        <f>H2</f>
        <v>0</v>
      </c>
      <c r="I44" s="17" t="b">
        <f>I2</f>
        <v>1</v>
      </c>
      <c r="J44" s="17" t="b">
        <f>J10</f>
        <v>1</v>
      </c>
      <c r="K44" s="17"/>
      <c r="L44" s="20" t="b">
        <f>L2</f>
        <v>0</v>
      </c>
      <c r="M44" s="20" t="b">
        <f>M2</f>
        <v>0</v>
      </c>
      <c r="N44" s="17" t="b">
        <f>N7</f>
        <v>1</v>
      </c>
      <c r="O44" s="17" t="b">
        <f>O2</f>
        <v>1</v>
      </c>
      <c r="P44" s="17" t="b">
        <f>P3</f>
        <v>1</v>
      </c>
      <c r="Q44" s="17" t="b">
        <f>Q5</f>
        <v>1</v>
      </c>
      <c r="R44" s="17" t="b">
        <f>R2</f>
        <v>1</v>
      </c>
      <c r="S44" t="b">
        <f>AND(Table19[[#This Row],[Non-comedogenic]:[Mineral]],Table19[[#This Row],[Spray/Whip/Oil]:[Oxy/Avobenzone]],OR(Table19[[#This Row],[Low SPF]:[High SPF]]),OR(Table19[[#This Row],[Face/Lips]:[Body]]))</f>
        <v>0</v>
      </c>
      <c r="T44" s="29" t="s">
        <v>857</v>
      </c>
    </row>
    <row r="45" spans="1:20">
      <c r="A45" t="b">
        <f>IF(Table19[[#This Row],[Column2]],Table19[[#This Row],[Column13]])</f>
        <v>0</v>
      </c>
      <c r="B45" s="20" t="b">
        <f>B25</f>
        <v>0</v>
      </c>
      <c r="C45" s="17"/>
      <c r="D45" s="17"/>
      <c r="E45" s="20" t="b">
        <f>E7</f>
        <v>0</v>
      </c>
      <c r="F45" s="17"/>
      <c r="G45" s="17"/>
      <c r="H45" s="17" t="b">
        <f>AND('Sun Screen Criteria'!C19)</f>
        <v>1</v>
      </c>
      <c r="I45" s="17" t="b">
        <f>I2</f>
        <v>1</v>
      </c>
      <c r="J45" s="17" t="b">
        <f>J10</f>
        <v>1</v>
      </c>
      <c r="K45" s="17"/>
      <c r="L45" s="20" t="b">
        <f>L2</f>
        <v>0</v>
      </c>
      <c r="M45" s="20" t="b">
        <f>M2</f>
        <v>0</v>
      </c>
      <c r="N45" s="17" t="b">
        <f>N7</f>
        <v>1</v>
      </c>
      <c r="O45" s="17" t="b">
        <f>O2</f>
        <v>1</v>
      </c>
      <c r="P45" s="17" t="b">
        <f>P3</f>
        <v>1</v>
      </c>
      <c r="Q45" s="17" t="b">
        <f>Q5</f>
        <v>1</v>
      </c>
      <c r="R45" s="17" t="b">
        <f>R2</f>
        <v>1</v>
      </c>
      <c r="S45" t="b">
        <f>AND(Table19[[#This Row],[Non-comedogenic]:[Mineral]],Table19[[#This Row],[Spray/Whip/Oil]:[Oxy/Avobenzone]],OR(Table19[[#This Row],[Low SPF]:[High SPF]]),OR(Table19[[#This Row],[Face/Lips]:[Body]]))</f>
        <v>0</v>
      </c>
      <c r="T45" s="29" t="s">
        <v>858</v>
      </c>
    </row>
    <row r="46" spans="1:20">
      <c r="A46" t="b">
        <f>IF(Table19[[#This Row],[Column2]],Table19[[#This Row],[Column13]])</f>
        <v>0</v>
      </c>
      <c r="B46" s="20" t="b">
        <f>B25</f>
        <v>0</v>
      </c>
      <c r="C46" s="17"/>
      <c r="D46" s="17"/>
      <c r="E46" s="17"/>
      <c r="F46" s="17"/>
      <c r="G46" s="20" t="b">
        <f>G2</f>
        <v>0</v>
      </c>
      <c r="H46" s="20" t="b">
        <f>H2</f>
        <v>0</v>
      </c>
      <c r="I46" s="17" t="b">
        <f>I2</f>
        <v>1</v>
      </c>
      <c r="J46" s="17" t="b">
        <f>J10</f>
        <v>1</v>
      </c>
      <c r="K46" s="17"/>
      <c r="L46" s="20" t="b">
        <f>L2</f>
        <v>0</v>
      </c>
      <c r="M46" s="20" t="b">
        <f>M2</f>
        <v>0</v>
      </c>
      <c r="N46" s="17" t="b">
        <f>N7</f>
        <v>1</v>
      </c>
      <c r="O46" s="17" t="b">
        <f>O2</f>
        <v>1</v>
      </c>
      <c r="P46" s="17" t="b">
        <f>P3</f>
        <v>1</v>
      </c>
      <c r="Q46" s="17" t="b">
        <f>Q5</f>
        <v>1</v>
      </c>
      <c r="R46" s="17" t="b">
        <f>R2</f>
        <v>1</v>
      </c>
      <c r="S46" t="b">
        <f>AND(Table19[[#This Row],[Non-comedogenic]:[Mineral]],Table19[[#This Row],[Spray/Whip/Oil]:[Oxy/Avobenzone]],OR(Table19[[#This Row],[Low SPF]:[High SPF]]),OR(Table19[[#This Row],[Face/Lips]:[Body]]))</f>
        <v>0</v>
      </c>
      <c r="T46" s="29" t="s">
        <v>859</v>
      </c>
    </row>
    <row r="47" spans="1:20">
      <c r="A47" s="16" t="e">
        <f>IF(Table19[[#This Row],[Column2]],Table19[[#This Row],[Column13]])</f>
        <v>#VALUE!</v>
      </c>
      <c r="B47" s="16"/>
      <c r="C47" s="16"/>
      <c r="D47" s="16"/>
      <c r="E47" s="16"/>
      <c r="F47" s="16"/>
      <c r="G47" s="16"/>
      <c r="H47" s="16"/>
      <c r="I47" s="16"/>
      <c r="J47" s="16"/>
      <c r="K47" s="16"/>
      <c r="L47" s="16"/>
      <c r="M47" s="16"/>
      <c r="N47" s="16"/>
      <c r="O47" s="16"/>
      <c r="P47" s="16"/>
      <c r="Q47" s="16"/>
      <c r="R47" s="16"/>
      <c r="S47" s="16" t="e">
        <f>AND(Table19[[#This Row],[Non-comedogenic]:[Mineral]],Table19[[#This Row],[Spray/Whip/Oil]:[Oxy/Avobenzone]],OR(Table19[[#This Row],[Low SPF]:[High SPF]]),OR(Table19[[#This Row],[Face/Lips]:[Body]]))</f>
        <v>#VALUE!</v>
      </c>
      <c r="T47" s="16"/>
    </row>
    <row r="48" spans="1:20">
      <c r="A48" t="b">
        <f>IF(Table19[[#This Row],[Column2]],Table19[[#This Row],[Column13]])</f>
        <v>0</v>
      </c>
      <c r="B48" s="17"/>
      <c r="C48" s="20" t="b">
        <f>C2</f>
        <v>0</v>
      </c>
      <c r="D48" s="17"/>
      <c r="E48" s="17"/>
      <c r="F48" s="17"/>
      <c r="G48" s="20" t="b">
        <f>G2</f>
        <v>0</v>
      </c>
      <c r="H48" s="20" t="b">
        <f>H2</f>
        <v>0</v>
      </c>
      <c r="I48" s="17" t="b">
        <f>I2</f>
        <v>1</v>
      </c>
      <c r="J48" s="17" t="b">
        <f>J10</f>
        <v>1</v>
      </c>
      <c r="K48" s="17"/>
      <c r="L48" s="20" t="b">
        <f>L2</f>
        <v>0</v>
      </c>
      <c r="M48" s="20" t="b">
        <f>M2</f>
        <v>0</v>
      </c>
      <c r="N48" s="20" t="b">
        <f>N2</f>
        <v>1</v>
      </c>
      <c r="O48" s="17" t="b">
        <f>O2</f>
        <v>1</v>
      </c>
      <c r="P48" s="17" t="b">
        <f>P3</f>
        <v>1</v>
      </c>
      <c r="Q48" s="20" t="b">
        <f>Q2</f>
        <v>1</v>
      </c>
      <c r="R48" s="20" t="b">
        <f>R22</f>
        <v>1</v>
      </c>
      <c r="S48" t="b">
        <f>AND(Table19[[#This Row],[Non-comedogenic]:[Mineral]],Table19[[#This Row],[Spray/Whip/Oil]:[Oxy/Avobenzone]],OR(Table19[[#This Row],[Low SPF]:[High SPF]]),OR(Table19[[#This Row],[Face/Lips]:[Body]]))</f>
        <v>0</v>
      </c>
      <c r="T48" s="28" t="s">
        <v>860</v>
      </c>
    </row>
    <row r="49" spans="1:20">
      <c r="A49" t="b">
        <f>IF(Table19[[#This Row],[Column2]],Table19[[#This Row],[Column13]])</f>
        <v>0</v>
      </c>
      <c r="B49" s="17"/>
      <c r="C49" s="20" t="b">
        <f>C2</f>
        <v>0</v>
      </c>
      <c r="D49" s="17"/>
      <c r="E49" s="17"/>
      <c r="F49" s="17"/>
      <c r="G49" s="20" t="b">
        <f>G2</f>
        <v>0</v>
      </c>
      <c r="H49" s="20" t="b">
        <f>H2</f>
        <v>0</v>
      </c>
      <c r="I49" s="17" t="b">
        <f>I2</f>
        <v>1</v>
      </c>
      <c r="J49" s="20" t="b">
        <f>J2</f>
        <v>1</v>
      </c>
      <c r="K49" s="17"/>
      <c r="L49" s="20" t="b">
        <f>L2</f>
        <v>0</v>
      </c>
      <c r="M49" s="17"/>
      <c r="N49" s="17" t="b">
        <f>N7</f>
        <v>1</v>
      </c>
      <c r="O49" s="17" t="b">
        <f>O2</f>
        <v>1</v>
      </c>
      <c r="P49" s="17" t="b">
        <f>P3</f>
        <v>1</v>
      </c>
      <c r="Q49" s="20" t="b">
        <f>Q2</f>
        <v>1</v>
      </c>
      <c r="R49" s="20" t="b">
        <f>R22</f>
        <v>1</v>
      </c>
      <c r="S49" t="b">
        <f>AND(Table19[[#This Row],[Non-comedogenic]:[Mineral]],Table19[[#This Row],[Spray/Whip/Oil]:[Oxy/Avobenzone]],OR(Table19[[#This Row],[Low SPF]:[High SPF]]),OR(Table19[[#This Row],[Face/Lips]:[Body]]))</f>
        <v>0</v>
      </c>
      <c r="T49" s="28" t="s">
        <v>861</v>
      </c>
    </row>
    <row r="50" spans="1:20">
      <c r="A50" t="b">
        <f>IF(Table19[[#This Row],[Column2]],Table19[[#This Row],[Column13]])</f>
        <v>0</v>
      </c>
      <c r="B50" s="17"/>
      <c r="C50" s="20" t="b">
        <f>C2</f>
        <v>0</v>
      </c>
      <c r="D50" s="17"/>
      <c r="E50" s="17"/>
      <c r="F50" s="17"/>
      <c r="G50" s="20" t="b">
        <f t="shared" ref="G50:O50" si="6">G2</f>
        <v>0</v>
      </c>
      <c r="H50" s="20" t="b">
        <f t="shared" si="6"/>
        <v>0</v>
      </c>
      <c r="I50" s="17" t="b">
        <f t="shared" si="6"/>
        <v>1</v>
      </c>
      <c r="J50" s="20" t="b">
        <f t="shared" si="6"/>
        <v>1</v>
      </c>
      <c r="K50" s="20" t="b">
        <f t="shared" si="6"/>
        <v>1</v>
      </c>
      <c r="L50" s="20" t="b">
        <f t="shared" si="6"/>
        <v>0</v>
      </c>
      <c r="M50" s="20" t="b">
        <f t="shared" si="6"/>
        <v>0</v>
      </c>
      <c r="N50" s="20" t="b">
        <f t="shared" si="6"/>
        <v>1</v>
      </c>
      <c r="O50" s="17" t="b">
        <f t="shared" si="6"/>
        <v>1</v>
      </c>
      <c r="P50" s="17" t="b">
        <f>P3</f>
        <v>1</v>
      </c>
      <c r="Q50" s="20" t="b">
        <f>Q2</f>
        <v>1</v>
      </c>
      <c r="R50" s="17" t="b">
        <f>R2</f>
        <v>1</v>
      </c>
      <c r="S50" t="b">
        <f>AND(Table19[[#This Row],[Non-comedogenic]:[Mineral]],Table19[[#This Row],[Spray/Whip/Oil]:[Oxy/Avobenzone]],OR(Table19[[#This Row],[Low SPF]:[High SPF]]),OR(Table19[[#This Row],[Face/Lips]:[Body]]))</f>
        <v>0</v>
      </c>
      <c r="T50" s="28" t="s">
        <v>862</v>
      </c>
    </row>
    <row r="51" spans="1:20">
      <c r="A51" t="b">
        <f>IF(Table19[[#This Row],[Column2]],Table19[[#This Row],[Column13]])</f>
        <v>0</v>
      </c>
      <c r="B51" s="17"/>
      <c r="C51" s="20" t="b">
        <f>C2</f>
        <v>0</v>
      </c>
      <c r="D51" s="17"/>
      <c r="E51" s="17"/>
      <c r="F51" s="17"/>
      <c r="G51" s="20" t="b">
        <f>G2</f>
        <v>0</v>
      </c>
      <c r="H51" s="20" t="b">
        <f>H2</f>
        <v>0</v>
      </c>
      <c r="I51" s="17" t="b">
        <f>I2</f>
        <v>1</v>
      </c>
      <c r="J51" s="17" t="b">
        <f>J10</f>
        <v>1</v>
      </c>
      <c r="K51" s="20" t="b">
        <f>K2</f>
        <v>1</v>
      </c>
      <c r="L51" s="20" t="b">
        <f>L2</f>
        <v>0</v>
      </c>
      <c r="M51" s="20" t="b">
        <f>M2</f>
        <v>0</v>
      </c>
      <c r="N51" s="20" t="b">
        <f>N2</f>
        <v>1</v>
      </c>
      <c r="O51" s="17" t="b">
        <f>O2</f>
        <v>1</v>
      </c>
      <c r="P51" s="17" t="b">
        <f>P3</f>
        <v>1</v>
      </c>
      <c r="Q51" s="20" t="b">
        <f>Q2</f>
        <v>1</v>
      </c>
      <c r="R51" s="17" t="b">
        <f>R2</f>
        <v>1</v>
      </c>
      <c r="S51" t="b">
        <f>AND(Table19[[#This Row],[Non-comedogenic]:[Mineral]],Table19[[#This Row],[Spray/Whip/Oil]:[Oxy/Avobenzone]],OR(Table19[[#This Row],[Low SPF]:[High SPF]]),OR(Table19[[#This Row],[Face/Lips]:[Body]]))</f>
        <v>0</v>
      </c>
      <c r="T51" s="28" t="s">
        <v>863</v>
      </c>
    </row>
    <row r="52" spans="1:20">
      <c r="A52" t="b">
        <f>IF(Table19[[#This Row],[Column2]],Table19[[#This Row],[Column13]])</f>
        <v>0</v>
      </c>
      <c r="B52" s="17"/>
      <c r="C52" s="17"/>
      <c r="D52" s="20" t="b">
        <f>D2</f>
        <v>0</v>
      </c>
      <c r="E52" s="17"/>
      <c r="F52" s="17"/>
      <c r="G52" s="20" t="b">
        <f>G2</f>
        <v>0</v>
      </c>
      <c r="H52" s="20" t="b">
        <f>H2</f>
        <v>0</v>
      </c>
      <c r="I52" s="17" t="b">
        <f>I2</f>
        <v>1</v>
      </c>
      <c r="J52" s="17" t="b">
        <f>J10</f>
        <v>1</v>
      </c>
      <c r="K52" s="20" t="b">
        <f>K2</f>
        <v>1</v>
      </c>
      <c r="L52" s="20" t="b">
        <f>L2</f>
        <v>0</v>
      </c>
      <c r="M52" s="20" t="b">
        <f>M2</f>
        <v>0</v>
      </c>
      <c r="N52" s="20" t="b">
        <f>N2</f>
        <v>1</v>
      </c>
      <c r="O52" s="17" t="b">
        <f>O2</f>
        <v>1</v>
      </c>
      <c r="P52" s="17" t="b">
        <f>P3</f>
        <v>1</v>
      </c>
      <c r="Q52" s="20" t="b">
        <f>Q2</f>
        <v>1</v>
      </c>
      <c r="R52" s="17" t="b">
        <f>R2</f>
        <v>1</v>
      </c>
      <c r="S52" t="b">
        <f>AND(Table19[[#This Row],[Non-comedogenic]:[Mineral]],Table19[[#This Row],[Spray/Whip/Oil]:[Oxy/Avobenzone]],OR(Table19[[#This Row],[Low SPF]:[High SPF]]),OR(Table19[[#This Row],[Face/Lips]:[Body]]))</f>
        <v>0</v>
      </c>
      <c r="T52" s="28" t="s">
        <v>864</v>
      </c>
    </row>
    <row r="53" spans="1:20">
      <c r="A53" t="b">
        <f>IF(Table19[[#This Row],[Column2]],Table19[[#This Row],[Column13]])</f>
        <v>0</v>
      </c>
      <c r="B53" s="17"/>
      <c r="C53" s="17"/>
      <c r="D53" s="20" t="b">
        <f>D2</f>
        <v>0</v>
      </c>
      <c r="E53" s="17"/>
      <c r="F53" s="17"/>
      <c r="G53" s="20" t="b">
        <f>G2</f>
        <v>0</v>
      </c>
      <c r="H53" s="20" t="b">
        <f>H2</f>
        <v>0</v>
      </c>
      <c r="I53" s="17" t="b">
        <f>I2</f>
        <v>1</v>
      </c>
      <c r="J53" s="17" t="b">
        <f>J10</f>
        <v>1</v>
      </c>
      <c r="K53" s="20" t="b">
        <f>K2</f>
        <v>1</v>
      </c>
      <c r="L53" s="20" t="b">
        <f>L2</f>
        <v>0</v>
      </c>
      <c r="M53" s="20" t="b">
        <f>M2</f>
        <v>0</v>
      </c>
      <c r="N53" s="20" t="b">
        <f>N2</f>
        <v>1</v>
      </c>
      <c r="O53" s="17" t="b">
        <f>O2</f>
        <v>1</v>
      </c>
      <c r="P53" s="17" t="b">
        <f>P3</f>
        <v>1</v>
      </c>
      <c r="Q53" s="20" t="b">
        <f>Q2</f>
        <v>1</v>
      </c>
      <c r="R53" s="17" t="b">
        <f>R2</f>
        <v>1</v>
      </c>
      <c r="S53" t="b">
        <f>AND(Table19[[#This Row],[Non-comedogenic]:[Mineral]],Table19[[#This Row],[Spray/Whip/Oil]:[Oxy/Avobenzone]],OR(Table19[[#This Row],[Low SPF]:[High SPF]]),OR(Table19[[#This Row],[Face/Lips]:[Body]]))</f>
        <v>0</v>
      </c>
      <c r="T53" s="28" t="s">
        <v>864</v>
      </c>
    </row>
    <row r="54" spans="1:20">
      <c r="A54" t="b">
        <f>IF(Table19[[#This Row],[Column2]],Table19[[#This Row],[Column13]])</f>
        <v>0</v>
      </c>
      <c r="B54" s="17"/>
      <c r="C54" s="20" t="b">
        <f>C2</f>
        <v>0</v>
      </c>
      <c r="D54" s="17"/>
      <c r="E54" s="17"/>
      <c r="F54" s="17"/>
      <c r="G54" s="20" t="b">
        <f>G2</f>
        <v>0</v>
      </c>
      <c r="H54" s="17" t="b">
        <f>H45</f>
        <v>1</v>
      </c>
      <c r="I54" s="20" t="b">
        <f>I15</f>
        <v>1</v>
      </c>
      <c r="J54" s="17" t="b">
        <f>J10</f>
        <v>1</v>
      </c>
      <c r="K54" s="17"/>
      <c r="L54" s="20" t="b">
        <f>L2</f>
        <v>0</v>
      </c>
      <c r="M54" s="20" t="b">
        <f>M2</f>
        <v>0</v>
      </c>
      <c r="N54" s="17" t="b">
        <f>N7</f>
        <v>1</v>
      </c>
      <c r="O54" s="17" t="b">
        <f>O2</f>
        <v>1</v>
      </c>
      <c r="P54" s="17" t="b">
        <f>P3</f>
        <v>1</v>
      </c>
      <c r="Q54" s="17" t="b">
        <f>Q5</f>
        <v>1</v>
      </c>
      <c r="R54" s="20" t="b">
        <f>R22</f>
        <v>1</v>
      </c>
      <c r="S54" t="b">
        <f>AND(Table19[[#This Row],[Non-comedogenic]:[Mineral]],Table19[[#This Row],[Spray/Whip/Oil]:[Oxy/Avobenzone]],OR(Table19[[#This Row],[Low SPF]:[High SPF]]),OR(Table19[[#This Row],[Face/Lips]:[Body]]))</f>
        <v>0</v>
      </c>
      <c r="T54" s="28" t="s">
        <v>865</v>
      </c>
    </row>
    <row r="55" spans="1:20">
      <c r="A55" t="b">
        <f>IF(Table19[[#This Row],[Column2]],Table19[[#This Row],[Column13]])</f>
        <v>0</v>
      </c>
      <c r="B55" s="17"/>
      <c r="C55" s="20" t="b">
        <f>C2</f>
        <v>0</v>
      </c>
      <c r="D55" s="17"/>
      <c r="E55" s="17"/>
      <c r="F55" s="20" t="b">
        <f>F4</f>
        <v>0</v>
      </c>
      <c r="G55" s="17"/>
      <c r="H55" s="17" t="b">
        <f>H45</f>
        <v>1</v>
      </c>
      <c r="I55" s="20" t="b">
        <f>I15</f>
        <v>1</v>
      </c>
      <c r="J55" s="17" t="b">
        <f>J10</f>
        <v>1</v>
      </c>
      <c r="K55" s="17"/>
      <c r="L55" s="20" t="b">
        <f>L2</f>
        <v>0</v>
      </c>
      <c r="M55" s="17"/>
      <c r="N55" s="17" t="b">
        <f>N7</f>
        <v>1</v>
      </c>
      <c r="O55" s="17" t="b">
        <f>O2</f>
        <v>1</v>
      </c>
      <c r="P55" s="17" t="b">
        <f>P3</f>
        <v>1</v>
      </c>
      <c r="Q55" s="17" t="b">
        <f>Q5</f>
        <v>1</v>
      </c>
      <c r="R55" s="20" t="b">
        <f>R22</f>
        <v>1</v>
      </c>
      <c r="S55" t="b">
        <f>AND(Table19[[#This Row],[Non-comedogenic]:[Mineral]],Table19[[#This Row],[Spray/Whip/Oil]:[Oxy/Avobenzone]],OR(Table19[[#This Row],[Low SPF]:[High SPF]]),OR(Table19[[#This Row],[Face/Lips]:[Body]]))</f>
        <v>0</v>
      </c>
      <c r="T55" s="28" t="s">
        <v>866</v>
      </c>
    </row>
    <row r="56" spans="1:20">
      <c r="A56" s="16" t="e">
        <f>IF(Table19[[#This Row],[Column2]],Table19[[#This Row],[Column13]])</f>
        <v>#VALUE!</v>
      </c>
      <c r="B56" s="16"/>
      <c r="C56" s="16"/>
      <c r="D56" s="16"/>
      <c r="E56" s="16"/>
      <c r="F56" s="16"/>
      <c r="G56" s="16"/>
      <c r="H56" s="16"/>
      <c r="I56" s="16"/>
      <c r="J56" s="16"/>
      <c r="K56" s="16"/>
      <c r="L56" s="16"/>
      <c r="M56" s="16"/>
      <c r="N56" s="16"/>
      <c r="O56" s="16"/>
      <c r="P56" s="16"/>
      <c r="Q56" s="16"/>
      <c r="R56" s="16"/>
      <c r="S56" s="16" t="e">
        <f>AND(Table19[[#This Row],[Non-comedogenic]:[Mineral]],Table19[[#This Row],[Spray/Whip/Oil]:[Oxy/Avobenzone]],OR(Table19[[#This Row],[Low SPF]:[High SPF]]),OR(Table19[[#This Row],[Face/Lips]:[Body]]))</f>
        <v>#VALUE!</v>
      </c>
      <c r="T56" s="16"/>
    </row>
    <row r="57" spans="1:20">
      <c r="A57" t="b">
        <f>IF(Table19[[#This Row],[Column2]],Table19[[#This Row],[Column13]])</f>
        <v>0</v>
      </c>
      <c r="B57" s="17"/>
      <c r="C57" s="20" t="b">
        <f>C2</f>
        <v>0</v>
      </c>
      <c r="D57" s="17"/>
      <c r="E57" s="17"/>
      <c r="F57" s="20" t="b">
        <f>F4</f>
        <v>0</v>
      </c>
      <c r="G57" s="17"/>
      <c r="H57" s="20" t="b">
        <f>H2</f>
        <v>0</v>
      </c>
      <c r="I57" s="20" t="b">
        <f>I15</f>
        <v>1</v>
      </c>
      <c r="J57" s="20" t="b">
        <f>J2</f>
        <v>1</v>
      </c>
      <c r="K57" s="17"/>
      <c r="L57" s="20" t="b">
        <f>L2</f>
        <v>0</v>
      </c>
      <c r="M57" s="20" t="b">
        <f>M2</f>
        <v>0</v>
      </c>
      <c r="N57" s="17" t="b">
        <f>N7</f>
        <v>1</v>
      </c>
      <c r="O57" s="17" t="b">
        <f>O2</f>
        <v>1</v>
      </c>
      <c r="P57" s="17" t="b">
        <f>P3</f>
        <v>1</v>
      </c>
      <c r="Q57" s="17" t="b">
        <f>Q5</f>
        <v>1</v>
      </c>
      <c r="R57" s="17" t="b">
        <f>R2</f>
        <v>1</v>
      </c>
      <c r="S57" t="b">
        <f>AND(Table19[[#This Row],[Non-comedogenic]:[Mineral]],Table19[[#This Row],[Spray/Whip/Oil]:[Oxy/Avobenzone]],OR(Table19[[#This Row],[Low SPF]:[High SPF]]),OR(Table19[[#This Row],[Face/Lips]:[Body]]))</f>
        <v>0</v>
      </c>
      <c r="T57" s="29" t="s">
        <v>867</v>
      </c>
    </row>
    <row r="58" spans="1:20">
      <c r="A58" t="b">
        <f>IF(Table19[[#This Row],[Column2]],Table19[[#This Row],[Column13]])</f>
        <v>0</v>
      </c>
      <c r="B58" s="17"/>
      <c r="C58" s="20" t="b">
        <f>C2</f>
        <v>0</v>
      </c>
      <c r="D58" s="17"/>
      <c r="E58" s="17"/>
      <c r="F58" s="17"/>
      <c r="G58" s="20" t="b">
        <f>G2</f>
        <v>0</v>
      </c>
      <c r="H58" s="20" t="b">
        <f>H2</f>
        <v>0</v>
      </c>
      <c r="I58" s="20" t="b">
        <f>I15</f>
        <v>1</v>
      </c>
      <c r="J58" s="20" t="b">
        <f>J2</f>
        <v>1</v>
      </c>
      <c r="K58" s="17"/>
      <c r="L58" s="20" t="b">
        <f>L2</f>
        <v>0</v>
      </c>
      <c r="M58" s="20" t="b">
        <f>M2</f>
        <v>0</v>
      </c>
      <c r="N58" s="17" t="b">
        <f>N7</f>
        <v>1</v>
      </c>
      <c r="O58" s="17" t="b">
        <f>O2</f>
        <v>1</v>
      </c>
      <c r="P58" s="20" t="b">
        <f>P2</f>
        <v>1</v>
      </c>
      <c r="Q58" s="20" t="b">
        <f>Q2</f>
        <v>1</v>
      </c>
      <c r="R58" s="17" t="b">
        <f>R2</f>
        <v>1</v>
      </c>
      <c r="S58" t="b">
        <f>AND(Table19[[#This Row],[Non-comedogenic]:[Mineral]],Table19[[#This Row],[Spray/Whip/Oil]:[Oxy/Avobenzone]],OR(Table19[[#This Row],[Low SPF]:[High SPF]]),OR(Table19[[#This Row],[Face/Lips]:[Body]]))</f>
        <v>0</v>
      </c>
      <c r="T58" s="29" t="s">
        <v>868</v>
      </c>
    </row>
    <row r="59" spans="1:20">
      <c r="A59" t="b">
        <f>IF(Table19[[#This Row],[Column2]],Table19[[#This Row],[Column13]])</f>
        <v>0</v>
      </c>
      <c r="B59" s="17"/>
      <c r="C59" s="20" t="b">
        <f>C2</f>
        <v>0</v>
      </c>
      <c r="D59" s="17"/>
      <c r="E59" s="20" t="b">
        <f>E7</f>
        <v>0</v>
      </c>
      <c r="F59" s="17"/>
      <c r="G59" s="17"/>
      <c r="H59" s="20" t="b">
        <f>H2</f>
        <v>0</v>
      </c>
      <c r="I59" s="20" t="b">
        <f>I15</f>
        <v>1</v>
      </c>
      <c r="J59" s="20" t="b">
        <f>J2</f>
        <v>1</v>
      </c>
      <c r="K59" s="17"/>
      <c r="L59" s="20" t="b">
        <f>L2</f>
        <v>0</v>
      </c>
      <c r="M59" s="20" t="b">
        <f>M2</f>
        <v>0</v>
      </c>
      <c r="N59" s="17" t="b">
        <f>N7</f>
        <v>1</v>
      </c>
      <c r="O59" s="17" t="b">
        <f>O2</f>
        <v>1</v>
      </c>
      <c r="P59" s="20" t="b">
        <f>P2</f>
        <v>1</v>
      </c>
      <c r="Q59" s="20" t="b">
        <f>Q2</f>
        <v>1</v>
      </c>
      <c r="R59" s="17" t="b">
        <f>R2</f>
        <v>1</v>
      </c>
      <c r="S59" t="b">
        <f>AND(Table19[[#This Row],[Non-comedogenic]:[Mineral]],Table19[[#This Row],[Spray/Whip/Oil]:[Oxy/Avobenzone]],OR(Table19[[#This Row],[Low SPF]:[High SPF]]),OR(Table19[[#This Row],[Face/Lips]:[Body]]))</f>
        <v>0</v>
      </c>
      <c r="T59" s="29" t="s">
        <v>869</v>
      </c>
    </row>
    <row r="60" spans="1:20">
      <c r="A60" t="b">
        <f>IF(Table19[[#This Row],[Column2]],Table19[[#This Row],[Column13]])</f>
        <v>0</v>
      </c>
      <c r="B60" s="17"/>
      <c r="C60" s="20" t="b">
        <f>C2</f>
        <v>0</v>
      </c>
      <c r="D60" s="17"/>
      <c r="E60" s="17"/>
      <c r="F60" s="17"/>
      <c r="G60" s="20" t="b">
        <f>G2</f>
        <v>0</v>
      </c>
      <c r="H60" s="20" t="b">
        <f>H2</f>
        <v>0</v>
      </c>
      <c r="I60" s="20" t="b">
        <f>I15</f>
        <v>1</v>
      </c>
      <c r="J60" s="20" t="b">
        <f>J2</f>
        <v>1</v>
      </c>
      <c r="K60" s="17"/>
      <c r="L60" s="20" t="b">
        <f>L2</f>
        <v>0</v>
      </c>
      <c r="M60" s="20" t="b">
        <f>M2</f>
        <v>0</v>
      </c>
      <c r="N60" s="17" t="b">
        <f>N7</f>
        <v>1</v>
      </c>
      <c r="O60" s="17" t="b">
        <f>O2</f>
        <v>1</v>
      </c>
      <c r="P60" s="20" t="b">
        <f>P2</f>
        <v>1</v>
      </c>
      <c r="Q60" s="20" t="b">
        <f>Q2</f>
        <v>1</v>
      </c>
      <c r="R60" s="17" t="b">
        <f>R2</f>
        <v>1</v>
      </c>
      <c r="S60" t="b">
        <f>AND(Table19[[#This Row],[Non-comedogenic]:[Mineral]],Table19[[#This Row],[Spray/Whip/Oil]:[Oxy/Avobenzone]],OR(Table19[[#This Row],[Low SPF]:[High SPF]]),OR(Table19[[#This Row],[Face/Lips]:[Body]]))</f>
        <v>0</v>
      </c>
      <c r="T60" s="29" t="s">
        <v>870</v>
      </c>
    </row>
    <row r="61" spans="1:20">
      <c r="A61" t="b">
        <f>IF(Table19[[#This Row],[Column2]],Table19[[#This Row],[Column13]])</f>
        <v>0</v>
      </c>
      <c r="B61" s="17"/>
      <c r="C61" s="17"/>
      <c r="D61" s="20" t="b">
        <f>D2</f>
        <v>0</v>
      </c>
      <c r="E61" s="17"/>
      <c r="F61" s="17"/>
      <c r="G61" s="20" t="b">
        <f>G2</f>
        <v>0</v>
      </c>
      <c r="H61" s="20" t="b">
        <f>H2</f>
        <v>0</v>
      </c>
      <c r="I61" s="20" t="b">
        <f>I15</f>
        <v>1</v>
      </c>
      <c r="J61" s="20" t="b">
        <f>J2</f>
        <v>1</v>
      </c>
      <c r="K61" s="17"/>
      <c r="L61" s="20" t="b">
        <f>L2</f>
        <v>0</v>
      </c>
      <c r="M61" s="20" t="b">
        <f>M2</f>
        <v>0</v>
      </c>
      <c r="N61" s="17" t="b">
        <f>N7</f>
        <v>1</v>
      </c>
      <c r="O61" s="17" t="b">
        <f>O2</f>
        <v>1</v>
      </c>
      <c r="P61" s="20" t="b">
        <f>P2</f>
        <v>1</v>
      </c>
      <c r="Q61" s="17" t="b">
        <f>Q5</f>
        <v>1</v>
      </c>
      <c r="R61" s="17" t="b">
        <f>R2</f>
        <v>1</v>
      </c>
      <c r="S61" t="b">
        <f>AND(Table19[[#This Row],[Non-comedogenic]:[Mineral]],Table19[[#This Row],[Spray/Whip/Oil]:[Oxy/Avobenzone]],OR(Table19[[#This Row],[Low SPF]:[High SPF]]),OR(Table19[[#This Row],[Face/Lips]:[Body]]))</f>
        <v>0</v>
      </c>
      <c r="T61" s="29" t="s">
        <v>871</v>
      </c>
    </row>
    <row r="62" spans="1:20">
      <c r="A62" t="b">
        <f>IF(Table19[[#This Row],[Column2]],Table19[[#This Row],[Column13]])</f>
        <v>0</v>
      </c>
      <c r="B62" s="17"/>
      <c r="C62" s="20" t="b">
        <f>C2</f>
        <v>0</v>
      </c>
      <c r="D62" s="17"/>
      <c r="E62" s="20" t="b">
        <f>E7</f>
        <v>0</v>
      </c>
      <c r="F62" s="17"/>
      <c r="G62" s="17"/>
      <c r="H62" s="20" t="b">
        <f>H2</f>
        <v>0</v>
      </c>
      <c r="I62" s="20" t="b">
        <f>I15</f>
        <v>1</v>
      </c>
      <c r="J62" s="20" t="b">
        <f>J2</f>
        <v>1</v>
      </c>
      <c r="K62" s="17"/>
      <c r="L62" s="20" t="b">
        <f>L2</f>
        <v>0</v>
      </c>
      <c r="M62" s="20" t="b">
        <f>M2</f>
        <v>0</v>
      </c>
      <c r="N62" s="17" t="b">
        <f>N7</f>
        <v>1</v>
      </c>
      <c r="O62" s="17" t="b">
        <f>O2</f>
        <v>1</v>
      </c>
      <c r="P62" s="17" t="b">
        <f>P3</f>
        <v>1</v>
      </c>
      <c r="Q62" s="17" t="b">
        <f>Q5</f>
        <v>1</v>
      </c>
      <c r="R62" s="17" t="b">
        <f>R2</f>
        <v>1</v>
      </c>
      <c r="S62" t="b">
        <f>AND(Table19[[#This Row],[Non-comedogenic]:[Mineral]],Table19[[#This Row],[Spray/Whip/Oil]:[Oxy/Avobenzone]],OR(Table19[[#This Row],[Low SPF]:[High SPF]]),OR(Table19[[#This Row],[Face/Lips]:[Body]]))</f>
        <v>0</v>
      </c>
      <c r="T62" s="29" t="s">
        <v>872</v>
      </c>
    </row>
    <row r="63" spans="1:20">
      <c r="A63" t="b">
        <f>IF(Table19[[#This Row],[Column2]],Table19[[#This Row],[Column13]])</f>
        <v>0</v>
      </c>
      <c r="B63" s="17"/>
      <c r="C63" s="20" t="b">
        <f>C2</f>
        <v>0</v>
      </c>
      <c r="D63" s="17"/>
      <c r="E63" s="20" t="b">
        <f>E7</f>
        <v>0</v>
      </c>
      <c r="F63" s="17"/>
      <c r="G63" s="17"/>
      <c r="H63" s="20" t="b">
        <f>H2</f>
        <v>0</v>
      </c>
      <c r="I63" s="20" t="b">
        <f>I15</f>
        <v>1</v>
      </c>
      <c r="J63" s="20" t="b">
        <f>J2</f>
        <v>1</v>
      </c>
      <c r="K63" s="17"/>
      <c r="L63" s="20" t="b">
        <f>L2</f>
        <v>0</v>
      </c>
      <c r="M63" s="20" t="b">
        <f>M2</f>
        <v>0</v>
      </c>
      <c r="N63" s="17" t="b">
        <f>N7</f>
        <v>1</v>
      </c>
      <c r="O63" s="20" t="b">
        <f>O11</f>
        <v>1</v>
      </c>
      <c r="P63" s="17" t="b">
        <f>P3</f>
        <v>1</v>
      </c>
      <c r="Q63" s="17" t="b">
        <f>Q5</f>
        <v>1</v>
      </c>
      <c r="R63" s="17" t="b">
        <f>R2</f>
        <v>1</v>
      </c>
      <c r="S63" t="b">
        <f>AND(Table19[[#This Row],[Non-comedogenic]:[Mineral]],Table19[[#This Row],[Spray/Whip/Oil]:[Oxy/Avobenzone]],OR(Table19[[#This Row],[Low SPF]:[High SPF]]),OR(Table19[[#This Row],[Face/Lips]:[Body]]))</f>
        <v>0</v>
      </c>
      <c r="T63" s="29" t="s">
        <v>873</v>
      </c>
    </row>
    <row r="64" spans="1:20">
      <c r="A64" t="b">
        <f>IF(Table19[[#This Row],[Column2]],Table19[[#This Row],[Column13]])</f>
        <v>0</v>
      </c>
      <c r="B64" s="17"/>
      <c r="C64" s="20" t="b">
        <f>C2</f>
        <v>0</v>
      </c>
      <c r="D64" s="17"/>
      <c r="E64" s="17"/>
      <c r="F64" s="20" t="b">
        <f>F4</f>
        <v>0</v>
      </c>
      <c r="G64" s="17"/>
      <c r="H64" s="20" t="b">
        <f>H2</f>
        <v>0</v>
      </c>
      <c r="I64" s="17" t="b">
        <f>I2</f>
        <v>1</v>
      </c>
      <c r="J64" s="20" t="b">
        <f>J2</f>
        <v>1</v>
      </c>
      <c r="K64" s="17"/>
      <c r="L64" s="20" t="b">
        <f>L2</f>
        <v>0</v>
      </c>
      <c r="M64" s="20" t="b">
        <f>M2</f>
        <v>0</v>
      </c>
      <c r="N64" s="17" t="b">
        <f>N7</f>
        <v>1</v>
      </c>
      <c r="O64" s="17" t="b">
        <f>O2</f>
        <v>1</v>
      </c>
      <c r="P64" s="17" t="b">
        <f>P3</f>
        <v>1</v>
      </c>
      <c r="Q64" s="17" t="b">
        <f>Q5</f>
        <v>1</v>
      </c>
      <c r="R64" s="17" t="b">
        <f>R2</f>
        <v>1</v>
      </c>
      <c r="S64" t="b">
        <f>AND(Table19[[#This Row],[Non-comedogenic]:[Mineral]],Table19[[#This Row],[Spray/Whip/Oil]:[Oxy/Avobenzone]],OR(Table19[[#This Row],[Low SPF]:[High SPF]]),OR(Table19[[#This Row],[Face/Lips]:[Body]]))</f>
        <v>0</v>
      </c>
      <c r="T64" s="29" t="s">
        <v>874</v>
      </c>
    </row>
    <row r="65" spans="1:20">
      <c r="A65" t="b">
        <f>IF(Table19[[#This Row],[Column2]],Table19[[#This Row],[Column13]])</f>
        <v>0</v>
      </c>
      <c r="B65" s="17"/>
      <c r="C65" s="20" t="b">
        <f>C2</f>
        <v>0</v>
      </c>
      <c r="D65" s="17"/>
      <c r="E65" s="17"/>
      <c r="F65" s="17"/>
      <c r="G65" s="20" t="b">
        <f>G2</f>
        <v>0</v>
      </c>
      <c r="H65" s="20" t="b">
        <f>H2</f>
        <v>0</v>
      </c>
      <c r="I65" s="17" t="b">
        <f>I2</f>
        <v>1</v>
      </c>
      <c r="J65" s="20" t="b">
        <f>J2</f>
        <v>1</v>
      </c>
      <c r="K65" s="17"/>
      <c r="L65" s="20" t="b">
        <f>L2</f>
        <v>0</v>
      </c>
      <c r="M65" s="20" t="b">
        <f>M2</f>
        <v>0</v>
      </c>
      <c r="N65" s="17" t="b">
        <f>N7</f>
        <v>1</v>
      </c>
      <c r="O65" s="17" t="b">
        <f>O2</f>
        <v>1</v>
      </c>
      <c r="P65" s="20" t="b">
        <f>P2</f>
        <v>1</v>
      </c>
      <c r="Q65" s="20" t="b">
        <f>Q2</f>
        <v>1</v>
      </c>
      <c r="R65" s="17" t="b">
        <f>R2</f>
        <v>1</v>
      </c>
      <c r="S65" t="b">
        <f>AND(Table19[[#This Row],[Non-comedogenic]:[Mineral]],Table19[[#This Row],[Spray/Whip/Oil]:[Oxy/Avobenzone]],OR(Table19[[#This Row],[Low SPF]:[High SPF]]),OR(Table19[[#This Row],[Face/Lips]:[Body]]))</f>
        <v>0</v>
      </c>
      <c r="T65" s="29" t="s">
        <v>875</v>
      </c>
    </row>
    <row r="66" spans="1:20">
      <c r="A66" t="b">
        <f>IF(Table19[[#This Row],[Column2]],Table19[[#This Row],[Column13]])</f>
        <v>0</v>
      </c>
      <c r="B66" s="17"/>
      <c r="C66" s="20" t="b">
        <f>C2</f>
        <v>0</v>
      </c>
      <c r="D66" s="17"/>
      <c r="E66" s="20" t="b">
        <f>E7</f>
        <v>0</v>
      </c>
      <c r="F66" s="17"/>
      <c r="G66" s="17"/>
      <c r="H66" s="20" t="b">
        <f>H2</f>
        <v>0</v>
      </c>
      <c r="I66" s="17" t="b">
        <f>I2</f>
        <v>1</v>
      </c>
      <c r="J66" s="20" t="b">
        <f>J2</f>
        <v>1</v>
      </c>
      <c r="K66" s="17"/>
      <c r="L66" s="20" t="b">
        <f>L2</f>
        <v>0</v>
      </c>
      <c r="M66" s="20" t="b">
        <f>M2</f>
        <v>0</v>
      </c>
      <c r="N66" s="17" t="b">
        <f>N7</f>
        <v>1</v>
      </c>
      <c r="O66" s="17" t="b">
        <f>O2</f>
        <v>1</v>
      </c>
      <c r="P66" s="20" t="b">
        <f>P2</f>
        <v>1</v>
      </c>
      <c r="Q66" s="20" t="b">
        <f>Q2</f>
        <v>1</v>
      </c>
      <c r="R66" s="17" t="b">
        <f>R2</f>
        <v>1</v>
      </c>
      <c r="S66" t="b">
        <f>AND(Table19[[#This Row],[Non-comedogenic]:[Mineral]],Table19[[#This Row],[Spray/Whip/Oil]:[Oxy/Avobenzone]],OR(Table19[[#This Row],[Low SPF]:[High SPF]]),OR(Table19[[#This Row],[Face/Lips]:[Body]]))</f>
        <v>0</v>
      </c>
      <c r="T66" s="29" t="s">
        <v>876</v>
      </c>
    </row>
    <row r="67" spans="1:20">
      <c r="A67" t="b">
        <f>IF(Table19[[#This Row],[Column2]],Table19[[#This Row],[Column13]])</f>
        <v>0</v>
      </c>
      <c r="B67" s="17"/>
      <c r="C67" s="20" t="b">
        <f>C2</f>
        <v>0</v>
      </c>
      <c r="D67" s="20" t="b">
        <f>D2</f>
        <v>0</v>
      </c>
      <c r="E67" s="17"/>
      <c r="F67" s="17"/>
      <c r="G67" s="20" t="b">
        <f>G2</f>
        <v>0</v>
      </c>
      <c r="H67" s="20" t="b">
        <f>H2</f>
        <v>0</v>
      </c>
      <c r="I67" s="17" t="b">
        <f>I2</f>
        <v>1</v>
      </c>
      <c r="J67" s="20" t="b">
        <f>J2</f>
        <v>1</v>
      </c>
      <c r="K67" s="17"/>
      <c r="L67" s="20" t="b">
        <f>L2</f>
        <v>0</v>
      </c>
      <c r="M67" s="20" t="b">
        <f>M2</f>
        <v>0</v>
      </c>
      <c r="N67" s="17" t="b">
        <f>N7</f>
        <v>1</v>
      </c>
      <c r="O67" s="17" t="b">
        <f>O2</f>
        <v>1</v>
      </c>
      <c r="P67" s="17" t="b">
        <f>P3</f>
        <v>1</v>
      </c>
      <c r="Q67" s="17" t="b">
        <f>Q5</f>
        <v>1</v>
      </c>
      <c r="R67" s="17" t="b">
        <f>R2</f>
        <v>1</v>
      </c>
      <c r="S67" t="b">
        <f>AND(Table19[[#This Row],[Non-comedogenic]:[Mineral]],Table19[[#This Row],[Spray/Whip/Oil]:[Oxy/Avobenzone]],OR(Table19[[#This Row],[Low SPF]:[High SPF]]),OR(Table19[[#This Row],[Face/Lips]:[Body]]))</f>
        <v>0</v>
      </c>
      <c r="T67" s="29" t="s">
        <v>877</v>
      </c>
    </row>
    <row r="68" spans="1:20">
      <c r="A68" t="b">
        <f>IF(Table19[[#This Row],[Column2]],Table19[[#This Row],[Column13]])</f>
        <v>0</v>
      </c>
      <c r="B68" s="17"/>
      <c r="C68" s="20" t="b">
        <f>C2</f>
        <v>0</v>
      </c>
      <c r="D68" s="17"/>
      <c r="E68" s="20" t="b">
        <f>E7</f>
        <v>0</v>
      </c>
      <c r="F68" s="17"/>
      <c r="G68" s="17"/>
      <c r="H68" s="20" t="b">
        <f>H2</f>
        <v>0</v>
      </c>
      <c r="I68" s="17" t="b">
        <f>I2</f>
        <v>1</v>
      </c>
      <c r="J68" s="20" t="b">
        <f>J2</f>
        <v>1</v>
      </c>
      <c r="K68" s="17"/>
      <c r="L68" s="20" t="b">
        <f>L2</f>
        <v>0</v>
      </c>
      <c r="M68" s="20" t="b">
        <f>M2</f>
        <v>0</v>
      </c>
      <c r="N68" s="17" t="b">
        <f>N7</f>
        <v>1</v>
      </c>
      <c r="O68" s="17" t="b">
        <f>O2</f>
        <v>1</v>
      </c>
      <c r="P68" s="17" t="b">
        <f>P3</f>
        <v>1</v>
      </c>
      <c r="Q68" s="17" t="b">
        <f>Q5</f>
        <v>1</v>
      </c>
      <c r="R68" s="17" t="b">
        <f>R2</f>
        <v>1</v>
      </c>
      <c r="S68" t="b">
        <f>AND(Table19[[#This Row],[Non-comedogenic]:[Mineral]],Table19[[#This Row],[Spray/Whip/Oil]:[Oxy/Avobenzone]],OR(Table19[[#This Row],[Low SPF]:[High SPF]]),OR(Table19[[#This Row],[Face/Lips]:[Body]]))</f>
        <v>0</v>
      </c>
      <c r="T68" s="29" t="s">
        <v>878</v>
      </c>
    </row>
    <row r="69" spans="1:20">
      <c r="A69" t="b">
        <f>IF(Table19[[#This Row],[Column2]],Table19[[#This Row],[Column13]])</f>
        <v>0</v>
      </c>
      <c r="B69" s="17"/>
      <c r="C69" s="20" t="b">
        <f>C2</f>
        <v>0</v>
      </c>
      <c r="D69" s="17"/>
      <c r="E69" s="20" t="b">
        <f>E7</f>
        <v>0</v>
      </c>
      <c r="F69" s="17"/>
      <c r="G69" s="17"/>
      <c r="H69" s="20" t="b">
        <f>H2</f>
        <v>0</v>
      </c>
      <c r="I69" s="17" t="b">
        <f>I2</f>
        <v>1</v>
      </c>
      <c r="J69" s="20" t="b">
        <f>J2</f>
        <v>1</v>
      </c>
      <c r="K69" s="17"/>
      <c r="L69" s="20" t="b">
        <f>L2</f>
        <v>0</v>
      </c>
      <c r="M69" s="20" t="b">
        <f>M2</f>
        <v>0</v>
      </c>
      <c r="N69" s="17" t="b">
        <f>N7</f>
        <v>1</v>
      </c>
      <c r="O69" s="17" t="b">
        <f>O2</f>
        <v>1</v>
      </c>
      <c r="P69" s="17" t="b">
        <f>P3</f>
        <v>1</v>
      </c>
      <c r="Q69" s="17" t="b">
        <f>Q5</f>
        <v>1</v>
      </c>
      <c r="R69" s="17" t="b">
        <f>R2</f>
        <v>1</v>
      </c>
      <c r="S69" t="b">
        <f>AND(Table19[[#This Row],[Non-comedogenic]:[Mineral]],Table19[[#This Row],[Spray/Whip/Oil]:[Oxy/Avobenzone]],OR(Table19[[#This Row],[Low SPF]:[High SPF]]),OR(Table19[[#This Row],[Face/Lips]:[Body]]))</f>
        <v>0</v>
      </c>
      <c r="T69" s="29" t="s">
        <v>879</v>
      </c>
    </row>
    <row r="70" spans="1:20">
      <c r="A70" t="b">
        <f>IF(Table19[[#This Row],[Column2]],Table19[[#This Row],[Column13]])</f>
        <v>0</v>
      </c>
      <c r="B70" s="17"/>
      <c r="C70" s="20" t="b">
        <f>C2</f>
        <v>0</v>
      </c>
      <c r="D70" s="17"/>
      <c r="E70" s="17"/>
      <c r="F70" s="17"/>
      <c r="G70" s="20" t="b">
        <f>G2</f>
        <v>0</v>
      </c>
      <c r="H70" s="20" t="b">
        <f>H2</f>
        <v>0</v>
      </c>
      <c r="I70" s="17" t="b">
        <f>I2</f>
        <v>1</v>
      </c>
      <c r="J70" s="20" t="b">
        <f>J2</f>
        <v>1</v>
      </c>
      <c r="K70" s="17"/>
      <c r="L70" s="20" t="b">
        <f>L2</f>
        <v>0</v>
      </c>
      <c r="M70" s="20" t="b">
        <f>M2</f>
        <v>0</v>
      </c>
      <c r="N70" s="17" t="b">
        <f>N7</f>
        <v>1</v>
      </c>
      <c r="O70" s="20" t="b">
        <f>O11</f>
        <v>1</v>
      </c>
      <c r="P70" s="20" t="b">
        <f>P2</f>
        <v>1</v>
      </c>
      <c r="Q70" s="20" t="b">
        <f>Q2</f>
        <v>1</v>
      </c>
      <c r="R70" s="20" t="b">
        <f>R22</f>
        <v>1</v>
      </c>
      <c r="S70" t="b">
        <f>AND(Table19[[#This Row],[Non-comedogenic]:[Mineral]],Table19[[#This Row],[Spray/Whip/Oil]:[Oxy/Avobenzone]],OR(Table19[[#This Row],[Low SPF]:[High SPF]]),OR(Table19[[#This Row],[Face/Lips]:[Body]]))</f>
        <v>0</v>
      </c>
      <c r="T70" s="29" t="s">
        <v>880</v>
      </c>
    </row>
    <row r="71" spans="1:20">
      <c r="A71" t="b">
        <f>IF(Table19[[#This Row],[Column2]],Table19[[#This Row],[Column13]])</f>
        <v>0</v>
      </c>
      <c r="B71" s="17"/>
      <c r="C71" s="20" t="b">
        <f>C2</f>
        <v>0</v>
      </c>
      <c r="D71" s="17"/>
      <c r="E71" s="17"/>
      <c r="F71" s="17"/>
      <c r="G71" s="20" t="b">
        <f>G2</f>
        <v>0</v>
      </c>
      <c r="H71" s="20" t="b">
        <f>H2</f>
        <v>0</v>
      </c>
      <c r="I71" s="17" t="b">
        <f>I2</f>
        <v>1</v>
      </c>
      <c r="J71" s="20" t="b">
        <f>J2</f>
        <v>1</v>
      </c>
      <c r="K71" s="17"/>
      <c r="L71" s="20" t="b">
        <f>L2</f>
        <v>0</v>
      </c>
      <c r="M71" s="17"/>
      <c r="N71" s="17" t="b">
        <f>N7</f>
        <v>1</v>
      </c>
      <c r="O71" s="20" t="b">
        <f>O11</f>
        <v>1</v>
      </c>
      <c r="P71" s="20" t="b">
        <f>P2</f>
        <v>1</v>
      </c>
      <c r="Q71" s="20" t="b">
        <f>Q2</f>
        <v>1</v>
      </c>
      <c r="R71" s="20" t="b">
        <f>R22</f>
        <v>1</v>
      </c>
      <c r="S71" t="b">
        <f>AND(Table19[[#This Row],[Non-comedogenic]:[Mineral]],Table19[[#This Row],[Spray/Whip/Oil]:[Oxy/Avobenzone]],OR(Table19[[#This Row],[Low SPF]:[High SPF]]),OR(Table19[[#This Row],[Face/Lips]:[Body]]))</f>
        <v>0</v>
      </c>
      <c r="T71" s="29" t="s">
        <v>881</v>
      </c>
    </row>
    <row r="72" spans="1:20">
      <c r="A72" t="b">
        <f>IF(Table19[[#This Row],[Column2]],Table19[[#This Row],[Column13]])</f>
        <v>0</v>
      </c>
      <c r="B72" s="17"/>
      <c r="C72" s="20" t="b">
        <f>C2</f>
        <v>0</v>
      </c>
      <c r="D72" s="17"/>
      <c r="E72" s="17"/>
      <c r="F72" s="17"/>
      <c r="G72" s="20" t="b">
        <f>G2</f>
        <v>0</v>
      </c>
      <c r="H72" s="20" t="b">
        <f>H2</f>
        <v>0</v>
      </c>
      <c r="I72" s="17" t="b">
        <f>I2</f>
        <v>1</v>
      </c>
      <c r="J72" s="20" t="b">
        <f>J2</f>
        <v>1</v>
      </c>
      <c r="K72" s="17"/>
      <c r="L72" s="20" t="b">
        <f>L2</f>
        <v>0</v>
      </c>
      <c r="M72" s="20" t="b">
        <f>M2</f>
        <v>0</v>
      </c>
      <c r="N72" s="17" t="b">
        <f>N7</f>
        <v>1</v>
      </c>
      <c r="O72" s="17" t="b">
        <f>O2</f>
        <v>1</v>
      </c>
      <c r="P72" s="17" t="b">
        <f>P3</f>
        <v>1</v>
      </c>
      <c r="Q72" s="17" t="b">
        <f>Q5</f>
        <v>1</v>
      </c>
      <c r="R72" s="17" t="b">
        <f>R2</f>
        <v>1</v>
      </c>
      <c r="S72" t="b">
        <f>AND(Table19[[#This Row],[Non-comedogenic]:[Mineral]],Table19[[#This Row],[Spray/Whip/Oil]:[Oxy/Avobenzone]],OR(Table19[[#This Row],[Low SPF]:[High SPF]]),OR(Table19[[#This Row],[Face/Lips]:[Body]]))</f>
        <v>0</v>
      </c>
      <c r="T72" s="29" t="s">
        <v>882</v>
      </c>
    </row>
    <row r="73" spans="1:20">
      <c r="A73" t="b">
        <f>IF(Table19[[#This Row],[Column2]],Table19[[#This Row],[Column13]])</f>
        <v>0</v>
      </c>
      <c r="B73" s="17"/>
      <c r="C73" s="20" t="b">
        <f>C2</f>
        <v>0</v>
      </c>
      <c r="D73" s="17"/>
      <c r="E73" s="20" t="b">
        <f>E7</f>
        <v>0</v>
      </c>
      <c r="F73" s="17"/>
      <c r="G73" s="17"/>
      <c r="H73" s="20" t="b">
        <f>H2</f>
        <v>0</v>
      </c>
      <c r="I73" s="17" t="b">
        <f>I2</f>
        <v>1</v>
      </c>
      <c r="J73" s="20" t="b">
        <f>J2</f>
        <v>1</v>
      </c>
      <c r="K73" s="17"/>
      <c r="L73" s="20" t="b">
        <f>L2</f>
        <v>0</v>
      </c>
      <c r="M73" s="20" t="b">
        <f>M2</f>
        <v>0</v>
      </c>
      <c r="N73" s="17" t="b">
        <f>N7</f>
        <v>1</v>
      </c>
      <c r="O73" s="17" t="b">
        <f>O2</f>
        <v>1</v>
      </c>
      <c r="P73" s="17" t="b">
        <f>P3</f>
        <v>1</v>
      </c>
      <c r="Q73" s="17" t="b">
        <f>Q5</f>
        <v>1</v>
      </c>
      <c r="R73" s="17" t="b">
        <f>R2</f>
        <v>1</v>
      </c>
      <c r="S73" t="b">
        <f>AND(Table19[[#This Row],[Non-comedogenic]:[Mineral]],Table19[[#This Row],[Spray/Whip/Oil]:[Oxy/Avobenzone]],OR(Table19[[#This Row],[Low SPF]:[High SPF]]),OR(Table19[[#This Row],[Face/Lips]:[Body]]))</f>
        <v>0</v>
      </c>
      <c r="T73" s="29" t="s">
        <v>883</v>
      </c>
    </row>
    <row r="74" spans="1:20">
      <c r="A74" t="b">
        <f>IF(Table19[[#This Row],[Column2]],Table19[[#This Row],[Column13]])</f>
        <v>0</v>
      </c>
      <c r="B74" s="17"/>
      <c r="C74" s="20" t="b">
        <f>C2</f>
        <v>0</v>
      </c>
      <c r="D74" s="17"/>
      <c r="E74" s="20" t="b">
        <f>E7</f>
        <v>0</v>
      </c>
      <c r="F74" s="17"/>
      <c r="G74" s="17"/>
      <c r="H74" s="20" t="b">
        <f>H2</f>
        <v>0</v>
      </c>
      <c r="I74" s="17" t="b">
        <f>I2</f>
        <v>1</v>
      </c>
      <c r="J74" s="20" t="b">
        <f>J2</f>
        <v>1</v>
      </c>
      <c r="K74" s="17"/>
      <c r="L74" s="20" t="b">
        <f>L2</f>
        <v>0</v>
      </c>
      <c r="M74" s="20" t="b">
        <f>M2</f>
        <v>0</v>
      </c>
      <c r="N74" s="17" t="b">
        <f>N7</f>
        <v>1</v>
      </c>
      <c r="O74" s="17" t="b">
        <f>O2</f>
        <v>1</v>
      </c>
      <c r="P74" s="17" t="b">
        <f>P3</f>
        <v>1</v>
      </c>
      <c r="Q74" s="17" t="b">
        <f>Q5</f>
        <v>1</v>
      </c>
      <c r="R74" s="17" t="b">
        <f>R2</f>
        <v>1</v>
      </c>
      <c r="S74" t="b">
        <f>AND(Table19[[#This Row],[Non-comedogenic]:[Mineral]],Table19[[#This Row],[Spray/Whip/Oil]:[Oxy/Avobenzone]],OR(Table19[[#This Row],[Low SPF]:[High SPF]]),OR(Table19[[#This Row],[Face/Lips]:[Body]]))</f>
        <v>0</v>
      </c>
      <c r="T74" s="29" t="s">
        <v>884</v>
      </c>
    </row>
    <row r="75" spans="1:20">
      <c r="A75" t="b">
        <f>IF(Table19[[#This Row],[Column2]],Table19[[#This Row],[Column13]])</f>
        <v>0</v>
      </c>
      <c r="B75" s="17"/>
      <c r="C75" s="20" t="b">
        <f>C2</f>
        <v>0</v>
      </c>
      <c r="D75" s="17"/>
      <c r="E75" s="17"/>
      <c r="F75" s="20" t="b">
        <f>F4</f>
        <v>0</v>
      </c>
      <c r="G75" s="17"/>
      <c r="H75" s="20" t="b">
        <f>H2</f>
        <v>0</v>
      </c>
      <c r="I75" s="17" t="b">
        <f>I2</f>
        <v>1</v>
      </c>
      <c r="J75" s="20" t="b">
        <f>J2</f>
        <v>1</v>
      </c>
      <c r="K75" s="17"/>
      <c r="L75" s="20" t="b">
        <f>L2</f>
        <v>0</v>
      </c>
      <c r="M75" s="17"/>
      <c r="N75" s="17" t="b">
        <f>N7</f>
        <v>1</v>
      </c>
      <c r="O75" s="17" t="b">
        <f>O2</f>
        <v>1</v>
      </c>
      <c r="P75" s="17" t="b">
        <f>P3</f>
        <v>1</v>
      </c>
      <c r="Q75" s="17" t="b">
        <f>Q5</f>
        <v>1</v>
      </c>
      <c r="R75" s="17" t="b">
        <f>R2</f>
        <v>1</v>
      </c>
      <c r="S75" t="b">
        <f>AND(Table19[[#This Row],[Non-comedogenic]:[Mineral]],Table19[[#This Row],[Spray/Whip/Oil]:[Oxy/Avobenzone]],OR(Table19[[#This Row],[Low SPF]:[High SPF]]),OR(Table19[[#This Row],[Face/Lips]:[Body]]))</f>
        <v>0</v>
      </c>
      <c r="T75" s="29" t="s">
        <v>885</v>
      </c>
    </row>
    <row r="76" spans="1:20">
      <c r="A76" t="b">
        <f>IF(Table19[[#This Row],[Column2]],Table19[[#This Row],[Column13]])</f>
        <v>0</v>
      </c>
      <c r="B76" s="20" t="b">
        <f>B25</f>
        <v>0</v>
      </c>
      <c r="C76" s="17"/>
      <c r="D76" s="17"/>
      <c r="E76" s="20" t="b">
        <f>E7</f>
        <v>0</v>
      </c>
      <c r="F76" s="17"/>
      <c r="G76" s="17"/>
      <c r="H76" s="17" t="b">
        <f>H45</f>
        <v>1</v>
      </c>
      <c r="I76" s="17" t="b">
        <f>I2</f>
        <v>1</v>
      </c>
      <c r="J76" s="20" t="b">
        <f>J2</f>
        <v>1</v>
      </c>
      <c r="K76" s="17"/>
      <c r="L76" s="20" t="b">
        <f>L2</f>
        <v>0</v>
      </c>
      <c r="M76" s="20" t="b">
        <f>M2</f>
        <v>0</v>
      </c>
      <c r="N76" s="17" t="b">
        <f>N7</f>
        <v>1</v>
      </c>
      <c r="O76" s="17" t="b">
        <f>O2</f>
        <v>1</v>
      </c>
      <c r="P76" s="17" t="b">
        <f>P3</f>
        <v>1</v>
      </c>
      <c r="Q76" s="17" t="b">
        <f>Q5</f>
        <v>1</v>
      </c>
      <c r="R76" s="17" t="b">
        <f>R2</f>
        <v>1</v>
      </c>
      <c r="S76" t="b">
        <f>AND(Table19[[#This Row],[Non-comedogenic]:[Mineral]],Table19[[#This Row],[Spray/Whip/Oil]:[Oxy/Avobenzone]],OR(Table19[[#This Row],[Low SPF]:[High SPF]]),OR(Table19[[#This Row],[Face/Lips]:[Body]]))</f>
        <v>0</v>
      </c>
      <c r="T76" s="29" t="s">
        <v>886</v>
      </c>
    </row>
    <row r="77" spans="1:20">
      <c r="A77" s="16" t="e">
        <f>IF(Table19[[#This Row],[Column2]],Table19[[#This Row],[Column13]])</f>
        <v>#VALUE!</v>
      </c>
      <c r="B77" s="16"/>
      <c r="C77" s="16"/>
      <c r="D77" s="16"/>
      <c r="E77" s="16"/>
      <c r="F77" s="16"/>
      <c r="G77" s="16"/>
      <c r="H77" s="16"/>
      <c r="I77" s="16"/>
      <c r="J77" s="16"/>
      <c r="K77" s="16"/>
      <c r="L77" s="16"/>
      <c r="M77" s="16"/>
      <c r="N77" s="16"/>
      <c r="O77" s="16"/>
      <c r="P77" s="16"/>
      <c r="Q77" s="16"/>
      <c r="R77" s="16"/>
      <c r="S77" s="16" t="e">
        <f>AND(Table19[[#This Row],[Non-comedogenic]:[Mineral]],Table19[[#This Row],[Spray/Whip/Oil]:[Oxy/Avobenzone]],OR(Table19[[#This Row],[Low SPF]:[High SPF]]),OR(Table19[[#This Row],[Face/Lips]:[Body]]))</f>
        <v>#VALUE!</v>
      </c>
      <c r="T77" s="16"/>
    </row>
    <row r="78" spans="1:20">
      <c r="A78" t="b">
        <f>IF(Table19[[#This Row],[Column2]],Table19[[#This Row],[Column13]])</f>
        <v>0</v>
      </c>
      <c r="B78" s="17"/>
      <c r="C78" s="17"/>
      <c r="D78" s="20" t="b">
        <f>D2</f>
        <v>0</v>
      </c>
      <c r="E78" s="17"/>
      <c r="F78" s="17"/>
      <c r="G78" s="20" t="b">
        <f>G2</f>
        <v>0</v>
      </c>
      <c r="H78" s="20" t="b">
        <f>H2</f>
        <v>0</v>
      </c>
      <c r="I78" s="17" t="b">
        <f>I2</f>
        <v>1</v>
      </c>
      <c r="J78" s="20" t="b">
        <f>J2</f>
        <v>1</v>
      </c>
      <c r="K78" s="17"/>
      <c r="L78" s="20" t="b">
        <f>L2</f>
        <v>0</v>
      </c>
      <c r="M78" s="20" t="b">
        <f>M2</f>
        <v>0</v>
      </c>
      <c r="N78" s="17" t="b">
        <f>N7</f>
        <v>1</v>
      </c>
      <c r="O78" s="20" t="b">
        <f>O11</f>
        <v>1</v>
      </c>
      <c r="P78" s="20" t="b">
        <f>P2</f>
        <v>1</v>
      </c>
      <c r="Q78" s="17" t="b">
        <f>Q5</f>
        <v>1</v>
      </c>
      <c r="R78" s="17" t="b">
        <f>R2</f>
        <v>1</v>
      </c>
      <c r="S78" t="b">
        <f>AND(Table19[[#This Row],[Non-comedogenic]:[Mineral]],Table19[[#This Row],[Spray/Whip/Oil]:[Oxy/Avobenzone]],OR(Table19[[#This Row],[Low SPF]:[High SPF]]),OR(Table19[[#This Row],[Face/Lips]:[Body]]))</f>
        <v>0</v>
      </c>
      <c r="T78" s="29" t="s">
        <v>888</v>
      </c>
    </row>
    <row r="79" spans="1:20">
      <c r="A79" t="b">
        <f>IF(Table19[[#This Row],[Column2]],Table19[[#This Row],[Column13]])</f>
        <v>0</v>
      </c>
      <c r="B79" s="17"/>
      <c r="C79" s="20" t="b">
        <f>C2</f>
        <v>0</v>
      </c>
      <c r="D79" s="17"/>
      <c r="E79" s="17"/>
      <c r="F79" s="20" t="b">
        <f>F4</f>
        <v>0</v>
      </c>
      <c r="G79" s="17"/>
      <c r="H79" s="20" t="b">
        <f>H2</f>
        <v>0</v>
      </c>
      <c r="I79" s="17" t="b">
        <f>I2</f>
        <v>1</v>
      </c>
      <c r="J79" s="20" t="b">
        <f>J2</f>
        <v>1</v>
      </c>
      <c r="K79" s="20" t="b">
        <f>K2</f>
        <v>1</v>
      </c>
      <c r="L79" s="20" t="b">
        <f>L2</f>
        <v>0</v>
      </c>
      <c r="M79" s="17"/>
      <c r="N79" s="20" t="b">
        <f>N2</f>
        <v>1</v>
      </c>
      <c r="O79" s="20" t="b">
        <f>O11</f>
        <v>1</v>
      </c>
      <c r="P79" s="20" t="b">
        <f>P2</f>
        <v>1</v>
      </c>
      <c r="Q79" s="17" t="b">
        <f>Q5</f>
        <v>1</v>
      </c>
      <c r="R79" s="20" t="b">
        <f>R22</f>
        <v>1</v>
      </c>
      <c r="S79" t="b">
        <f>AND(Table19[[#This Row],[Non-comedogenic]:[Mineral]],Table19[[#This Row],[Spray/Whip/Oil]:[Oxy/Avobenzone]],OR(Table19[[#This Row],[Low SPF]:[High SPF]]),OR(Table19[[#This Row],[Face/Lips]:[Body]]))</f>
        <v>0</v>
      </c>
      <c r="T79" s="29" t="s">
        <v>889</v>
      </c>
    </row>
    <row r="80" spans="1:20">
      <c r="A80" t="b">
        <f>IF(Table19[[#This Row],[Column2]],Table19[[#This Row],[Column13]])</f>
        <v>0</v>
      </c>
      <c r="B80" s="17"/>
      <c r="C80" s="20" t="b">
        <f>C2</f>
        <v>0</v>
      </c>
      <c r="D80" s="17"/>
      <c r="E80" s="20" t="b">
        <f>E7</f>
        <v>0</v>
      </c>
      <c r="F80" s="17"/>
      <c r="G80" s="17"/>
      <c r="H80" s="20" t="b">
        <f t="shared" ref="H80:M80" si="7">H2</f>
        <v>0</v>
      </c>
      <c r="I80" s="17" t="b">
        <f t="shared" si="7"/>
        <v>1</v>
      </c>
      <c r="J80" s="20" t="b">
        <f t="shared" si="7"/>
        <v>1</v>
      </c>
      <c r="K80" s="20" t="b">
        <f t="shared" si="7"/>
        <v>1</v>
      </c>
      <c r="L80" s="20" t="b">
        <f t="shared" si="7"/>
        <v>0</v>
      </c>
      <c r="M80" s="20" t="b">
        <f t="shared" si="7"/>
        <v>0</v>
      </c>
      <c r="N80" s="17" t="b">
        <f>N7</f>
        <v>1</v>
      </c>
      <c r="O80" s="20" t="b">
        <f>O11</f>
        <v>1</v>
      </c>
      <c r="P80" s="20" t="b">
        <f>P2</f>
        <v>1</v>
      </c>
      <c r="Q80" s="17" t="b">
        <f>Q5</f>
        <v>1</v>
      </c>
      <c r="R80" s="17" t="b">
        <f>R2</f>
        <v>1</v>
      </c>
      <c r="S80" t="b">
        <f>AND(Table19[[#This Row],[Non-comedogenic]:[Mineral]],Table19[[#This Row],[Spray/Whip/Oil]:[Oxy/Avobenzone]],OR(Table19[[#This Row],[Low SPF]:[High SPF]]),OR(Table19[[#This Row],[Face/Lips]:[Body]]))</f>
        <v>0</v>
      </c>
      <c r="T80" s="29" t="s">
        <v>890</v>
      </c>
    </row>
    <row r="81" spans="1:20">
      <c r="A81" t="b">
        <f>IF(Table19[[#This Row],[Column2]],Table19[[#This Row],[Column13]])</f>
        <v>0</v>
      </c>
      <c r="B81" s="17"/>
      <c r="C81" s="17"/>
      <c r="D81" s="20" t="b">
        <f>D2</f>
        <v>0</v>
      </c>
      <c r="E81" s="17"/>
      <c r="F81" s="17"/>
      <c r="G81" s="20" t="b">
        <f>G2</f>
        <v>0</v>
      </c>
      <c r="H81" s="20" t="b">
        <f>H2</f>
        <v>0</v>
      </c>
      <c r="I81" s="20" t="b">
        <f>I15</f>
        <v>1</v>
      </c>
      <c r="J81" s="20" t="b">
        <f>J2</f>
        <v>1</v>
      </c>
      <c r="K81" s="17"/>
      <c r="L81" s="20" t="b">
        <f>L2</f>
        <v>0</v>
      </c>
      <c r="M81" s="20" t="b">
        <f>M2</f>
        <v>0</v>
      </c>
      <c r="N81" s="17" t="b">
        <f>N7</f>
        <v>1</v>
      </c>
      <c r="O81" s="20" t="b">
        <f>O11</f>
        <v>1</v>
      </c>
      <c r="P81" s="20" t="b">
        <f>P2</f>
        <v>1</v>
      </c>
      <c r="Q81" s="17" t="b">
        <f>Q5</f>
        <v>1</v>
      </c>
      <c r="R81" s="17" t="b">
        <f>R2</f>
        <v>1</v>
      </c>
      <c r="S81" t="b">
        <f>AND(Table19[[#This Row],[Non-comedogenic]:[Mineral]],Table19[[#This Row],[Spray/Whip/Oil]:[Oxy/Avobenzone]],OR(Table19[[#This Row],[Low SPF]:[High SPF]]),OR(Table19[[#This Row],[Face/Lips]:[Body]]))</f>
        <v>0</v>
      </c>
      <c r="T81" s="29" t="s">
        <v>891</v>
      </c>
    </row>
    <row r="82" spans="1:20">
      <c r="A82" t="b">
        <f>IF(Table19[[#This Row],[Column2]],Table19[[#This Row],[Column13]])</f>
        <v>0</v>
      </c>
      <c r="B82" s="17"/>
      <c r="C82" s="20" t="b">
        <f>C2</f>
        <v>0</v>
      </c>
      <c r="D82" s="17"/>
      <c r="E82" s="20" t="b">
        <f>E7</f>
        <v>0</v>
      </c>
      <c r="F82" s="17"/>
      <c r="G82" s="17"/>
      <c r="H82" s="20" t="b">
        <f>H2</f>
        <v>0</v>
      </c>
      <c r="I82" s="17" t="b">
        <f>I2</f>
        <v>1</v>
      </c>
      <c r="J82" s="20" t="b">
        <f>J2</f>
        <v>1</v>
      </c>
      <c r="K82" s="17"/>
      <c r="L82" s="20" t="b">
        <f>L2</f>
        <v>0</v>
      </c>
      <c r="M82" s="20" t="b">
        <f>M2</f>
        <v>0</v>
      </c>
      <c r="N82" s="17" t="b">
        <f>N7</f>
        <v>1</v>
      </c>
      <c r="O82" s="20" t="b">
        <f>O11</f>
        <v>1</v>
      </c>
      <c r="P82" s="17" t="b">
        <f>P3</f>
        <v>1</v>
      </c>
      <c r="Q82" s="17" t="b">
        <f>Q5</f>
        <v>1</v>
      </c>
      <c r="R82" s="17" t="b">
        <f>R2</f>
        <v>1</v>
      </c>
      <c r="S82" t="b">
        <f>AND(Table19[[#This Row],[Non-comedogenic]:[Mineral]],Table19[[#This Row],[Spray/Whip/Oil]:[Oxy/Avobenzone]],OR(Table19[[#This Row],[Low SPF]:[High SPF]]),OR(Table19[[#This Row],[Face/Lips]:[Body]]))</f>
        <v>0</v>
      </c>
      <c r="T82" s="29" t="s">
        <v>892</v>
      </c>
    </row>
    <row r="83" spans="1:20">
      <c r="A83" t="b">
        <f>IF(Table19[[#This Row],[Column2]],Table19[[#This Row],[Column13]])</f>
        <v>0</v>
      </c>
      <c r="B83" s="17"/>
      <c r="C83" s="20" t="b">
        <f>C2</f>
        <v>0</v>
      </c>
      <c r="D83" s="17"/>
      <c r="E83" s="17"/>
      <c r="F83" s="17"/>
      <c r="G83" s="20" t="b">
        <f>G2</f>
        <v>0</v>
      </c>
      <c r="H83" s="20" t="b">
        <f>H2</f>
        <v>0</v>
      </c>
      <c r="I83" s="17" t="b">
        <f>I2</f>
        <v>1</v>
      </c>
      <c r="J83" s="20" t="b">
        <f>J2</f>
        <v>1</v>
      </c>
      <c r="K83" s="17"/>
      <c r="L83" s="20" t="b">
        <f>L2</f>
        <v>0</v>
      </c>
      <c r="M83" s="20" t="b">
        <f>M2</f>
        <v>0</v>
      </c>
      <c r="N83" s="17" t="b">
        <f>N7</f>
        <v>1</v>
      </c>
      <c r="O83" s="20" t="b">
        <f>O11</f>
        <v>1</v>
      </c>
      <c r="P83" s="20" t="b">
        <f>P2</f>
        <v>1</v>
      </c>
      <c r="Q83" s="20" t="b">
        <f>Q2</f>
        <v>1</v>
      </c>
      <c r="R83" s="17" t="b">
        <f>R2</f>
        <v>1</v>
      </c>
      <c r="S83" t="b">
        <f>AND(Table19[[#This Row],[Non-comedogenic]:[Mineral]],Table19[[#This Row],[Spray/Whip/Oil]:[Oxy/Avobenzone]],OR(Table19[[#This Row],[Low SPF]:[High SPF]]),OR(Table19[[#This Row],[Face/Lips]:[Body]]))</f>
        <v>0</v>
      </c>
      <c r="T83" s="29" t="s">
        <v>893</v>
      </c>
    </row>
    <row r="84" spans="1:20">
      <c r="A84" t="b">
        <f>IF(Table19[[#This Row],[Column2]],Table19[[#This Row],[Column13]])</f>
        <v>0</v>
      </c>
      <c r="B84" s="17"/>
      <c r="C84" s="20" t="b">
        <f>C2</f>
        <v>0</v>
      </c>
      <c r="D84" s="17"/>
      <c r="E84" s="20" t="b">
        <f>E7</f>
        <v>0</v>
      </c>
      <c r="F84" s="17"/>
      <c r="G84" s="17"/>
      <c r="H84" s="20" t="b">
        <f t="shared" ref="H84:M84" si="8">H2</f>
        <v>0</v>
      </c>
      <c r="I84" s="17" t="b">
        <f t="shared" si="8"/>
        <v>1</v>
      </c>
      <c r="J84" s="20" t="b">
        <f t="shared" si="8"/>
        <v>1</v>
      </c>
      <c r="K84" s="20" t="b">
        <f t="shared" si="8"/>
        <v>1</v>
      </c>
      <c r="L84" s="20" t="b">
        <f t="shared" si="8"/>
        <v>0</v>
      </c>
      <c r="M84" s="20" t="b">
        <f t="shared" si="8"/>
        <v>0</v>
      </c>
      <c r="N84" s="17" t="b">
        <f>N7</f>
        <v>1</v>
      </c>
      <c r="O84" s="20" t="b">
        <f>O11</f>
        <v>1</v>
      </c>
      <c r="P84" s="20" t="b">
        <f>P2</f>
        <v>1</v>
      </c>
      <c r="Q84" s="17" t="b">
        <f>Q5</f>
        <v>1</v>
      </c>
      <c r="R84" s="17" t="b">
        <f>R2</f>
        <v>1</v>
      </c>
      <c r="S84" t="b">
        <f>AND(Table19[[#This Row],[Non-comedogenic]:[Mineral]],Table19[[#This Row],[Spray/Whip/Oil]:[Oxy/Avobenzone]],OR(Table19[[#This Row],[Low SPF]:[High SPF]]),OR(Table19[[#This Row],[Face/Lips]:[Body]]))</f>
        <v>0</v>
      </c>
      <c r="T84" s="29" t="s">
        <v>894</v>
      </c>
    </row>
    <row r="85" spans="1:20">
      <c r="A85" t="b">
        <f>IF(Table19[[#This Row],[Column2]],Table19[[#This Row],[Column13]])</f>
        <v>0</v>
      </c>
      <c r="B85" s="17"/>
      <c r="C85" s="17"/>
      <c r="D85" s="20" t="b">
        <f>D2</f>
        <v>0</v>
      </c>
      <c r="E85" s="17"/>
      <c r="F85" s="17"/>
      <c r="G85" s="20" t="b">
        <f>G2</f>
        <v>0</v>
      </c>
      <c r="H85" s="20" t="b">
        <f>H2</f>
        <v>0</v>
      </c>
      <c r="I85" s="17" t="b">
        <f>I2</f>
        <v>1</v>
      </c>
      <c r="J85" s="20" t="b">
        <f>J2</f>
        <v>1</v>
      </c>
      <c r="K85" s="17"/>
      <c r="L85" s="20" t="b">
        <f>L2</f>
        <v>0</v>
      </c>
      <c r="M85" s="20" t="b">
        <f>M2</f>
        <v>0</v>
      </c>
      <c r="N85" s="17" t="b">
        <f>N7</f>
        <v>1</v>
      </c>
      <c r="O85" s="20" t="b">
        <f>O11</f>
        <v>1</v>
      </c>
      <c r="P85" s="20" t="b">
        <f>P2</f>
        <v>1</v>
      </c>
      <c r="Q85" s="17" t="b">
        <f>Q5</f>
        <v>1</v>
      </c>
      <c r="R85" s="17" t="b">
        <f>R2</f>
        <v>1</v>
      </c>
      <c r="S85" t="b">
        <f>AND(Table19[[#This Row],[Non-comedogenic]:[Mineral]],Table19[[#This Row],[Spray/Whip/Oil]:[Oxy/Avobenzone]],OR(Table19[[#This Row],[Low SPF]:[High SPF]]),OR(Table19[[#This Row],[Face/Lips]:[Body]]))</f>
        <v>0</v>
      </c>
      <c r="T85" s="29" t="s">
        <v>895</v>
      </c>
    </row>
    <row r="86" spans="1:20">
      <c r="A86" t="b">
        <f>IF(Table19[[#This Row],[Column2]],Table19[[#This Row],[Column13]])</f>
        <v>0</v>
      </c>
      <c r="B86" s="17"/>
      <c r="C86" s="20" t="b">
        <f>C2</f>
        <v>0</v>
      </c>
      <c r="D86" s="17"/>
      <c r="E86" s="17"/>
      <c r="F86" s="17"/>
      <c r="G86" s="20" t="b">
        <f>G2</f>
        <v>0</v>
      </c>
      <c r="H86" s="20" t="b">
        <f>H2</f>
        <v>0</v>
      </c>
      <c r="I86" s="20" t="b">
        <f>I15</f>
        <v>1</v>
      </c>
      <c r="J86" s="20" t="b">
        <f>J2</f>
        <v>1</v>
      </c>
      <c r="K86" s="17"/>
      <c r="L86" s="20" t="b">
        <f>L2</f>
        <v>0</v>
      </c>
      <c r="M86" s="20" t="b">
        <f>M2</f>
        <v>0</v>
      </c>
      <c r="N86" s="17" t="b">
        <f>N7</f>
        <v>1</v>
      </c>
      <c r="O86" s="20" t="b">
        <f>O11</f>
        <v>1</v>
      </c>
      <c r="P86" s="20" t="b">
        <f>P2</f>
        <v>1</v>
      </c>
      <c r="Q86" s="17" t="b">
        <f>Q5</f>
        <v>1</v>
      </c>
      <c r="R86" s="17" t="b">
        <f>R2</f>
        <v>1</v>
      </c>
      <c r="S86" t="b">
        <f>AND(Table19[[#This Row],[Non-comedogenic]:[Mineral]],Table19[[#This Row],[Spray/Whip/Oil]:[Oxy/Avobenzone]],OR(Table19[[#This Row],[Low SPF]:[High SPF]]),OR(Table19[[#This Row],[Face/Lips]:[Body]]))</f>
        <v>0</v>
      </c>
      <c r="T86" s="29" t="s">
        <v>896</v>
      </c>
    </row>
    <row r="87" spans="1:20">
      <c r="A87" t="b">
        <f>IF(Table19[[#This Row],[Column2]],Table19[[#This Row],[Column13]])</f>
        <v>0</v>
      </c>
      <c r="B87" s="17"/>
      <c r="C87" s="20" t="b">
        <f>C2</f>
        <v>0</v>
      </c>
      <c r="D87" s="17"/>
      <c r="E87" s="17"/>
      <c r="F87" s="17"/>
      <c r="G87" s="20" t="b">
        <f>G2</f>
        <v>0</v>
      </c>
      <c r="H87" s="20" t="b">
        <f>H2</f>
        <v>0</v>
      </c>
      <c r="I87" s="20" t="b">
        <f>I15</f>
        <v>1</v>
      </c>
      <c r="J87" s="20" t="b">
        <f>J2</f>
        <v>1</v>
      </c>
      <c r="K87" s="17"/>
      <c r="L87" s="20" t="b">
        <f>L2</f>
        <v>0</v>
      </c>
      <c r="M87" s="20" t="b">
        <f>M2</f>
        <v>0</v>
      </c>
      <c r="N87" s="17" t="b">
        <f>N7</f>
        <v>1</v>
      </c>
      <c r="O87" s="20" t="b">
        <f>O11</f>
        <v>1</v>
      </c>
      <c r="P87" s="20" t="b">
        <f>P2</f>
        <v>1</v>
      </c>
      <c r="Q87" s="17" t="b">
        <f>Q5</f>
        <v>1</v>
      </c>
      <c r="R87" s="17" t="b">
        <f>R2</f>
        <v>1</v>
      </c>
      <c r="S87" t="b">
        <f>AND(Table19[[#This Row],[Non-comedogenic]:[Mineral]],Table19[[#This Row],[Spray/Whip/Oil]:[Oxy/Avobenzone]],OR(Table19[[#This Row],[Low SPF]:[High SPF]]),OR(Table19[[#This Row],[Face/Lips]:[Body]]))</f>
        <v>0</v>
      </c>
      <c r="T87" s="29" t="s">
        <v>897</v>
      </c>
    </row>
    <row r="88" spans="1:20">
      <c r="A88" t="b">
        <f>IF(Table19[[#This Row],[Column2]],Table19[[#This Row],[Column13]])</f>
        <v>0</v>
      </c>
      <c r="B88" s="17"/>
      <c r="C88" s="17"/>
      <c r="D88" s="20" t="b">
        <f>D2</f>
        <v>0</v>
      </c>
      <c r="E88" s="17"/>
      <c r="F88" s="17"/>
      <c r="G88" s="20" t="b">
        <f>G2</f>
        <v>0</v>
      </c>
      <c r="H88" s="20" t="b">
        <f>H2</f>
        <v>0</v>
      </c>
      <c r="I88" s="17" t="b">
        <f>I2</f>
        <v>1</v>
      </c>
      <c r="J88" s="17" t="b">
        <f>J10</f>
        <v>1</v>
      </c>
      <c r="K88" s="17"/>
      <c r="L88" s="20" t="b">
        <f>L2</f>
        <v>0</v>
      </c>
      <c r="M88" s="17"/>
      <c r="N88" s="20" t="b">
        <f>N2</f>
        <v>1</v>
      </c>
      <c r="O88" s="17" t="b">
        <f>O2</f>
        <v>1</v>
      </c>
      <c r="P88" s="20" t="b">
        <f>P2</f>
        <v>1</v>
      </c>
      <c r="Q88" s="17" t="b">
        <f>Q5</f>
        <v>1</v>
      </c>
      <c r="R88" s="17" t="b">
        <f>R2</f>
        <v>1</v>
      </c>
      <c r="S88" t="b">
        <f>AND(Table19[[#This Row],[Non-comedogenic]:[Mineral]],Table19[[#This Row],[Spray/Whip/Oil]:[Oxy/Avobenzone]],OR(Table19[[#This Row],[Low SPF]:[High SPF]]),OR(Table19[[#This Row],[Face/Lips]:[Body]]))</f>
        <v>0</v>
      </c>
      <c r="T88" s="29" t="s">
        <v>898</v>
      </c>
    </row>
    <row r="89" spans="1:20">
      <c r="A89" s="16" t="e">
        <f>IF(Table19[[#This Row],[Column2]],Table19[[#This Row],[Column13]])</f>
        <v>#VALUE!</v>
      </c>
      <c r="B89" s="16"/>
      <c r="C89" s="16"/>
      <c r="D89" s="16"/>
      <c r="E89" s="16"/>
      <c r="F89" s="16"/>
      <c r="G89" s="16"/>
      <c r="H89" s="16"/>
      <c r="I89" s="16"/>
      <c r="J89" s="16"/>
      <c r="K89" s="16"/>
      <c r="L89" s="16"/>
      <c r="M89" s="16"/>
      <c r="N89" s="16"/>
      <c r="O89" s="16"/>
      <c r="P89" s="16"/>
      <c r="Q89" s="16"/>
      <c r="R89" s="16"/>
      <c r="S89" s="16" t="e">
        <f>AND(Table19[[#This Row],[Non-comedogenic]:[Mineral]],Table19[[#This Row],[Spray/Whip/Oil]:[Oxy/Avobenzone]],OR(Table19[[#This Row],[Low SPF]:[High SPF]]),OR(Table19[[#This Row],[Face/Lips]:[Body]]))</f>
        <v>#VALUE!</v>
      </c>
      <c r="T89" s="16"/>
    </row>
    <row r="90" spans="1:20">
      <c r="A90" t="e">
        <f>IF(Table19[[#This Row],[Column2]],Table19[[#This Row],[Column13]])</f>
        <v>#VALUE!</v>
      </c>
      <c r="S90" t="e">
        <f>AND(Table19[[#This Row],[Non-comedogenic]:[Mineral]],Table19[[#This Row],[Spray/Whip/Oil]:[Oxy/Avobenzone]],OR(Table19[[#This Row],[Low SPF]:[High SPF]]),OR(Table19[[#This Row],[Face/Lips]:[Body]]))</f>
        <v>#VALUE!</v>
      </c>
    </row>
    <row r="91" spans="1:20">
      <c r="A91" t="e">
        <f>IF(Table19[[#This Row],[Column2]],Table19[[#This Row],[Column13]])</f>
        <v>#VALUE!</v>
      </c>
      <c r="S91" t="e">
        <f>AND(Table19[[#This Row],[Non-comedogenic]:[Mineral]],Table19[[#This Row],[Spray/Whip/Oil]:[Oxy/Avobenzone]],OR(Table19[[#This Row],[Low SPF]:[High SPF]]),OR(Table19[[#This Row],[Face/Lips]:[Body]]))</f>
        <v>#VALUE!</v>
      </c>
    </row>
    <row r="92" spans="1:20">
      <c r="A92" t="e">
        <f>IF(Table19[[#This Row],[Column2]],Table19[[#This Row],[Column13]])</f>
        <v>#VALUE!</v>
      </c>
      <c r="S92" t="e">
        <f>AND(Table19[[#This Row],[Non-comedogenic]:[Mineral]],Table19[[#This Row],[Spray/Whip/Oil]:[Oxy/Avobenzone]],OR(Table19[[#This Row],[Low SPF]:[High SPF]]),OR(Table19[[#This Row],[Face/Lips]:[Body]]))</f>
        <v>#VALUE!</v>
      </c>
    </row>
    <row r="93" spans="1:20">
      <c r="A93" t="e">
        <f>IF(Table19[[#This Row],[Column2]],Table19[[#This Row],[Column13]])</f>
        <v>#VALUE!</v>
      </c>
      <c r="S93" t="e">
        <f>AND(Table19[[#This Row],[Non-comedogenic]:[Mineral]],Table19[[#This Row],[Spray/Whip/Oil]:[Oxy/Avobenzone]],OR(Table19[[#This Row],[Low SPF]:[High SPF]]),OR(Table19[[#This Row],[Face/Lips]:[Body]]))</f>
        <v>#VALUE!</v>
      </c>
    </row>
    <row r="94" spans="1:20">
      <c r="A94" t="e">
        <f>IF(Table19[[#This Row],[Column2]],Table19[[#This Row],[Column13]])</f>
        <v>#VALUE!</v>
      </c>
      <c r="S94" t="e">
        <f>AND(Table19[[#This Row],[Non-comedogenic]:[Mineral]],Table19[[#This Row],[Spray/Whip/Oil]:[Oxy/Avobenzone]],OR(Table19[[#This Row],[Low SPF]:[High SPF]]),OR(Table19[[#This Row],[Face/Lips]:[Body]]))</f>
        <v>#VALUE!</v>
      </c>
    </row>
    <row r="95" spans="1:20">
      <c r="A95" t="e">
        <f>IF(Table19[[#This Row],[Column2]],Table19[[#This Row],[Column13]])</f>
        <v>#VALUE!</v>
      </c>
      <c r="S95" t="e">
        <f>AND(Table19[[#This Row],[Non-comedogenic]:[Mineral]],Table19[[#This Row],[Spray/Whip/Oil]:[Oxy/Avobenzone]],OR(Table19[[#This Row],[Low SPF]:[High SPF]]),OR(Table19[[#This Row],[Face/Lips]:[Body]]))</f>
        <v>#VALUE!</v>
      </c>
    </row>
    <row r="96" spans="1:20">
      <c r="A96" t="e">
        <f>IF(Table19[[#This Row],[Column2]],Table19[[#This Row],[Column13]])</f>
        <v>#VALUE!</v>
      </c>
      <c r="S96" t="e">
        <f>AND(Table19[[#This Row],[Non-comedogenic]:[Mineral]],Table19[[#This Row],[Spray/Whip/Oil]:[Oxy/Avobenzone]],OR(Table19[[#This Row],[Low SPF]:[High SPF]]),OR(Table19[[#This Row],[Face/Lips]:[Body]]))</f>
        <v>#VALUE!</v>
      </c>
    </row>
    <row r="97" spans="1:19">
      <c r="A97" t="e">
        <f>IF(Table19[[#This Row],[Column2]],Table19[[#This Row],[Column13]])</f>
        <v>#VALUE!</v>
      </c>
      <c r="S97" t="e">
        <f>AND(Table19[[#This Row],[Non-comedogenic]:[Mineral]],Table19[[#This Row],[Spray/Whip/Oil]:[Oxy/Avobenzone]],OR(Table19[[#This Row],[Low SPF]:[High SPF]]),OR(Table19[[#This Row],[Face/Lips]:[Body]]))</f>
        <v>#VALUE!</v>
      </c>
    </row>
    <row r="98" spans="1:19">
      <c r="A98" t="e">
        <f>IF(Table19[[#This Row],[Column2]],Table19[[#This Row],[Column13]])</f>
        <v>#VALUE!</v>
      </c>
      <c r="S98" t="e">
        <f>AND(Table19[[#This Row],[Non-comedogenic]:[Mineral]],Table19[[#This Row],[Spray/Whip/Oil]:[Oxy/Avobenzone]],OR(Table19[[#This Row],[Low SPF]:[High SPF]]),OR(Table19[[#This Row],[Face/Lips]:[Body]]))</f>
        <v>#VALUE!</v>
      </c>
    </row>
    <row r="99" spans="1:19">
      <c r="A99" t="e">
        <f>IF(Table19[[#This Row],[Column2]],Table19[[#This Row],[Column13]])</f>
        <v>#VALUE!</v>
      </c>
      <c r="S99" t="e">
        <f>AND(Table19[[#This Row],[Non-comedogenic]:[Mineral]],Table19[[#This Row],[Spray/Whip/Oil]:[Oxy/Avobenzone]],OR(Table19[[#This Row],[Low SPF]:[High SPF]]),OR(Table19[[#This Row],[Face/Lips]:[Body]]))</f>
        <v>#VALUE!</v>
      </c>
    </row>
  </sheetData>
  <hyperlinks>
    <hyperlink ref="T2" r:id="rId1" location="ingredients" xr:uid="{00000000-0004-0000-2200-000000000000}"/>
    <hyperlink ref="T3" r:id="rId2" xr:uid="{00000000-0004-0000-2200-000001000000}"/>
    <hyperlink ref="T4" r:id="rId3" xr:uid="{00000000-0004-0000-2200-000002000000}"/>
    <hyperlink ref="T5" r:id="rId4" xr:uid="{00000000-0004-0000-2200-000003000000}"/>
    <hyperlink ref="T6" r:id="rId5" xr:uid="{00000000-0004-0000-2200-000004000000}"/>
    <hyperlink ref="T7" r:id="rId6" xr:uid="{00000000-0004-0000-2200-000005000000}"/>
    <hyperlink ref="T8" r:id="rId7" xr:uid="{00000000-0004-0000-2200-000006000000}"/>
    <hyperlink ref="T9" r:id="rId8" xr:uid="{00000000-0004-0000-2200-000007000000}"/>
    <hyperlink ref="T10" r:id="rId9" xr:uid="{00000000-0004-0000-2200-000008000000}"/>
    <hyperlink ref="T11" r:id="rId10" xr:uid="{00000000-0004-0000-2200-000009000000}"/>
    <hyperlink ref="T12" r:id="rId11" xr:uid="{00000000-0004-0000-2200-00000A000000}"/>
    <hyperlink ref="T13" r:id="rId12" display="https://www.neutrogena.ca/sun/sport-protection/neutrogena-cooldry-sport-sunscreen-lotion" xr:uid="{00000000-0004-0000-2200-00000B000000}"/>
    <hyperlink ref="T14" r:id="rId13" display="https://www.neutrogena.ca/sun/sport-protection/neutrogena-cooldry-sport-sunscreen-spray" xr:uid="{00000000-0004-0000-2200-00000C000000}"/>
    <hyperlink ref="T15" r:id="rId14" display="https://www.neutrogena.ca/sun/kids-protection/neutrogena-wet-skin-sunscreen-spray-kids" xr:uid="{00000000-0004-0000-2200-00000D000000}"/>
    <hyperlink ref="T16" r:id="rId15" display="https://www.neutrogena.ca/sun/kids-protection/neutrogena-beach-defense-sunscreen-spray-kids" xr:uid="{00000000-0004-0000-2200-00000E000000}"/>
    <hyperlink ref="T18" r:id="rId16" xr:uid="{00000000-0004-0000-2200-00000F000000}"/>
    <hyperlink ref="T19" r:id="rId17" xr:uid="{00000000-0004-0000-2200-000010000000}"/>
    <hyperlink ref="T20" r:id="rId18" xr:uid="{00000000-0004-0000-2200-000011000000}"/>
    <hyperlink ref="T21" r:id="rId19" xr:uid="{00000000-0004-0000-2200-000012000000}"/>
    <hyperlink ref="T22" r:id="rId20" xr:uid="{00000000-0004-0000-2200-000013000000}"/>
    <hyperlink ref="T23" r:id="rId21" xr:uid="{00000000-0004-0000-2200-000014000000}"/>
    <hyperlink ref="T24" r:id="rId22" xr:uid="{00000000-0004-0000-2200-000015000000}"/>
    <hyperlink ref="T25" r:id="rId23" xr:uid="{00000000-0004-0000-2200-000016000000}"/>
    <hyperlink ref="T26" r:id="rId24" xr:uid="{00000000-0004-0000-2200-000017000000}"/>
    <hyperlink ref="T27" r:id="rId25" xr:uid="{00000000-0004-0000-2200-000018000000}"/>
    <hyperlink ref="T28" r:id="rId26" xr:uid="{00000000-0004-0000-2200-000019000000}"/>
    <hyperlink ref="T29" r:id="rId27" xr:uid="{00000000-0004-0000-2200-00001A000000}"/>
    <hyperlink ref="T30" r:id="rId28" xr:uid="{00000000-0004-0000-2200-00001B000000}"/>
    <hyperlink ref="T31" r:id="rId29" xr:uid="{00000000-0004-0000-2200-00001C000000}"/>
    <hyperlink ref="T32" r:id="rId30" xr:uid="{00000000-0004-0000-2200-00001D000000}"/>
    <hyperlink ref="T33" r:id="rId31" xr:uid="{00000000-0004-0000-2200-00001E000000}"/>
    <hyperlink ref="T34" r:id="rId32" xr:uid="{00000000-0004-0000-2200-00001F000000}"/>
    <hyperlink ref="T36" r:id="rId33" xr:uid="{00000000-0004-0000-2200-000020000000}"/>
    <hyperlink ref="T37" r:id="rId34" xr:uid="{00000000-0004-0000-2200-000021000000}"/>
    <hyperlink ref="T38" r:id="rId35" xr:uid="{00000000-0004-0000-2200-000022000000}"/>
    <hyperlink ref="T39" r:id="rId36" xr:uid="{00000000-0004-0000-2200-000023000000}"/>
    <hyperlink ref="T40" r:id="rId37" xr:uid="{00000000-0004-0000-2200-000024000000}"/>
    <hyperlink ref="T41" r:id="rId38" xr:uid="{00000000-0004-0000-2200-000025000000}"/>
    <hyperlink ref="T42" r:id="rId39" xr:uid="{00000000-0004-0000-2200-000026000000}"/>
    <hyperlink ref="T43" r:id="rId40" xr:uid="{00000000-0004-0000-2200-000027000000}"/>
    <hyperlink ref="T44" r:id="rId41" xr:uid="{00000000-0004-0000-2200-000028000000}"/>
    <hyperlink ref="T45" r:id="rId42" xr:uid="{00000000-0004-0000-2200-000029000000}"/>
    <hyperlink ref="T46" r:id="rId43" xr:uid="{00000000-0004-0000-2200-00002A000000}"/>
    <hyperlink ref="T48" r:id="rId44" display="https://www.aveeno.ca/products/sensitive-skin-spf-50-sunscreen" xr:uid="{00000000-0004-0000-2200-00002B000000}"/>
    <hyperlink ref="T49" r:id="rId45" display="https://www.aveeno.ca/products/sensitive-skin-face-spf-50" xr:uid="{00000000-0004-0000-2200-00002C000000}"/>
    <hyperlink ref="T50" r:id="rId46" display="https://www.aveeno.ca/products/protect-hydrate-lotion-sunscreen-spf-30" xr:uid="{00000000-0004-0000-2200-00002D000000}"/>
    <hyperlink ref="T51" r:id="rId47" display="https://www.aveeno.ca/products/protect-hydrate-sunscreen-lotion-spf-45" xr:uid="{00000000-0004-0000-2200-00002E000000}"/>
    <hyperlink ref="T52" r:id="rId48" display="https://www.aveeno.ca/products/protect-hydrate-lotion-sunscreen-spf-60" xr:uid="{00000000-0004-0000-2200-00002F000000}"/>
    <hyperlink ref="T53" r:id="rId49" display="https://www.aveeno.ca/products/protect-hydrate-lotion-sunscreen-spf-60-188" xr:uid="{00000000-0004-0000-2200-000030000000}"/>
    <hyperlink ref="T54" r:id="rId50" display="https://www.aveeno.ca/products/baby-sensitive-skin-sunscreen-spf-50" xr:uid="{00000000-0004-0000-2200-000031000000}"/>
    <hyperlink ref="T55" r:id="rId51" display="https://www.aveeno.ca/products/baby-sensitive-skin-face-sunscreen-stick-spf-50" xr:uid="{00000000-0004-0000-2200-000032000000}"/>
    <hyperlink ref="T57" r:id="rId52" xr:uid="{00000000-0004-0000-2200-000033000000}"/>
    <hyperlink ref="T58" r:id="rId53" xr:uid="{00000000-0004-0000-2200-000034000000}"/>
    <hyperlink ref="T59" r:id="rId54" xr:uid="{00000000-0004-0000-2200-000035000000}"/>
    <hyperlink ref="T60" r:id="rId55" xr:uid="{00000000-0004-0000-2200-000036000000}"/>
    <hyperlink ref="T61" r:id="rId56" xr:uid="{00000000-0004-0000-2200-000037000000}"/>
    <hyperlink ref="T62" r:id="rId57" xr:uid="{00000000-0004-0000-2200-000038000000}"/>
    <hyperlink ref="T63" r:id="rId58" xr:uid="{00000000-0004-0000-2200-000039000000}"/>
    <hyperlink ref="T64" r:id="rId59" xr:uid="{00000000-0004-0000-2200-00003A000000}"/>
    <hyperlink ref="T65" r:id="rId60" xr:uid="{00000000-0004-0000-2200-00003B000000}"/>
    <hyperlink ref="T66" r:id="rId61" xr:uid="{00000000-0004-0000-2200-00003C000000}"/>
    <hyperlink ref="T67" r:id="rId62" xr:uid="{00000000-0004-0000-2200-00003D000000}"/>
    <hyperlink ref="T68" r:id="rId63" xr:uid="{00000000-0004-0000-2200-00003E000000}"/>
    <hyperlink ref="T69" r:id="rId64" xr:uid="{00000000-0004-0000-2200-00003F000000}"/>
    <hyperlink ref="T70" r:id="rId65" xr:uid="{00000000-0004-0000-2200-000040000000}"/>
    <hyperlink ref="T71" r:id="rId66" xr:uid="{00000000-0004-0000-2200-000041000000}"/>
    <hyperlink ref="T72" r:id="rId67" xr:uid="{00000000-0004-0000-2200-000042000000}"/>
    <hyperlink ref="T73" r:id="rId68" xr:uid="{00000000-0004-0000-2200-000043000000}"/>
    <hyperlink ref="T74" r:id="rId69" xr:uid="{00000000-0004-0000-2200-000044000000}"/>
    <hyperlink ref="T75" r:id="rId70" xr:uid="{00000000-0004-0000-2200-000045000000}"/>
    <hyperlink ref="T76" r:id="rId71" xr:uid="{00000000-0004-0000-2200-000046000000}"/>
    <hyperlink ref="T78" r:id="rId72" xr:uid="{00000000-0004-0000-2200-000047000000}"/>
    <hyperlink ref="T79" r:id="rId73" xr:uid="{00000000-0004-0000-2200-000048000000}"/>
    <hyperlink ref="T80" r:id="rId74" xr:uid="{00000000-0004-0000-2200-000049000000}"/>
    <hyperlink ref="T81" r:id="rId75" xr:uid="{00000000-0004-0000-2200-00004A000000}"/>
    <hyperlink ref="T82" r:id="rId76" xr:uid="{00000000-0004-0000-2200-00004B000000}"/>
    <hyperlink ref="T83" r:id="rId77" xr:uid="{00000000-0004-0000-2200-00004C000000}"/>
    <hyperlink ref="T84" r:id="rId78" xr:uid="{00000000-0004-0000-2200-00004D000000}"/>
    <hyperlink ref="T85" r:id="rId79" xr:uid="{00000000-0004-0000-2200-00004E000000}"/>
    <hyperlink ref="T86" r:id="rId80" xr:uid="{00000000-0004-0000-2200-00004F000000}"/>
    <hyperlink ref="T87" r:id="rId81" xr:uid="{00000000-0004-0000-2200-000050000000}"/>
    <hyperlink ref="T88" r:id="rId82" xr:uid="{00000000-0004-0000-2200-000051000000}"/>
  </hyperlinks>
  <pageMargins left="0.7" right="0.7" top="0.75" bottom="0.75" header="0.3" footer="0.3"/>
  <pageSetup orientation="portrait" r:id="rId83"/>
  <ignoredErrors>
    <ignoredError sqref="P3" formula="1"/>
  </ignoredErrors>
  <tableParts count="1">
    <tablePart r:id="rId84"/>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C19"/>
  <sheetViews>
    <sheetView workbookViewId="0">
      <selection activeCell="L23" sqref="L23"/>
    </sheetView>
  </sheetViews>
  <sheetFormatPr defaultRowHeight="15"/>
  <cols>
    <col min="1" max="1" width="70.5703125" customWidth="1"/>
  </cols>
  <sheetData>
    <row r="1" spans="1:3" ht="15.75" thickTop="1">
      <c r="A1" s="3" t="s">
        <v>15</v>
      </c>
      <c r="B1" s="7" t="s">
        <v>18</v>
      </c>
      <c r="C1" s="209"/>
    </row>
    <row r="2" spans="1:3" ht="15.75" thickBot="1">
      <c r="B2" s="4"/>
      <c r="C2" s="209"/>
    </row>
    <row r="3" spans="1:3" ht="15.75" thickBot="1">
      <c r="A3" s="176" t="s">
        <v>1135</v>
      </c>
      <c r="B3" s="33" t="b">
        <v>0</v>
      </c>
      <c r="C3" s="209" t="b">
        <f t="shared" ref="C3:C10" si="0">NOT(B3)</f>
        <v>1</v>
      </c>
    </row>
    <row r="4" spans="1:3" ht="15.75" thickBot="1">
      <c r="A4" s="161" t="s">
        <v>1137</v>
      </c>
      <c r="B4" s="33" t="b">
        <v>0</v>
      </c>
      <c r="C4" s="209" t="b">
        <f t="shared" si="0"/>
        <v>1</v>
      </c>
    </row>
    <row r="5" spans="1:3" ht="15.75" thickBot="1">
      <c r="A5" s="161" t="s">
        <v>1138</v>
      </c>
      <c r="B5" s="33" t="b">
        <v>0</v>
      </c>
      <c r="C5" s="209" t="b">
        <f t="shared" si="0"/>
        <v>1</v>
      </c>
    </row>
    <row r="6" spans="1:3" ht="15.75" thickBot="1">
      <c r="A6" s="1" t="s">
        <v>1139</v>
      </c>
      <c r="B6" s="33" t="b">
        <v>0</v>
      </c>
      <c r="C6" s="209" t="b">
        <f t="shared" si="0"/>
        <v>1</v>
      </c>
    </row>
    <row r="7" spans="1:3" ht="15.75" thickBot="1">
      <c r="A7" s="1" t="s">
        <v>1143</v>
      </c>
      <c r="B7" s="33" t="b">
        <v>0</v>
      </c>
      <c r="C7" s="209" t="b">
        <f t="shared" si="0"/>
        <v>1</v>
      </c>
    </row>
    <row r="8" spans="1:3" ht="15.75" thickBot="1">
      <c r="A8" s="1" t="s">
        <v>1142</v>
      </c>
      <c r="B8" s="33" t="b">
        <v>0</v>
      </c>
      <c r="C8" s="209" t="b">
        <f t="shared" si="0"/>
        <v>1</v>
      </c>
    </row>
    <row r="9" spans="1:3" ht="15.75" thickBot="1">
      <c r="A9" s="170" t="s">
        <v>1144</v>
      </c>
      <c r="B9" s="33" t="b">
        <v>0</v>
      </c>
      <c r="C9" s="209" t="b">
        <f t="shared" si="0"/>
        <v>1</v>
      </c>
    </row>
    <row r="10" spans="1:3" ht="15.75" thickBot="1">
      <c r="A10" s="161" t="s">
        <v>1146</v>
      </c>
      <c r="B10" s="33" t="b">
        <v>0</v>
      </c>
      <c r="C10" s="209" t="b">
        <f t="shared" si="0"/>
        <v>1</v>
      </c>
    </row>
    <row r="11" spans="1:3" ht="15.75" thickBot="1">
      <c r="C11" s="209"/>
    </row>
    <row r="12" spans="1:3" ht="15.75" thickTop="1">
      <c r="A12" s="3" t="s">
        <v>14</v>
      </c>
      <c r="B12" s="7" t="s">
        <v>18</v>
      </c>
      <c r="C12" s="209"/>
    </row>
    <row r="13" spans="1:3" ht="15.75" thickBot="1">
      <c r="B13" s="4"/>
      <c r="C13" s="209"/>
    </row>
    <row r="14" spans="1:3" ht="15.75" thickBot="1">
      <c r="A14" s="176" t="s">
        <v>1136</v>
      </c>
      <c r="B14" s="33" t="b">
        <v>0</v>
      </c>
      <c r="C14" s="209" t="b">
        <f>NOT(B14)</f>
        <v>1</v>
      </c>
    </row>
    <row r="15" spans="1:3" ht="15.75" thickBot="1">
      <c r="A15" s="162" t="s">
        <v>1140</v>
      </c>
      <c r="B15" s="33" t="b">
        <v>0</v>
      </c>
      <c r="C15" s="209" t="b">
        <f>NOT(B15)</f>
        <v>1</v>
      </c>
    </row>
    <row r="16" spans="1:3" ht="15.75" thickBot="1">
      <c r="A16" s="162" t="s">
        <v>1141</v>
      </c>
      <c r="B16" s="33" t="b">
        <v>0</v>
      </c>
      <c r="C16" s="209" t="b">
        <f>NOT(B16)</f>
        <v>1</v>
      </c>
    </row>
    <row r="17" spans="1:3" ht="15.75" thickBot="1">
      <c r="A17" s="170" t="s">
        <v>1145</v>
      </c>
      <c r="B17" s="33" t="b">
        <v>0</v>
      </c>
      <c r="C17" s="209" t="b">
        <f>NOT(B17)</f>
        <v>1</v>
      </c>
    </row>
    <row r="18" spans="1:3" ht="15.75" thickBot="1">
      <c r="A18" s="176" t="s">
        <v>1147</v>
      </c>
      <c r="B18" s="33" t="b">
        <v>0</v>
      </c>
      <c r="C18" s="209" t="b">
        <f>NOT(B18)</f>
        <v>1</v>
      </c>
    </row>
    <row r="19" spans="1:3">
      <c r="A19" s="32"/>
    </row>
  </sheetData>
  <dataValidations count="1">
    <dataValidation allowBlank="1" showInputMessage="1" showErrorMessage="1" prompt="Consult your pharmacist if unsure" sqref="A3:A10 A14:A18" xr:uid="{00000000-0002-0000-23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3">
        <x14:dataValidation type="list" showInputMessage="1" showErrorMessage="1" error="Please answer as Yes or No" prompt="Some products allow both assesment of most fertile day as well as pregnancy testing. If desired, select this option only." xr:uid="{00000000-0002-0000-2300-000001000000}">
          <x14:formula1>
            <xm:f>random!$A$2:$A$3</xm:f>
          </x14:formula1>
          <xm:sqref>B18</xm:sqref>
        </x14:dataValidation>
        <x14:dataValidation type="list" showInputMessage="1" showErrorMessage="1" error="Please answer as Yes or No" prompt="Most pregnancy tests claim 99% accuracy in detection of pregnancy. Accuracy is greatest when tested on day of your expected period and decreases with each day earlier to expected day of period. " xr:uid="{00000000-0002-0000-2300-000002000000}">
          <x14:formula1>
            <xm:f>random!$A$2:$A$3</xm:f>
          </x14:formula1>
          <xm:sqref>B3</xm:sqref>
        </x14:dataValidation>
        <x14:dataValidation type="list" showInputMessage="1" showErrorMessage="1" error="Please answer as Yes or No" prompt="Some pregnancy tests can remain accurate up to 5-6 days prior expected day of your period. ***Applies only to pregnancy testing***" xr:uid="{00000000-0002-0000-2300-000003000000}">
          <x14:formula1>
            <xm:f>random!$A$2:$A$3</xm:f>
          </x14:formula1>
          <xm:sqref>B6</xm:sqref>
        </x14:dataValidation>
        <x14:dataValidation type="list" showInputMessage="1" showErrorMessage="1" error="Please answer as Yes or No" prompt="Some digital pregnancy tests can provide an indication of conception date and/or gestational age (i.e. 1-2 weeks, 3 weeks). ***Selecting this choice may limit options***_x000a_***Applies only to pregnancy testing***" xr:uid="{00000000-0002-0000-2300-000004000000}">
          <x14:formula1>
            <xm:f>random!$A$2:$A$3</xm:f>
          </x14:formula1>
          <xm:sqref>B7</xm:sqref>
        </x14:dataValidation>
        <x14:dataValidation type="list" showInputMessage="1" showErrorMessage="1" error="Please answer as Yes or No" prompt="Most pregnancy tests provide result within 5 min. Fastest test provide result within 1 min but recommended for testing on the day of expected period. ***Selecting this choice may limit options*** ***Applies only to pregnancy testing***" xr:uid="{00000000-0002-0000-2300-000005000000}">
          <x14:formula1>
            <xm:f>random!$A$2:$A$3</xm:f>
          </x14:formula1>
          <xm:sqref>B8</xm:sqref>
        </x14:dataValidation>
        <x14:dataValidation type="list" showInputMessage="1" showErrorMessage="1" error="Please answer as Yes or No" prompt="Some products available as combo digital and line display tests. Such products provide reassurance with test result (confirm result) as well as ease of test interpretation and fast or early pregnancy detection. ***Select only this option if desired***" xr:uid="{00000000-0002-0000-2300-000006000000}">
          <x14:formula1>
            <xm:f>random!$A$2:$A$3</xm:f>
          </x14:formula1>
          <xm:sqref>B10</xm:sqref>
        </x14:dataValidation>
        <x14:dataValidation type="list" showInputMessage="1" showErrorMessage="1" error="Please answer as Yes or No" prompt="Fertility medications, hormone therapies and/or corticosteriods may alter your hCG levels or the accuracy of pregnancy tests. Store bought pregnancy tests are not recommended for women taking such medications.  " xr:uid="{00000000-0002-0000-2300-000007000000}">
          <x14:formula1>
            <xm:f>random!$A$2:$A$3</xm:f>
          </x14:formula1>
          <xm:sqref>B9</xm:sqref>
        </x14:dataValidation>
        <x14:dataValidation type="list" showInputMessage="1" showErrorMessage="1" error="Please answer as Yes or No" prompt="Some products allow to determine your most fertile days in order to help with successful conception." xr:uid="{00000000-0002-0000-2300-000008000000}">
          <x14:formula1>
            <xm:f>random!$A$2:$A$3</xm:f>
          </x14:formula1>
          <xm:sqref>B14</xm:sqref>
        </x14:dataValidation>
        <x14:dataValidation type="list" showInputMessage="1" showErrorMessage="1" error="Please answer as Yes or No" prompt="Fertility medications and/or hormone therapies may alter your LH and estrogen levels or the accuracy of ovulation tests. Ovulation and optimal day of fertility may require other assesment methods for women taking these medications." xr:uid="{00000000-0002-0000-2300-000009000000}">
          <x14:formula1>
            <xm:f>random!$A$2:$A$3</xm:f>
          </x14:formula1>
          <xm:sqref>B17</xm:sqref>
        </x14:dataValidation>
        <x14:dataValidation type="list" showInputMessage="1" showErrorMessage="1" error="Please answer as Yes or No" prompt="Some ovulation tests assay level of LH and can provide an indication of the two most fertile days. ***Applies only to fertility tests***" xr:uid="{00000000-0002-0000-2300-00000A000000}">
          <x14:formula1>
            <xm:f>random!$A$2:$A$3</xm:f>
          </x14:formula1>
          <xm:sqref>B15</xm:sqref>
        </x14:dataValidation>
        <x14:dataValidation type="list" showInputMessage="1" showErrorMessage="1" error="Please answer as Yes or No" prompt="Some ovulation tests assay level of LH as well as estrogen and can provide an indication of the four most fertile days. ***Applies only to fertility tests***" xr:uid="{00000000-0002-0000-2300-00000B000000}">
          <x14:formula1>
            <xm:f>random!$A$2:$A$3</xm:f>
          </x14:formula1>
          <xm:sqref>B16</xm:sqref>
        </x14:dataValidation>
        <x14:dataValidation type="list" showInputMessage="1" showErrorMessage="1" error="Please answer as Yes or No" prompt="Digital displays are easiest to read with test result displays that eliminate/reduce the need for test interpretation. Digital displays reduce test interpretation errors." xr:uid="{00000000-0002-0000-2300-00000C000000}">
          <x14:formula1>
            <xm:f>random!$A$2:$A$3</xm:f>
          </x14:formula1>
          <xm:sqref>B4</xm:sqref>
        </x14:dataValidation>
        <x14:dataValidation type="list" showInputMessage="1" showErrorMessage="1" error="Please answer as Yes or No" prompt="Line displays may require test interpretation but provide a control to confirm test was conducted correctly. " xr:uid="{00000000-0002-0000-2300-00000D000000}">
          <x14:formula1>
            <xm:f>random!$A$2:$A$3</xm:f>
          </x14:formula1>
          <xm:sqref>B5</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U23"/>
  <sheetViews>
    <sheetView workbookViewId="0">
      <selection activeCell="N2" sqref="N2"/>
    </sheetView>
  </sheetViews>
  <sheetFormatPr defaultRowHeight="15"/>
  <cols>
    <col min="1" max="1" width="42.42578125" customWidth="1"/>
    <col min="2" max="2" width="12.85546875" customWidth="1"/>
    <col min="3" max="7" width="12.28515625" customWidth="1"/>
    <col min="8" max="10" width="9.7109375" customWidth="1"/>
    <col min="11" max="11" width="11.42578125" customWidth="1"/>
    <col min="12" max="14" width="11" customWidth="1"/>
    <col min="15" max="15" width="45.5703125" customWidth="1"/>
  </cols>
  <sheetData>
    <row r="1" spans="1:21">
      <c r="A1" s="70" t="s">
        <v>1248</v>
      </c>
      <c r="B1" t="s">
        <v>1105</v>
      </c>
      <c r="C1" t="s">
        <v>1106</v>
      </c>
      <c r="D1" t="s">
        <v>1957</v>
      </c>
      <c r="E1" t="s">
        <v>1118</v>
      </c>
      <c r="F1" t="s">
        <v>1117</v>
      </c>
      <c r="G1" t="s">
        <v>1956</v>
      </c>
      <c r="H1" t="s">
        <v>1102</v>
      </c>
      <c r="I1" t="s">
        <v>1134</v>
      </c>
      <c r="J1" t="s">
        <v>1958</v>
      </c>
      <c r="K1" t="s">
        <v>1104</v>
      </c>
      <c r="L1" t="s">
        <v>1153</v>
      </c>
      <c r="M1" t="s">
        <v>1115</v>
      </c>
      <c r="N1" t="s">
        <v>1101</v>
      </c>
      <c r="O1" t="s">
        <v>592</v>
      </c>
    </row>
    <row r="2" spans="1:21">
      <c r="A2" t="b">
        <f>IF(Table20[[#This Row],[Column7]],Table20[[#This Row],[Column8]])</f>
        <v>0</v>
      </c>
      <c r="B2" s="20" t="b">
        <f>AND('Family Planning Criteria'!B3,'Family Planning Criteria'!C14)</f>
        <v>0</v>
      </c>
      <c r="C2" s="17"/>
      <c r="D2" s="17"/>
      <c r="E2" s="20" t="b">
        <f>AND('Family Planning Criteria'!C9)</f>
        <v>1</v>
      </c>
      <c r="F2" s="17"/>
      <c r="G2" s="17"/>
      <c r="H2" s="20" t="b">
        <f>AND('Family Planning Criteria'!C5,'Family Planning Criteria'!B4,'Family Planning Criteria'!C10)</f>
        <v>0</v>
      </c>
      <c r="I2" s="17"/>
      <c r="J2" s="17"/>
      <c r="K2" s="20" t="b">
        <f>OR('Family Planning Criteria'!B7:C7)</f>
        <v>1</v>
      </c>
      <c r="L2" s="20" t="b">
        <f>OR('Family Planning Criteria'!B6:C6)</f>
        <v>1</v>
      </c>
      <c r="M2" s="17" t="b">
        <f>AND('Family Planning Criteria'!C8)</f>
        <v>1</v>
      </c>
      <c r="N2" t="b">
        <f>AND(Table20[[#This Row],[Pregnancy]:[Fastest]])</f>
        <v>0</v>
      </c>
      <c r="O2" s="11" t="s">
        <v>1103</v>
      </c>
      <c r="P2" s="104">
        <v>0.99</v>
      </c>
      <c r="Q2" t="s">
        <v>1107</v>
      </c>
      <c r="R2" t="s">
        <v>1110</v>
      </c>
    </row>
    <row r="3" spans="1:21">
      <c r="A3" t="b">
        <f>IF(Table20[[#This Row],[Column7]],Table20[[#This Row],[Column8]])</f>
        <v>0</v>
      </c>
      <c r="B3" s="20" t="b">
        <f>B2</f>
        <v>0</v>
      </c>
      <c r="C3" s="17"/>
      <c r="D3" s="17"/>
      <c r="E3" s="20" t="b">
        <f>E2</f>
        <v>1</v>
      </c>
      <c r="F3" s="17"/>
      <c r="G3" s="17"/>
      <c r="H3" s="17"/>
      <c r="I3" s="20" t="b">
        <f>AND('Family Planning Criteria'!C4,'Family Planning Criteria'!B5,'Family Planning Criteria'!C10)</f>
        <v>0</v>
      </c>
      <c r="J3" s="17"/>
      <c r="K3" s="17" t="b">
        <f>AND('Family Planning Criteria'!C7)</f>
        <v>1</v>
      </c>
      <c r="L3" s="20" t="b">
        <f>L2</f>
        <v>1</v>
      </c>
      <c r="M3" s="17" t="b">
        <f>M2</f>
        <v>1</v>
      </c>
      <c r="N3" t="b">
        <f>AND(Table20[[#This Row],[Pregnancy]:[Fastest]])</f>
        <v>0</v>
      </c>
      <c r="O3" s="11" t="s">
        <v>1108</v>
      </c>
      <c r="P3" s="104">
        <v>0.99</v>
      </c>
      <c r="Q3" t="s">
        <v>1109</v>
      </c>
      <c r="R3" t="s">
        <v>1110</v>
      </c>
    </row>
    <row r="4" spans="1:21">
      <c r="A4" t="b">
        <f>IF(Table20[[#This Row],[Column7]],Table20[[#This Row],[Column8]])</f>
        <v>0</v>
      </c>
      <c r="B4" s="20" t="b">
        <f>B2</f>
        <v>0</v>
      </c>
      <c r="C4" s="17"/>
      <c r="D4" s="17"/>
      <c r="E4" s="20" t="b">
        <f>E2</f>
        <v>1</v>
      </c>
      <c r="F4" s="17"/>
      <c r="G4" s="17"/>
      <c r="H4" s="17"/>
      <c r="I4" s="20" t="b">
        <f>I3</f>
        <v>0</v>
      </c>
      <c r="J4" s="17"/>
      <c r="K4" s="17" t="b">
        <f>K3</f>
        <v>1</v>
      </c>
      <c r="L4" s="17" t="b">
        <f>AND('Family Planning Criteria'!C6)</f>
        <v>1</v>
      </c>
      <c r="M4" s="20" t="b">
        <f>OR('Family Planning Criteria'!B8:C8)</f>
        <v>1</v>
      </c>
      <c r="N4" t="b">
        <f>AND(Table20[[#This Row],[Pregnancy]:[Fastest]])</f>
        <v>0</v>
      </c>
      <c r="O4" s="11" t="s">
        <v>1111</v>
      </c>
      <c r="P4" s="104">
        <v>0.99</v>
      </c>
      <c r="Q4" t="s">
        <v>1113</v>
      </c>
      <c r="R4" t="s">
        <v>1112</v>
      </c>
    </row>
    <row r="5" spans="1:21">
      <c r="A5" t="b">
        <f>IF(Table20[[#This Row],[Column7]],Table20[[#This Row],[Column8]])</f>
        <v>0</v>
      </c>
      <c r="B5" s="20" t="b">
        <f>B2</f>
        <v>0</v>
      </c>
      <c r="C5" s="17"/>
      <c r="D5" s="17"/>
      <c r="E5" s="20" t="b">
        <f>E2</f>
        <v>1</v>
      </c>
      <c r="F5" s="17"/>
      <c r="G5" s="17"/>
      <c r="H5" s="17"/>
      <c r="I5" s="17"/>
      <c r="J5" s="20" t="b">
        <f>AND('Family Planning Criteria'!B10,'Family Planning Criteria'!C4:C5)</f>
        <v>0</v>
      </c>
      <c r="K5" s="20" t="b">
        <f>K2</f>
        <v>1</v>
      </c>
      <c r="L5" s="20" t="b">
        <f>L2</f>
        <v>1</v>
      </c>
      <c r="M5" s="20" t="b">
        <f>M4</f>
        <v>1</v>
      </c>
      <c r="N5" t="b">
        <f>AND(Table20[[#This Row],[Pregnancy]:[Fastest]])</f>
        <v>0</v>
      </c>
      <c r="O5" s="11" t="s">
        <v>1114</v>
      </c>
      <c r="S5" t="s">
        <v>1125</v>
      </c>
    </row>
    <row r="6" spans="1:21">
      <c r="A6" t="b">
        <f>IF(Table20[[#This Row],[Column7]],Table20[[#This Row],[Column8]])</f>
        <v>0</v>
      </c>
      <c r="B6" s="17"/>
      <c r="C6" s="20" t="b">
        <f>AND('Family Planning Criteria'!B14,'Family Planning Criteria'!C3)</f>
        <v>0</v>
      </c>
      <c r="D6" s="17"/>
      <c r="E6" s="17"/>
      <c r="F6" s="17"/>
      <c r="G6" s="20" t="b">
        <f>AND('Family Planning Criteria'!B16,'Family Planning Criteria'!C17,'Family Planning Criteria'!C15)</f>
        <v>0</v>
      </c>
      <c r="H6" s="20" t="b">
        <f>H2</f>
        <v>0</v>
      </c>
      <c r="I6" s="17"/>
      <c r="J6" s="17"/>
      <c r="K6" s="17" t="b">
        <f>K3</f>
        <v>1</v>
      </c>
      <c r="L6" s="17" t="b">
        <f>L4</f>
        <v>1</v>
      </c>
      <c r="M6" s="17" t="b">
        <f>M2</f>
        <v>1</v>
      </c>
      <c r="N6" t="b">
        <f>AND(Table20[[#This Row],[Pregnancy]:[Fastest]])</f>
        <v>0</v>
      </c>
      <c r="O6" s="11" t="s">
        <v>1116</v>
      </c>
      <c r="P6" t="s">
        <v>1120</v>
      </c>
      <c r="R6" s="104">
        <v>0.99</v>
      </c>
    </row>
    <row r="7" spans="1:21">
      <c r="A7" t="b">
        <f>IF(Table20[[#This Row],[Column7]],Table20[[#This Row],[Column8]])</f>
        <v>0</v>
      </c>
      <c r="B7" s="17"/>
      <c r="C7" s="20" t="b">
        <f>C6</f>
        <v>0</v>
      </c>
      <c r="D7" s="17"/>
      <c r="E7" s="17"/>
      <c r="F7" s="20" t="b">
        <f>AND('Family Planning Criteria'!B15,'Family Planning Criteria'!C17,'Family Planning Criteria'!C16)</f>
        <v>0</v>
      </c>
      <c r="G7" s="17"/>
      <c r="H7" s="20" t="b">
        <f>H2</f>
        <v>0</v>
      </c>
      <c r="I7" s="17"/>
      <c r="J7" s="17"/>
      <c r="K7" s="17" t="b">
        <f>K3</f>
        <v>1</v>
      </c>
      <c r="L7" s="17" t="b">
        <f>L4</f>
        <v>1</v>
      </c>
      <c r="M7" s="17" t="b">
        <f>M2</f>
        <v>1</v>
      </c>
      <c r="N7" t="b">
        <f>AND(Table20[[#This Row],[Pregnancy]:[Fastest]])</f>
        <v>0</v>
      </c>
      <c r="O7" s="11" t="s">
        <v>1121</v>
      </c>
      <c r="P7" s="21" t="s">
        <v>1119</v>
      </c>
      <c r="Q7" s="21"/>
      <c r="R7" s="105">
        <v>0.99</v>
      </c>
    </row>
    <row r="8" spans="1:21">
      <c r="A8" s="16" t="e">
        <f>IF(Table20[[#This Row],[Column7]],Table20[[#This Row],[Column8]])</f>
        <v>#VALUE!</v>
      </c>
      <c r="B8" s="16"/>
      <c r="C8" s="16"/>
      <c r="D8" s="16"/>
      <c r="E8" s="16"/>
      <c r="F8" s="16"/>
      <c r="G8" s="16"/>
      <c r="H8" s="16"/>
      <c r="I8" s="16"/>
      <c r="J8" s="16"/>
      <c r="K8" s="16"/>
      <c r="L8" s="16"/>
      <c r="M8" s="16"/>
      <c r="N8" s="16" t="e">
        <f>AND(Table20[[#This Row],[Pregnancy]:[Fastest]])</f>
        <v>#VALUE!</v>
      </c>
      <c r="O8" s="16"/>
    </row>
    <row r="9" spans="1:21">
      <c r="A9" t="b">
        <f>IF(Table20[[#This Row],[Column7]],Table20[[#This Row],[Column8]])</f>
        <v>0</v>
      </c>
      <c r="B9" s="20" t="b">
        <f>B2</f>
        <v>0</v>
      </c>
      <c r="C9" s="17"/>
      <c r="D9" s="17"/>
      <c r="E9" s="20" t="b">
        <f>E2</f>
        <v>1</v>
      </c>
      <c r="F9" s="17"/>
      <c r="G9" s="17"/>
      <c r="H9" s="17"/>
      <c r="I9" s="20" t="b">
        <f>I3</f>
        <v>0</v>
      </c>
      <c r="J9" s="17"/>
      <c r="K9" s="17" t="b">
        <f>K3</f>
        <v>1</v>
      </c>
      <c r="L9" s="20" t="b">
        <f>L2</f>
        <v>1</v>
      </c>
      <c r="M9" s="17" t="b">
        <f>M2</f>
        <v>1</v>
      </c>
      <c r="N9" t="b">
        <f>AND(Table20[[#This Row],[Pregnancy]:[Fastest]])</f>
        <v>0</v>
      </c>
      <c r="O9" s="28" t="s">
        <v>1123</v>
      </c>
      <c r="P9" s="104">
        <v>0.99</v>
      </c>
      <c r="Q9" t="s">
        <v>1109</v>
      </c>
      <c r="R9" t="s">
        <v>1110</v>
      </c>
    </row>
    <row r="10" spans="1:21">
      <c r="A10" t="b">
        <f>IF(Table20[[#This Row],[Column7]],Table20[[#This Row],[Column8]])</f>
        <v>0</v>
      </c>
      <c r="B10" s="20" t="b">
        <f>B2</f>
        <v>0</v>
      </c>
      <c r="C10" s="17"/>
      <c r="D10" s="17"/>
      <c r="E10" s="20" t="b">
        <f>E2</f>
        <v>1</v>
      </c>
      <c r="F10" s="17"/>
      <c r="G10" s="17"/>
      <c r="H10" s="17"/>
      <c r="I10" s="17"/>
      <c r="J10" s="20" t="b">
        <f>J5</f>
        <v>0</v>
      </c>
      <c r="K10" s="17" t="b">
        <f>K3</f>
        <v>1</v>
      </c>
      <c r="L10" s="20" t="b">
        <f>L2</f>
        <v>1</v>
      </c>
      <c r="M10" s="20" t="b">
        <f>M4</f>
        <v>1</v>
      </c>
      <c r="N10" t="b">
        <f>AND(Table20[[#This Row],[Pregnancy]:[Fastest]])</f>
        <v>0</v>
      </c>
      <c r="O10" s="11" t="s">
        <v>1124</v>
      </c>
      <c r="P10" s="104">
        <v>0.99</v>
      </c>
      <c r="Q10" t="s">
        <v>1109</v>
      </c>
      <c r="R10" t="s">
        <v>1112</v>
      </c>
      <c r="S10" t="s">
        <v>1125</v>
      </c>
    </row>
    <row r="11" spans="1:21">
      <c r="A11" t="b">
        <f>IF(Table20[[#This Row],[Column7]],Table20[[#This Row],[Column8]])</f>
        <v>0</v>
      </c>
      <c r="B11" s="20" t="b">
        <f>B2</f>
        <v>0</v>
      </c>
      <c r="C11" s="17"/>
      <c r="D11" s="17"/>
      <c r="E11" s="20" t="b">
        <f>E2</f>
        <v>1</v>
      </c>
      <c r="F11" s="17"/>
      <c r="G11" s="17"/>
      <c r="H11" s="17"/>
      <c r="I11" s="20" t="b">
        <f>I3</f>
        <v>0</v>
      </c>
      <c r="J11" s="17"/>
      <c r="K11" s="17" t="b">
        <f>K3</f>
        <v>1</v>
      </c>
      <c r="L11" s="17" t="b">
        <f>L4</f>
        <v>1</v>
      </c>
      <c r="M11" s="20" t="b">
        <f>M4</f>
        <v>1</v>
      </c>
      <c r="N11" t="b">
        <f>AND(Table20[[#This Row],[Pregnancy]:[Fastest]])</f>
        <v>0</v>
      </c>
      <c r="O11" s="11" t="s">
        <v>1126</v>
      </c>
      <c r="P11" s="104">
        <v>0.99</v>
      </c>
      <c r="Q11" t="s">
        <v>1113</v>
      </c>
      <c r="R11" t="s">
        <v>1112</v>
      </c>
    </row>
    <row r="12" spans="1:21">
      <c r="A12" t="b">
        <f>IF(Table20[[#This Row],[Column7]],Table20[[#This Row],[Column8]])</f>
        <v>0</v>
      </c>
      <c r="B12" s="20" t="b">
        <f>B2</f>
        <v>0</v>
      </c>
      <c r="C12" s="17"/>
      <c r="D12" s="17"/>
      <c r="E12" s="20" t="b">
        <f>E2</f>
        <v>1</v>
      </c>
      <c r="F12" s="17"/>
      <c r="G12" s="17"/>
      <c r="H12" s="17"/>
      <c r="I12" s="17"/>
      <c r="J12" s="20" t="b">
        <f>J5</f>
        <v>0</v>
      </c>
      <c r="K12" s="17" t="b">
        <f>K3</f>
        <v>1</v>
      </c>
      <c r="L12" s="20" t="b">
        <f>L2</f>
        <v>1</v>
      </c>
      <c r="M12" s="17" t="b">
        <f>M2</f>
        <v>1</v>
      </c>
      <c r="N12" t="b">
        <f>AND(Table20[[#This Row],[Pregnancy]:[Fastest]])</f>
        <v>0</v>
      </c>
      <c r="O12" s="11" t="s">
        <v>1127</v>
      </c>
      <c r="P12" s="104">
        <v>0.99</v>
      </c>
      <c r="Q12" t="s">
        <v>1109</v>
      </c>
      <c r="R12" t="s">
        <v>1110</v>
      </c>
      <c r="S12" t="s">
        <v>1125</v>
      </c>
    </row>
    <row r="13" spans="1:21">
      <c r="A13" t="b">
        <f>IF(Table20[[#This Row],[Column7]],Table20[[#This Row],[Column8]])</f>
        <v>0</v>
      </c>
      <c r="B13" s="20" t="b">
        <f>B2</f>
        <v>0</v>
      </c>
      <c r="C13" s="17"/>
      <c r="D13" s="17"/>
      <c r="E13" s="20" t="b">
        <f>E2</f>
        <v>1</v>
      </c>
      <c r="F13" s="17"/>
      <c r="G13" s="17"/>
      <c r="H13" s="20" t="b">
        <f>H2</f>
        <v>0</v>
      </c>
      <c r="I13" s="17"/>
      <c r="J13" s="17"/>
      <c r="K13" s="17" t="b">
        <f>K3</f>
        <v>1</v>
      </c>
      <c r="L13" s="20" t="b">
        <f>L2</f>
        <v>1</v>
      </c>
      <c r="M13" s="17" t="b">
        <f>M2</f>
        <v>1</v>
      </c>
      <c r="N13" t="b">
        <f>AND(Table20[[#This Row],[Pregnancy]:[Fastest]])</f>
        <v>0</v>
      </c>
      <c r="O13" s="11" t="s">
        <v>1128</v>
      </c>
      <c r="P13" s="104">
        <v>0.99</v>
      </c>
      <c r="Q13" t="s">
        <v>1109</v>
      </c>
      <c r="R13" t="s">
        <v>1110</v>
      </c>
    </row>
    <row r="14" spans="1:21">
      <c r="A14" t="b">
        <f>IF(Table20[[#This Row],[Column7]],Table20[[#This Row],[Column8]])</f>
        <v>0</v>
      </c>
      <c r="B14" s="17"/>
      <c r="C14" s="17"/>
      <c r="D14" s="20" t="b">
        <f>AND('Family Planning Criteria'!B18,'Family Planning Criteria'!C3,'Family Planning Criteria'!C14)</f>
        <v>0</v>
      </c>
      <c r="E14" s="17"/>
      <c r="F14" s="20" t="b">
        <f>F7</f>
        <v>0</v>
      </c>
      <c r="G14" s="17"/>
      <c r="H14" s="17"/>
      <c r="I14" s="20" t="b">
        <f>I3</f>
        <v>0</v>
      </c>
      <c r="J14" s="17"/>
      <c r="K14" s="17" t="b">
        <f>K3</f>
        <v>1</v>
      </c>
      <c r="L14" s="20" t="b">
        <f>L2</f>
        <v>1</v>
      </c>
      <c r="M14" s="17" t="b">
        <f>M2</f>
        <v>1</v>
      </c>
      <c r="N14" t="b">
        <f>AND(Table20[[#This Row],[Pregnancy]:[Fastest]])</f>
        <v>0</v>
      </c>
      <c r="O14" s="11" t="s">
        <v>1129</v>
      </c>
      <c r="P14" s="104">
        <v>0.99</v>
      </c>
      <c r="Q14" t="s">
        <v>1109</v>
      </c>
      <c r="R14" t="s">
        <v>1110</v>
      </c>
      <c r="S14" t="s">
        <v>1119</v>
      </c>
      <c r="U14" t="s">
        <v>1125</v>
      </c>
    </row>
    <row r="15" spans="1:21">
      <c r="A15" t="b">
        <f>IF(Table20[[#This Row],[Column7]],Table20[[#This Row],[Column8]])</f>
        <v>0</v>
      </c>
      <c r="B15" s="17"/>
      <c r="C15" s="20" t="b">
        <f>C6</f>
        <v>0</v>
      </c>
      <c r="D15" s="17"/>
      <c r="E15" s="17"/>
      <c r="F15" s="20" t="b">
        <f>F7</f>
        <v>0</v>
      </c>
      <c r="G15" s="17"/>
      <c r="H15" s="20" t="b">
        <f>H2</f>
        <v>0</v>
      </c>
      <c r="I15" s="17"/>
      <c r="J15" s="17"/>
      <c r="K15" s="17" t="b">
        <f>K3</f>
        <v>1</v>
      </c>
      <c r="L15" s="17" t="b">
        <f>L4</f>
        <v>1</v>
      </c>
      <c r="M15" s="17" t="b">
        <f>M2</f>
        <v>1</v>
      </c>
      <c r="N15" t="b">
        <f>AND(Table20[[#This Row],[Pregnancy]:[Fastest]])</f>
        <v>0</v>
      </c>
      <c r="O15" s="11" t="s">
        <v>1148</v>
      </c>
      <c r="P15" s="21" t="s">
        <v>1119</v>
      </c>
      <c r="Q15" s="21"/>
      <c r="R15" s="105">
        <v>0.99</v>
      </c>
    </row>
    <row r="16" spans="1:21">
      <c r="A16" t="b">
        <f>IF(Table20[[#This Row],[Column7]],Table20[[#This Row],[Column8]])</f>
        <v>0</v>
      </c>
      <c r="B16" s="17"/>
      <c r="C16" s="20" t="b">
        <f>C6</f>
        <v>0</v>
      </c>
      <c r="D16" s="17"/>
      <c r="E16" s="17"/>
      <c r="F16" s="20" t="b">
        <f>F7</f>
        <v>0</v>
      </c>
      <c r="G16" s="17"/>
      <c r="H16" s="17"/>
      <c r="I16" s="20" t="b">
        <f>I3</f>
        <v>0</v>
      </c>
      <c r="J16" s="17"/>
      <c r="K16" s="17" t="b">
        <f>K3</f>
        <v>1</v>
      </c>
      <c r="L16" s="17" t="b">
        <f>L4</f>
        <v>1</v>
      </c>
      <c r="M16" s="17" t="b">
        <f>M2</f>
        <v>1</v>
      </c>
      <c r="N16" t="b">
        <f>AND(Table20[[#This Row],[Pregnancy]:[Fastest]])</f>
        <v>0</v>
      </c>
      <c r="O16" s="11" t="s">
        <v>1149</v>
      </c>
      <c r="P16" s="21" t="s">
        <v>1119</v>
      </c>
      <c r="Q16" s="21"/>
      <c r="R16" s="105">
        <v>0.99</v>
      </c>
    </row>
    <row r="17" spans="1:18">
      <c r="A17" s="16" t="e">
        <f>IF(Table20[[#This Row],[Column7]],Table20[[#This Row],[Column8]])</f>
        <v>#VALUE!</v>
      </c>
      <c r="B17" s="16"/>
      <c r="C17" s="16"/>
      <c r="D17" s="16"/>
      <c r="E17" s="16"/>
      <c r="F17" s="16"/>
      <c r="G17" s="16"/>
      <c r="H17" s="16"/>
      <c r="I17" s="16"/>
      <c r="J17" s="16"/>
      <c r="K17" s="16"/>
      <c r="L17" s="16"/>
      <c r="M17" s="16"/>
      <c r="N17" s="16" t="e">
        <f>AND(Table20[[#This Row],[Pregnancy]:[Fastest]])</f>
        <v>#VALUE!</v>
      </c>
      <c r="O17" s="16" t="s">
        <v>1122</v>
      </c>
    </row>
    <row r="18" spans="1:18">
      <c r="A18" t="b">
        <f>IF(Table20[[#This Row],[Column7]],Table20[[#This Row],[Column8]])</f>
        <v>0</v>
      </c>
      <c r="B18" s="20" t="b">
        <f>B2</f>
        <v>0</v>
      </c>
      <c r="C18" s="17"/>
      <c r="D18" s="17"/>
      <c r="E18" s="20" t="b">
        <f>E2</f>
        <v>1</v>
      </c>
      <c r="F18" s="17"/>
      <c r="G18" s="17"/>
      <c r="H18" s="17"/>
      <c r="I18" s="20" t="b">
        <f>I3</f>
        <v>0</v>
      </c>
      <c r="J18" s="17"/>
      <c r="K18" s="17" t="b">
        <f>K3</f>
        <v>1</v>
      </c>
      <c r="L18" s="20" t="b">
        <f>L2</f>
        <v>1</v>
      </c>
      <c r="M18" s="17" t="b">
        <f>M2</f>
        <v>1</v>
      </c>
      <c r="N18" t="b">
        <f>AND(Table20[[#This Row],[Pregnancy]:[Fastest]])</f>
        <v>0</v>
      </c>
      <c r="O18" s="11" t="s">
        <v>1130</v>
      </c>
      <c r="P18" s="104">
        <v>0.99</v>
      </c>
      <c r="Q18" t="s">
        <v>1131</v>
      </c>
      <c r="R18" t="s">
        <v>1132</v>
      </c>
    </row>
    <row r="19" spans="1:18">
      <c r="A19" t="b">
        <f>IF(Table20[[#This Row],[Column7]],Table20[[#This Row],[Column8]])</f>
        <v>0</v>
      </c>
      <c r="B19" s="20" t="b">
        <f>B2</f>
        <v>0</v>
      </c>
      <c r="C19" s="17"/>
      <c r="D19" s="17"/>
      <c r="E19" s="20" t="b">
        <f>E2</f>
        <v>1</v>
      </c>
      <c r="F19" s="17"/>
      <c r="G19" s="17"/>
      <c r="H19" s="17"/>
      <c r="I19" s="20" t="b">
        <f>I3</f>
        <v>0</v>
      </c>
      <c r="J19" s="17"/>
      <c r="K19" s="17" t="b">
        <f>K3</f>
        <v>1</v>
      </c>
      <c r="L19" s="20" t="b">
        <f>L2</f>
        <v>1</v>
      </c>
      <c r="M19" s="17" t="b">
        <f>M2</f>
        <v>1</v>
      </c>
      <c r="N19" t="b">
        <f>AND(Table20[[#This Row],[Pregnancy]:[Fastest]])</f>
        <v>0</v>
      </c>
      <c r="O19" s="11" t="s">
        <v>1133</v>
      </c>
      <c r="P19" s="104">
        <v>0.99</v>
      </c>
      <c r="Q19" t="s">
        <v>1131</v>
      </c>
      <c r="R19" t="s">
        <v>1110</v>
      </c>
    </row>
    <row r="20" spans="1:18">
      <c r="A20" s="16" t="e">
        <f>IF(Table20[[#This Row],[Column7]],Table20[[#This Row],[Column8]])</f>
        <v>#VALUE!</v>
      </c>
      <c r="B20" s="16"/>
      <c r="C20" s="16"/>
      <c r="D20" s="16"/>
      <c r="E20" s="16"/>
      <c r="F20" s="16"/>
      <c r="G20" s="16"/>
      <c r="H20" s="16"/>
      <c r="I20" s="16"/>
      <c r="J20" s="16"/>
      <c r="K20" s="16"/>
      <c r="L20" s="16"/>
      <c r="M20" s="16"/>
      <c r="N20" s="16" t="e">
        <f>AND(Table20[[#This Row],[Pregnancy]:[Fastest]])</f>
        <v>#VALUE!</v>
      </c>
      <c r="O20" s="16"/>
    </row>
    <row r="21" spans="1:18">
      <c r="A21" t="e">
        <f>IF(Table20[[#This Row],[Column7]],Table20[[#This Row],[Column8]])</f>
        <v>#VALUE!</v>
      </c>
      <c r="N21" t="e">
        <f>AND(Table20[[#This Row],[Pregnancy]:[Fastest]])</f>
        <v>#VALUE!</v>
      </c>
    </row>
    <row r="22" spans="1:18">
      <c r="A22" t="e">
        <f>IF(Table20[[#This Row],[Column7]],Table20[[#This Row],[Column8]])</f>
        <v>#VALUE!</v>
      </c>
      <c r="N22" t="e">
        <f>AND(Table20[[#This Row],[Pregnancy]:[Fastest]])</f>
        <v>#VALUE!</v>
      </c>
    </row>
    <row r="23" spans="1:18">
      <c r="A23" t="e">
        <f>IF(Table20[[#This Row],[Column7]],Table20[[#This Row],[Column8]])</f>
        <v>#VALUE!</v>
      </c>
      <c r="N23" t="e">
        <f>AND(Table20[[#This Row],[Pregnancy]:[Fastest]])</f>
        <v>#VALUE!</v>
      </c>
    </row>
  </sheetData>
  <hyperlinks>
    <hyperlink ref="O2" r:id="rId1" xr:uid="{00000000-0004-0000-2400-000000000000}"/>
    <hyperlink ref="O3" r:id="rId2" xr:uid="{00000000-0004-0000-2400-000001000000}"/>
    <hyperlink ref="O4" r:id="rId3" xr:uid="{00000000-0004-0000-2400-000002000000}"/>
    <hyperlink ref="O5" r:id="rId4" xr:uid="{00000000-0004-0000-2400-000003000000}"/>
    <hyperlink ref="O6" r:id="rId5" xr:uid="{00000000-0004-0000-2400-000004000000}"/>
    <hyperlink ref="O7" r:id="rId6" xr:uid="{00000000-0004-0000-2400-000005000000}"/>
    <hyperlink ref="O9" r:id="rId7" xr:uid="{00000000-0004-0000-2400-000006000000}"/>
    <hyperlink ref="O10" r:id="rId8" xr:uid="{00000000-0004-0000-2400-000007000000}"/>
    <hyperlink ref="O11" r:id="rId9" xr:uid="{00000000-0004-0000-2400-000008000000}"/>
    <hyperlink ref="O12" r:id="rId10" xr:uid="{00000000-0004-0000-2400-000009000000}"/>
    <hyperlink ref="O13" r:id="rId11" xr:uid="{00000000-0004-0000-2400-00000A000000}"/>
    <hyperlink ref="O14" r:id="rId12" xr:uid="{00000000-0004-0000-2400-00000B000000}"/>
    <hyperlink ref="O18" r:id="rId13" xr:uid="{00000000-0004-0000-2400-00000C000000}"/>
    <hyperlink ref="O19" r:id="rId14" xr:uid="{00000000-0004-0000-2400-00000D000000}"/>
    <hyperlink ref="O15" r:id="rId15" xr:uid="{00000000-0004-0000-2400-00000E000000}"/>
    <hyperlink ref="O16" r:id="rId16" xr:uid="{00000000-0004-0000-2400-00000F000000}"/>
  </hyperlinks>
  <pageMargins left="0.7" right="0.7" top="0.75" bottom="0.75" header="0.3" footer="0.3"/>
  <pageSetup orientation="portrait" r:id="rId17"/>
  <tableParts count="1">
    <tablePart r:id="rId18"/>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C17"/>
  <sheetViews>
    <sheetView workbookViewId="0">
      <selection activeCell="G22" sqref="G22"/>
    </sheetView>
  </sheetViews>
  <sheetFormatPr defaultRowHeight="15"/>
  <cols>
    <col min="1" max="1" width="51.140625" customWidth="1"/>
  </cols>
  <sheetData>
    <row r="1" spans="1:3" ht="15.75" thickTop="1">
      <c r="A1" s="3" t="s">
        <v>15</v>
      </c>
      <c r="B1" s="7" t="s">
        <v>18</v>
      </c>
      <c r="C1" s="107"/>
    </row>
    <row r="2" spans="1:3" ht="15.75" thickBot="1">
      <c r="B2" s="4"/>
      <c r="C2" s="107"/>
    </row>
    <row r="3" spans="1:3" ht="15.75" thickBot="1">
      <c r="A3" s="161" t="s">
        <v>1192</v>
      </c>
      <c r="B3" s="33" t="b">
        <v>0</v>
      </c>
      <c r="C3" s="212" t="b">
        <f t="shared" ref="C3:C8" si="0">NOT(B3)</f>
        <v>1</v>
      </c>
    </row>
    <row r="4" spans="1:3" ht="15.75" thickBot="1">
      <c r="A4" s="161" t="s">
        <v>1193</v>
      </c>
      <c r="B4" s="33" t="b">
        <v>0</v>
      </c>
      <c r="C4" s="212" t="b">
        <f t="shared" si="0"/>
        <v>1</v>
      </c>
    </row>
    <row r="5" spans="1:3" ht="15.75" thickBot="1">
      <c r="A5" s="176" t="s">
        <v>1184</v>
      </c>
      <c r="B5" s="33" t="b">
        <v>0</v>
      </c>
      <c r="C5" s="212" t="b">
        <f t="shared" si="0"/>
        <v>1</v>
      </c>
    </row>
    <row r="6" spans="1:3" ht="15.75" thickBot="1">
      <c r="A6" s="176" t="s">
        <v>1185</v>
      </c>
      <c r="B6" s="33" t="b">
        <v>0</v>
      </c>
      <c r="C6" s="212" t="b">
        <f t="shared" si="0"/>
        <v>1</v>
      </c>
    </row>
    <row r="7" spans="1:3" ht="15.75" thickBot="1">
      <c r="A7" s="176" t="s">
        <v>1186</v>
      </c>
      <c r="B7" s="33" t="b">
        <v>0</v>
      </c>
      <c r="C7" s="212" t="b">
        <f t="shared" si="0"/>
        <v>1</v>
      </c>
    </row>
    <row r="8" spans="1:3" ht="15.75" thickBot="1">
      <c r="A8" s="170" t="s">
        <v>1187</v>
      </c>
      <c r="B8" s="33" t="b">
        <v>0</v>
      </c>
      <c r="C8" s="212" t="b">
        <f t="shared" si="0"/>
        <v>1</v>
      </c>
    </row>
    <row r="9" spans="1:3" ht="15.75" thickBot="1">
      <c r="A9" s="170" t="s">
        <v>1188</v>
      </c>
      <c r="B9" s="33" t="b">
        <v>0</v>
      </c>
      <c r="C9" s="212" t="b">
        <f t="shared" ref="C9:C14" si="1">NOT(B9)</f>
        <v>1</v>
      </c>
    </row>
    <row r="10" spans="1:3" ht="15.75" thickBot="1">
      <c r="A10" s="170" t="s">
        <v>1189</v>
      </c>
      <c r="B10" s="33" t="b">
        <v>0</v>
      </c>
      <c r="C10" s="212" t="b">
        <f t="shared" si="1"/>
        <v>1</v>
      </c>
    </row>
    <row r="11" spans="1:3" ht="15.75" thickBot="1">
      <c r="A11" s="170" t="s">
        <v>1190</v>
      </c>
      <c r="B11" s="33" t="b">
        <v>0</v>
      </c>
      <c r="C11" s="212" t="b">
        <f t="shared" si="1"/>
        <v>1</v>
      </c>
    </row>
    <row r="12" spans="1:3" ht="15.75" thickBot="1">
      <c r="A12" s="170" t="s">
        <v>1191</v>
      </c>
      <c r="B12" s="33" t="b">
        <v>0</v>
      </c>
      <c r="C12" s="212" t="b">
        <f t="shared" si="1"/>
        <v>1</v>
      </c>
    </row>
    <row r="13" spans="1:3" ht="15.75" thickBot="1">
      <c r="A13" s="165" t="s">
        <v>1194</v>
      </c>
      <c r="B13" s="33" t="b">
        <v>0</v>
      </c>
      <c r="C13" s="212" t="b">
        <f t="shared" si="1"/>
        <v>1</v>
      </c>
    </row>
    <row r="14" spans="1:3" ht="15.75" thickBot="1">
      <c r="A14" s="165" t="s">
        <v>1195</v>
      </c>
      <c r="B14" s="33" t="b">
        <v>0</v>
      </c>
      <c r="C14" s="212" t="b">
        <f t="shared" si="1"/>
        <v>1</v>
      </c>
    </row>
    <row r="17" spans="1:1">
      <c r="A17" t="s">
        <v>1097</v>
      </c>
    </row>
  </sheetData>
  <dataValidations count="2">
    <dataValidation allowBlank="1" showInputMessage="1" showErrorMessage="1" prompt="Consult your pharmacist if unsure" sqref="A3:A4 A6 A9:A14" xr:uid="{00000000-0002-0000-2500-000000000000}"/>
    <dataValidation allowBlank="1" showInputMessage="1" showErrorMessage="1" prompt="Consult your physician if unsure" sqref="A5 A7:A8" xr:uid="{00000000-0002-0000-25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2">
        <x14:dataValidation type="list" showInputMessage="1" showErrorMessage="1" error="Please answer as Yes or No" prompt="Individuals who smoke less than a pack a day or wait 30 min or more before smoking in the morning should consider use of a lower strength (mg) product. Individuals weighing less than 100lbs should also consider a lower strength product." xr:uid="{00000000-0002-0000-2500-000002000000}">
          <x14:formula1>
            <xm:f>random!$A$2:$A$3</xm:f>
          </x14:formula1>
          <xm:sqref>B3</xm:sqref>
        </x14:dataValidation>
        <x14:dataValidation type="list" showInputMessage="1" showErrorMessage="1" error="Please answer as Yes or No" prompt="Individuals who smoke more than a pack a day or wait less than 30 min before smoking in the morning should consider use of a higher strength (mg) product." xr:uid="{00000000-0002-0000-2500-000003000000}">
          <x14:formula1>
            <xm:f>random!$A$2:$A$3</xm:f>
          </x14:formula1>
          <xm:sqref>B4</xm:sqref>
        </x14:dataValidation>
        <x14:dataValidation type="list" showInputMessage="1" showErrorMessage="1" error="Please answer as Yes or No" prompt="Individuals with active/chronic heart disease or recent stroke should avoid use of nicotine containing products unless recommended by their healthcare professional." xr:uid="{00000000-0002-0000-2500-000004000000}">
          <x14:formula1>
            <xm:f>random!$A$2:$A$3</xm:f>
          </x14:formula1>
          <xm:sqref>B5</xm:sqref>
        </x14:dataValidation>
        <x14:dataValidation type="list" showInputMessage="1" showErrorMessage="1" error="Please answer as Yes or No" prompt="Individuals who are pregnant or nursing should avoid use of nicotine containing products unless recommended by their healthcare professional." xr:uid="{00000000-0002-0000-2500-000005000000}">
          <x14:formula1>
            <xm:f>random!$A$2:$A$3</xm:f>
          </x14:formula1>
          <xm:sqref>B6</xm:sqref>
        </x14:dataValidation>
        <x14:dataValidation type="list" showInputMessage="1" showErrorMessage="1" error="Please answer as Yes or No" prompt="Nicotine may worsen upset stomach and ulcers. Individuals with active ulcers or chronic upset stomach should avoid use of nicotine containing products unless recommended by their healthcare professional." xr:uid="{00000000-0002-0000-2500-000006000000}">
          <x14:formula1>
            <xm:f>random!$A$2:$A$3</xm:f>
          </x14:formula1>
          <xm:sqref>B7</xm:sqref>
        </x14:dataValidation>
        <x14:dataValidation type="list" showInputMessage="1" showErrorMessage="1" error="Please answer as Yes or No" prompt="Spray or mist products allow cravings to be addressed discreetly as needed with a protable device. Provide the fastest relief (seconds) of cravings and can be used frequently throught the day. " xr:uid="{00000000-0002-0000-2500-000007000000}">
          <x14:formula1>
            <xm:f>random!$A$2:$A$3</xm:f>
          </x14:formula1>
          <xm:sqref>B8</xm:sqref>
        </x14:dataValidation>
        <x14:dataValidation type="list" showInputMessage="1" showErrorMessage="1" error="Please answer as Yes or No" prompt="Gums allow as needed craving relief with a product that provides oral distraction. Gum lasts about 30min and can provide craving relief within 5-10min minutes. Can be used less frequently than spray/mist but provide oral distraction for 30min periods." xr:uid="{00000000-0002-0000-2500-000008000000}">
          <x14:formula1>
            <xm:f>random!$A$2:$A$3</xm:f>
          </x14:formula1>
          <xm:sqref>B9</xm:sqref>
        </x14:dataValidation>
        <x14:dataValidation type="list" showInputMessage="1" showErrorMessage="1" error="Please answer as Yes or No" prompt="Lozenges allow as needed craving relief with a product that provides oral distraction. Lozenges last about 20min and can provide craving relief within 5-10min minutes. Can be used less frequently than spray/mist but provide distraction for about 20min." xr:uid="{00000000-0002-0000-2500-000009000000}">
          <x14:formula1>
            <xm:f>random!$A$2:$A$3</xm:f>
          </x14:formula1>
          <xm:sqref>B10</xm:sqref>
        </x14:dataValidation>
        <x14:dataValidation type="list" showInputMessage="1" showErrorMessage="1" error="Please answer as Yes or No" prompt="Best for heavy smokers. Patch can be left on continuously for 16-24 hour periods and provide continual discreet craving relief. Lighter smokers should start therapy with step 2 (14mg) product. " xr:uid="{00000000-0002-0000-2500-00000A000000}">
          <x14:formula1>
            <xm:f>random!$A$2:$A$3</xm:f>
          </x14:formula1>
          <xm:sqref>B11</xm:sqref>
        </x14:dataValidation>
        <x14:dataValidation type="list" showInputMessage="1" showErrorMessage="1" error="Please answer as Yes or No" prompt="Inhaler provides as needed craving relief within few minutes. Used less frequently (20min period) than spray/mist, gum or lozenge but provide oral and manual distraction with hand-to-mouth action. May require some dexterity to load cartridges." xr:uid="{00000000-0002-0000-2500-00000B000000}">
          <x14:formula1>
            <xm:f>random!$A$2:$A$3</xm:f>
          </x14:formula1>
          <xm:sqref>B12</xm:sqref>
        </x14:dataValidation>
        <x14:dataValidation type="list" showInputMessage="1" showErrorMessage="1" error="Please answer as Yes or No" prompt="Some oral products available as berry, fruit or cinnamon flavoured options" xr:uid="{00000000-0002-0000-2500-00000C000000}">
          <x14:formula1>
            <xm:f>random!$A$2:$A$3</xm:f>
          </x14:formula1>
          <xm:sqref>B14</xm:sqref>
        </x14:dataValidation>
        <x14:dataValidation type="list" showInputMessage="1" showErrorMessage="1" error="Please answer as Yes or No" prompt="Most oral products available in a cooling mint flavoured option" xr:uid="{00000000-0002-0000-2500-00000D000000}">
          <x14:formula1>
            <xm:f>random!$A$2:$A$3</xm:f>
          </x14:formula1>
          <xm:sqref>B13</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M26"/>
  <sheetViews>
    <sheetView workbookViewId="0">
      <selection activeCell="B2" sqref="B2"/>
    </sheetView>
  </sheetViews>
  <sheetFormatPr defaultRowHeight="15"/>
  <cols>
    <col min="1" max="1" width="38" customWidth="1"/>
    <col min="2" max="12" width="11" customWidth="1"/>
    <col min="13" max="13" width="65.140625" customWidth="1"/>
  </cols>
  <sheetData>
    <row r="1" spans="1:13">
      <c r="A1" s="70" t="s">
        <v>1248</v>
      </c>
      <c r="B1" s="124" t="s">
        <v>1959</v>
      </c>
      <c r="C1" t="s">
        <v>1154</v>
      </c>
      <c r="D1" t="s">
        <v>1155</v>
      </c>
      <c r="E1" t="s">
        <v>1156</v>
      </c>
      <c r="F1" t="s">
        <v>1157</v>
      </c>
      <c r="G1" t="s">
        <v>1158</v>
      </c>
      <c r="H1" t="s">
        <v>1159</v>
      </c>
      <c r="I1" t="s">
        <v>1160</v>
      </c>
      <c r="J1" t="s">
        <v>1181</v>
      </c>
      <c r="K1" t="s">
        <v>1182</v>
      </c>
      <c r="L1" t="s">
        <v>4</v>
      </c>
      <c r="M1" t="s">
        <v>593</v>
      </c>
    </row>
    <row r="2" spans="1:13">
      <c r="A2" t="b">
        <f>IF(Table24[[#This Row],[Column1]],Table24[[#This Row],[Column9]])</f>
        <v>0</v>
      </c>
      <c r="B2" s="20" t="b">
        <f>AND('Smoking Cessation Criteria'!C5:C7)</f>
        <v>1</v>
      </c>
      <c r="C2" s="20" t="b">
        <f>AND('Smoking Cessation Criteria'!B3)</f>
        <v>0</v>
      </c>
      <c r="D2" s="20" t="b">
        <f>AND('Smoking Cessation Criteria'!B4)</f>
        <v>0</v>
      </c>
      <c r="E2" s="17"/>
      <c r="F2" s="17"/>
      <c r="G2" s="17"/>
      <c r="H2" s="17"/>
      <c r="I2" s="20" t="b">
        <f>AND('Smoking Cessation Criteria'!B8,'Smoking Cessation Criteria'!C9:C12)</f>
        <v>0</v>
      </c>
      <c r="J2" s="20" t="b">
        <f>AND('Smoking Cessation Criteria'!B13)</f>
        <v>0</v>
      </c>
      <c r="K2" s="20" t="b">
        <f>AND('Smoking Cessation Criteria'!B14)</f>
        <v>0</v>
      </c>
      <c r="L2" s="106" t="b">
        <f>AND(Table24[[#This Row],[NRT]],OR(Table24[[#This Row],[Light Smoker]:[Heavy Smoker]]),AND(Table24[[#This Row],[Patch]:[Mist]]),OR(Table24[[#This Row],[Mint]:[Flavor]]))</f>
        <v>0</v>
      </c>
      <c r="M2" s="11" t="s">
        <v>1183</v>
      </c>
    </row>
    <row r="3" spans="1:13">
      <c r="A3" t="b">
        <f>IF(Table24[[#This Row],[Column1]],Table24[[#This Row],[Column9]])</f>
        <v>0</v>
      </c>
      <c r="B3" s="20" t="b">
        <f>B2</f>
        <v>1</v>
      </c>
      <c r="C3" s="20" t="b">
        <f>C2</f>
        <v>0</v>
      </c>
      <c r="D3" s="17"/>
      <c r="E3" s="17"/>
      <c r="F3" s="17"/>
      <c r="G3" s="17"/>
      <c r="H3" s="20" t="b">
        <f>AND('Smoking Cessation Criteria'!B9,'Smoking Cessation Criteria'!C8,'Smoking Cessation Criteria'!C10:C12)</f>
        <v>0</v>
      </c>
      <c r="I3" s="17"/>
      <c r="J3" s="20" t="b">
        <f>J2</f>
        <v>0</v>
      </c>
      <c r="K3" s="20" t="b">
        <f>K2</f>
        <v>0</v>
      </c>
      <c r="L3" s="106" t="b">
        <f>AND(Table24[[#This Row],[NRT]],OR(Table24[[#This Row],[Light Smoker]:[Heavy Smoker]]),AND(Table24[[#This Row],[Patch]:[Mist]]),OR(Table24[[#This Row],[Mint]:[Flavor]]))</f>
        <v>0</v>
      </c>
      <c r="M3" s="11" t="s">
        <v>1171</v>
      </c>
    </row>
    <row r="4" spans="1:13">
      <c r="A4" t="b">
        <f>IF(Table24[[#This Row],[Column1]],Table24[[#This Row],[Column9]])</f>
        <v>0</v>
      </c>
      <c r="B4" s="20" t="b">
        <f>B2</f>
        <v>1</v>
      </c>
      <c r="C4" s="17"/>
      <c r="D4" s="20" t="b">
        <f>D2</f>
        <v>0</v>
      </c>
      <c r="E4" s="17"/>
      <c r="F4" s="17"/>
      <c r="G4" s="17"/>
      <c r="H4" s="20" t="b">
        <f>H3</f>
        <v>0</v>
      </c>
      <c r="I4" s="17"/>
      <c r="J4" s="20" t="b">
        <f>J2</f>
        <v>0</v>
      </c>
      <c r="K4" s="20" t="b">
        <f>K2</f>
        <v>0</v>
      </c>
      <c r="L4" s="106" t="b">
        <f>AND(Table24[[#This Row],[NRT]],OR(Table24[[#This Row],[Light Smoker]:[Heavy Smoker]]),AND(Table24[[#This Row],[Patch]:[Mist]]),OR(Table24[[#This Row],[Mint]:[Flavor]]))</f>
        <v>0</v>
      </c>
      <c r="M4" s="11" t="s">
        <v>1172</v>
      </c>
    </row>
    <row r="5" spans="1:13">
      <c r="A5" t="b">
        <f>IF(Table24[[#This Row],[Column1]],Table24[[#This Row],[Column9]])</f>
        <v>0</v>
      </c>
      <c r="B5" s="20" t="b">
        <f>B2</f>
        <v>1</v>
      </c>
      <c r="C5" s="20" t="b">
        <f>C2</f>
        <v>0</v>
      </c>
      <c r="D5" s="17"/>
      <c r="E5" s="17"/>
      <c r="F5" s="17"/>
      <c r="G5" s="20" t="b">
        <f>AND('Smoking Cessation Criteria'!B10,'Smoking Cessation Criteria'!C8:C9,'Smoking Cessation Criteria'!C11:C12)</f>
        <v>0</v>
      </c>
      <c r="H5" s="17"/>
      <c r="I5" s="17"/>
      <c r="J5" s="20" t="b">
        <f>J2</f>
        <v>0</v>
      </c>
      <c r="K5" s="17"/>
      <c r="L5" s="106" t="b">
        <f>AND(Table24[[#This Row],[NRT]],OR(Table24[[#This Row],[Light Smoker]:[Heavy Smoker]]),AND(Table24[[#This Row],[Patch]:[Mist]]),OR(Table24[[#This Row],[Mint]:[Flavor]]))</f>
        <v>0</v>
      </c>
      <c r="M5" s="11" t="s">
        <v>1173</v>
      </c>
    </row>
    <row r="6" spans="1:13">
      <c r="A6" t="b">
        <f>IF(Table24[[#This Row],[Column1]],Table24[[#This Row],[Column9]])</f>
        <v>0</v>
      </c>
      <c r="B6" s="20" t="b">
        <f>B2</f>
        <v>1</v>
      </c>
      <c r="C6" s="17"/>
      <c r="D6" s="20" t="b">
        <f>D2</f>
        <v>0</v>
      </c>
      <c r="E6" s="17"/>
      <c r="F6" s="17"/>
      <c r="G6" s="20" t="b">
        <f>G5</f>
        <v>0</v>
      </c>
      <c r="H6" s="17"/>
      <c r="I6" s="17"/>
      <c r="J6" s="20" t="b">
        <f>J2</f>
        <v>0</v>
      </c>
      <c r="K6" s="17"/>
      <c r="L6" s="106" t="b">
        <f>AND(Table24[[#This Row],[NRT]],OR(Table24[[#This Row],[Light Smoker]:[Heavy Smoker]]),AND(Table24[[#This Row],[Patch]:[Mist]]),OR(Table24[[#This Row],[Mint]:[Flavor]]))</f>
        <v>0</v>
      </c>
      <c r="M6" s="11" t="s">
        <v>1174</v>
      </c>
    </row>
    <row r="7" spans="1:13">
      <c r="A7" t="b">
        <f>IF(Table24[[#This Row],[Column1]],Table24[[#This Row],[Column9]])</f>
        <v>0</v>
      </c>
      <c r="B7" s="20" t="b">
        <f>B2</f>
        <v>1</v>
      </c>
      <c r="C7" s="17"/>
      <c r="D7" s="17"/>
      <c r="E7" s="17"/>
      <c r="F7" s="20" t="b">
        <f>AND('Smoking Cessation Criteria'!B12,'Smoking Cessation Criteria'!C8:C11)</f>
        <v>0</v>
      </c>
      <c r="G7" s="17"/>
      <c r="H7" s="17"/>
      <c r="I7" s="17"/>
      <c r="J7" s="17"/>
      <c r="K7" s="17"/>
      <c r="L7" s="211" t="b">
        <f>AND(Table24[[#This Row],[NRT]:[Flavor]])</f>
        <v>0</v>
      </c>
      <c r="M7" s="11" t="s">
        <v>1161</v>
      </c>
    </row>
    <row r="8" spans="1:13">
      <c r="A8" s="16" t="e">
        <f>IF(Table24[[#This Row],[Column1]],Table24[[#This Row],[Column9]])</f>
        <v>#VALUE!</v>
      </c>
      <c r="B8" s="16"/>
      <c r="C8" s="16"/>
      <c r="D8" s="16"/>
      <c r="E8" s="16"/>
      <c r="F8" s="16"/>
      <c r="G8" s="16"/>
      <c r="H8" s="16"/>
      <c r="I8" s="16"/>
      <c r="J8" s="16"/>
      <c r="K8" s="16"/>
      <c r="L8" s="16" t="e">
        <f>AND(OR(Table24[[#This Row],[Light Smoker]:[Heavy Smoker]]),AND(Table24[[#This Row],[Patch]:[Mist]]),OR(Table24[[#This Row],[Mint]:[Flavor]]))</f>
        <v>#VALUE!</v>
      </c>
      <c r="M8" s="16"/>
    </row>
    <row r="9" spans="1:13">
      <c r="A9" t="b">
        <f>IF(Table24[[#This Row],[Column1]],Table24[[#This Row],[Column9]])</f>
        <v>0</v>
      </c>
      <c r="B9" s="20" t="b">
        <f>B2</f>
        <v>1</v>
      </c>
      <c r="C9" s="17"/>
      <c r="D9" s="20" t="b">
        <f>D2</f>
        <v>0</v>
      </c>
      <c r="E9" s="20" t="b">
        <f>AND('Smoking Cessation Criteria'!B11,'Smoking Cessation Criteria'!C12,'Smoking Cessation Criteria'!C8:C10)</f>
        <v>0</v>
      </c>
      <c r="F9" s="17"/>
      <c r="G9" s="17"/>
      <c r="H9" s="17"/>
      <c r="I9" s="17"/>
      <c r="J9" s="17"/>
      <c r="K9" s="17"/>
      <c r="L9" s="210" t="b">
        <f>AND(Table24[[#This Row],[NRT]],OR(Table24[[#This Row],[Light Smoker]:[Heavy Smoker]]),AND(Table24[[#This Row],[Patch]:[Mist]]))</f>
        <v>0</v>
      </c>
      <c r="M9" s="28" t="s">
        <v>1162</v>
      </c>
    </row>
    <row r="10" spans="1:13">
      <c r="A10" t="b">
        <f>IF(Table24[[#This Row],[Column1]],Table24[[#This Row],[Column9]])</f>
        <v>0</v>
      </c>
      <c r="B10" s="20" t="b">
        <f>B2</f>
        <v>1</v>
      </c>
      <c r="C10" s="20" t="b">
        <f>C2</f>
        <v>0</v>
      </c>
      <c r="D10" s="17"/>
      <c r="E10" s="20" t="b">
        <f>E9</f>
        <v>0</v>
      </c>
      <c r="F10" s="17"/>
      <c r="G10" s="17"/>
      <c r="H10" s="17"/>
      <c r="I10" s="17"/>
      <c r="J10" s="17"/>
      <c r="K10" s="17"/>
      <c r="L10" s="210" t="b">
        <f>AND(Table24[[#This Row],[NRT]],OR(Table24[[#This Row],[Light Smoker]:[Heavy Smoker]]),AND(Table24[[#This Row],[Patch]:[Mist]]))</f>
        <v>0</v>
      </c>
      <c r="M10" s="11" t="s">
        <v>1163</v>
      </c>
    </row>
    <row r="11" spans="1:13">
      <c r="A11" t="b">
        <f>IF(Table24[[#This Row],[Column1]],Table24[[#This Row],[Column9]])</f>
        <v>0</v>
      </c>
      <c r="B11" s="20" t="b">
        <f>B2</f>
        <v>1</v>
      </c>
      <c r="C11" s="20" t="b">
        <f>C2</f>
        <v>0</v>
      </c>
      <c r="D11" s="17"/>
      <c r="E11" s="20" t="b">
        <f>E9</f>
        <v>0</v>
      </c>
      <c r="F11" s="17"/>
      <c r="G11" s="17"/>
      <c r="H11" s="17"/>
      <c r="I11" s="17"/>
      <c r="J11" s="17"/>
      <c r="K11" s="17"/>
      <c r="L11" s="210" t="b">
        <f>AND(Table24[[#This Row],[NRT]],OR(Table24[[#This Row],[Light Smoker]:[Heavy Smoker]]),AND(Table24[[#This Row],[Patch]:[Mist]]))</f>
        <v>0</v>
      </c>
      <c r="M11" s="11" t="s">
        <v>1164</v>
      </c>
    </row>
    <row r="12" spans="1:13">
      <c r="A12" s="16" t="e">
        <f>IF(Table24[[#This Row],[Column1]],Table24[[#This Row],[Column9]])</f>
        <v>#VALUE!</v>
      </c>
      <c r="B12" s="16"/>
      <c r="C12" s="16"/>
      <c r="D12" s="16"/>
      <c r="E12" s="16"/>
      <c r="F12" s="16"/>
      <c r="G12" s="16"/>
      <c r="H12" s="16"/>
      <c r="I12" s="16"/>
      <c r="J12" s="16"/>
      <c r="K12" s="16"/>
      <c r="L12" s="16" t="e">
        <f>AND(OR(Table24[[#This Row],[Light Smoker]:[Heavy Smoker]]),AND(Table24[[#This Row],[Patch]:[Mist]]),OR(Table24[[#This Row],[Mint]:[Flavor]]))</f>
        <v>#VALUE!</v>
      </c>
      <c r="M12" s="16"/>
    </row>
    <row r="13" spans="1:13">
      <c r="A13" t="b">
        <f>IF(Table24[[#This Row],[Column1]],Table24[[#This Row],[Column9]])</f>
        <v>0</v>
      </c>
      <c r="B13" s="20" t="b">
        <f>B2</f>
        <v>1</v>
      </c>
      <c r="C13" s="20" t="b">
        <f>C2</f>
        <v>0</v>
      </c>
      <c r="D13" s="17"/>
      <c r="E13" s="17"/>
      <c r="F13" s="17"/>
      <c r="G13" s="17"/>
      <c r="H13" s="20" t="b">
        <f>H3</f>
        <v>0</v>
      </c>
      <c r="I13" s="17"/>
      <c r="J13" s="20" t="b">
        <f>J2</f>
        <v>0</v>
      </c>
      <c r="K13" s="17"/>
      <c r="L13" s="106" t="b">
        <f>AND(Table24[[#This Row],[NRT]],OR(Table24[[#This Row],[Light Smoker]:[Heavy Smoker]]),AND(Table24[[#This Row],[Patch]:[Mist]]),OR(Table24[[#This Row],[Mint]:[Flavor]]))</f>
        <v>0</v>
      </c>
      <c r="M13" s="28" t="s">
        <v>1179</v>
      </c>
    </row>
    <row r="14" spans="1:13">
      <c r="A14" t="b">
        <f>IF(Table24[[#This Row],[Column1]],Table24[[#This Row],[Column9]])</f>
        <v>0</v>
      </c>
      <c r="B14" s="20" t="b">
        <f>B2</f>
        <v>1</v>
      </c>
      <c r="C14" s="17"/>
      <c r="D14" s="20" t="b">
        <f>D2</f>
        <v>0</v>
      </c>
      <c r="E14" s="17"/>
      <c r="F14" s="17"/>
      <c r="G14" s="17"/>
      <c r="H14" s="20" t="b">
        <f>H3</f>
        <v>0</v>
      </c>
      <c r="I14" s="17"/>
      <c r="J14" s="20" t="b">
        <f>J2</f>
        <v>0</v>
      </c>
      <c r="K14" s="17"/>
      <c r="L14" s="106" t="b">
        <f>AND(Table24[[#This Row],[NRT]],OR(Table24[[#This Row],[Light Smoker]:[Heavy Smoker]]),AND(Table24[[#This Row],[Patch]:[Mist]]),OR(Table24[[#This Row],[Mint]:[Flavor]]))</f>
        <v>0</v>
      </c>
      <c r="M14" s="28" t="s">
        <v>1180</v>
      </c>
    </row>
    <row r="15" spans="1:13">
      <c r="A15" t="b">
        <f>IF(Table24[[#This Row],[Column1]],Table24[[#This Row],[Column9]])</f>
        <v>0</v>
      </c>
      <c r="B15" s="20" t="b">
        <f>B2</f>
        <v>1</v>
      </c>
      <c r="C15" s="20" t="b">
        <f>C2</f>
        <v>0</v>
      </c>
      <c r="D15" s="17"/>
      <c r="E15" s="17"/>
      <c r="F15" s="17"/>
      <c r="G15" s="20" t="b">
        <f>G5</f>
        <v>0</v>
      </c>
      <c r="H15" s="17"/>
      <c r="I15" s="17"/>
      <c r="J15" s="20" t="b">
        <f>J2</f>
        <v>0</v>
      </c>
      <c r="K15" s="17"/>
      <c r="L15" s="106" t="b">
        <f>AND(Table24[[#This Row],[NRT]],OR(Table24[[#This Row],[Light Smoker]:[Heavy Smoker]]),AND(Table24[[#This Row],[Patch]:[Mist]]),OR(Table24[[#This Row],[Mint]:[Flavor]]))</f>
        <v>0</v>
      </c>
      <c r="M15" s="11" t="s">
        <v>1177</v>
      </c>
    </row>
    <row r="16" spans="1:13">
      <c r="A16" t="b">
        <f>IF(Table24[[#This Row],[Column1]],Table24[[#This Row],[Column9]])</f>
        <v>0</v>
      </c>
      <c r="B16" s="20" t="b">
        <f>B2</f>
        <v>1</v>
      </c>
      <c r="C16" s="17"/>
      <c r="D16" s="20" t="b">
        <f>D2</f>
        <v>0</v>
      </c>
      <c r="E16" s="17"/>
      <c r="F16" s="17"/>
      <c r="G16" s="20" t="b">
        <f>G5</f>
        <v>0</v>
      </c>
      <c r="H16" s="17"/>
      <c r="I16" s="17"/>
      <c r="J16" s="20" t="b">
        <f>J2</f>
        <v>0</v>
      </c>
      <c r="K16" s="17"/>
      <c r="L16" s="106" t="b">
        <f>AND(Table24[[#This Row],[NRT]],OR(Table24[[#This Row],[Light Smoker]:[Heavy Smoker]]),AND(Table24[[#This Row],[Patch]:[Mist]]),OR(Table24[[#This Row],[Mint]:[Flavor]]))</f>
        <v>0</v>
      </c>
      <c r="M16" s="11" t="s">
        <v>1178</v>
      </c>
    </row>
    <row r="17" spans="1:13">
      <c r="A17" t="b">
        <f>IF(Table24[[#This Row],[Column1]],Table24[[#This Row],[Column9]])</f>
        <v>0</v>
      </c>
      <c r="B17" s="20" t="b">
        <f>B2</f>
        <v>1</v>
      </c>
      <c r="C17" s="20" t="b">
        <f>C2</f>
        <v>0</v>
      </c>
      <c r="D17" s="17"/>
      <c r="E17" s="17"/>
      <c r="F17" s="17"/>
      <c r="G17" s="17"/>
      <c r="H17" s="20" t="b">
        <f>H3</f>
        <v>0</v>
      </c>
      <c r="I17" s="17"/>
      <c r="J17" s="20" t="b">
        <f>J2</f>
        <v>0</v>
      </c>
      <c r="K17" s="20" t="b">
        <f>K2</f>
        <v>0</v>
      </c>
      <c r="L17" s="106" t="b">
        <f>AND(Table24[[#This Row],[NRT]],OR(Table24[[#This Row],[Light Smoker]:[Heavy Smoker]]),AND(Table24[[#This Row],[Patch]:[Mist]]),OR(Table24[[#This Row],[Mint]:[Flavor]]))</f>
        <v>0</v>
      </c>
      <c r="M17" s="11" t="s">
        <v>1176</v>
      </c>
    </row>
    <row r="18" spans="1:13">
      <c r="A18" t="b">
        <f>IF(Table24[[#This Row],[Column1]],Table24[[#This Row],[Column9]])</f>
        <v>0</v>
      </c>
      <c r="B18" s="20" t="b">
        <f>B2</f>
        <v>1</v>
      </c>
      <c r="C18" s="17"/>
      <c r="D18" s="20" t="b">
        <f>D2</f>
        <v>0</v>
      </c>
      <c r="E18" s="17"/>
      <c r="F18" s="17"/>
      <c r="G18" s="17"/>
      <c r="H18" s="20" t="b">
        <f>H3</f>
        <v>0</v>
      </c>
      <c r="I18" s="17"/>
      <c r="J18" s="20" t="b">
        <f>J2</f>
        <v>0</v>
      </c>
      <c r="K18" s="20" t="b">
        <f>K2</f>
        <v>0</v>
      </c>
      <c r="L18" s="106" t="b">
        <f>AND(Table24[[#This Row],[NRT]],OR(Table24[[#This Row],[Light Smoker]:[Heavy Smoker]]),AND(Table24[[#This Row],[Patch]:[Mist]]),OR(Table24[[#This Row],[Mint]:[Flavor]]))</f>
        <v>0</v>
      </c>
      <c r="M18" s="11" t="s">
        <v>1175</v>
      </c>
    </row>
    <row r="19" spans="1:13">
      <c r="A19" s="16" t="e">
        <f>IF(Table24[[#This Row],[Column1]],Table24[[#This Row],[Column9]])</f>
        <v>#VALUE!</v>
      </c>
      <c r="B19" s="16"/>
      <c r="C19" s="16"/>
      <c r="D19" s="16"/>
      <c r="E19" s="16"/>
      <c r="F19" s="16"/>
      <c r="G19" s="16"/>
      <c r="H19" s="16"/>
      <c r="I19" s="16"/>
      <c r="J19" s="16"/>
      <c r="K19" s="16"/>
      <c r="L19" s="16" t="e">
        <f>AND(OR(Table24[[#This Row],[Light Smoker]:[Heavy Smoker]]),AND(Table24[[#This Row],[Patch]:[Mist]]),OR(Table24[[#This Row],[Mint]:[Flavor]]))</f>
        <v>#VALUE!</v>
      </c>
      <c r="M19" s="16"/>
    </row>
    <row r="20" spans="1:13">
      <c r="A20" t="b">
        <f>IF(Table24[[#This Row],[Column1]],Table24[[#This Row],[Column9]])</f>
        <v>0</v>
      </c>
      <c r="B20" s="20" t="b">
        <f>B2</f>
        <v>1</v>
      </c>
      <c r="C20" s="17"/>
      <c r="D20" s="20" t="b">
        <f>D2</f>
        <v>0</v>
      </c>
      <c r="E20" s="20" t="b">
        <f>E9</f>
        <v>0</v>
      </c>
      <c r="F20" s="17"/>
      <c r="G20" s="17"/>
      <c r="H20" s="17"/>
      <c r="I20" s="17"/>
      <c r="J20" s="17"/>
      <c r="K20" s="17"/>
      <c r="L20" s="210" t="b">
        <f>AND(Table24[[#This Row],[NRT]],OR(Table24[[#This Row],[Light Smoker]:[Heavy Smoker]]),AND(Table24[[#This Row],[Patch]:[Mist]]))</f>
        <v>0</v>
      </c>
      <c r="M20" s="11" t="s">
        <v>1165</v>
      </c>
    </row>
    <row r="21" spans="1:13">
      <c r="A21" t="b">
        <f>IF(Table24[[#This Row],[Column1]],Table24[[#This Row],[Column9]])</f>
        <v>0</v>
      </c>
      <c r="B21" s="20" t="b">
        <f>B2</f>
        <v>1</v>
      </c>
      <c r="C21" s="20" t="b">
        <f>C2</f>
        <v>0</v>
      </c>
      <c r="D21" s="17"/>
      <c r="E21" s="20" t="b">
        <f>E9</f>
        <v>0</v>
      </c>
      <c r="F21" s="17"/>
      <c r="G21" s="17"/>
      <c r="H21" s="17"/>
      <c r="I21" s="17"/>
      <c r="J21" s="17"/>
      <c r="K21" s="17"/>
      <c r="L21" s="210" t="b">
        <f>AND(Table24[[#This Row],[NRT]],OR(Table24[[#This Row],[Light Smoker]:[Heavy Smoker]]),AND(Table24[[#This Row],[Patch]:[Mist]]))</f>
        <v>0</v>
      </c>
      <c r="M21" s="11" t="s">
        <v>1166</v>
      </c>
    </row>
    <row r="22" spans="1:13">
      <c r="A22" t="b">
        <f>IF(Table24[[#This Row],[Column1]],Table24[[#This Row],[Column9]])</f>
        <v>0</v>
      </c>
      <c r="B22" s="20" t="b">
        <f>B2</f>
        <v>1</v>
      </c>
      <c r="C22" s="20" t="b">
        <f>C2</f>
        <v>0</v>
      </c>
      <c r="D22" s="17"/>
      <c r="E22" s="20" t="b">
        <f>E9</f>
        <v>0</v>
      </c>
      <c r="F22" s="17"/>
      <c r="G22" s="17"/>
      <c r="H22" s="17"/>
      <c r="I22" s="17"/>
      <c r="J22" s="17"/>
      <c r="K22" s="17"/>
      <c r="L22" s="210" t="b">
        <f>AND(Table24[[#This Row],[NRT]],OR(Table24[[#This Row],[Light Smoker]:[Heavy Smoker]]),AND(Table24[[#This Row],[Patch]:[Mist]]))</f>
        <v>0</v>
      </c>
      <c r="M22" s="11" t="s">
        <v>1167</v>
      </c>
    </row>
    <row r="23" spans="1:13">
      <c r="A23" s="16" t="e">
        <f>IF(Table24[[#This Row],[Column1]],Table24[[#This Row],[Column9]])</f>
        <v>#VALUE!</v>
      </c>
      <c r="B23" s="16"/>
      <c r="C23" s="16"/>
      <c r="D23" s="16"/>
      <c r="E23" s="16"/>
      <c r="F23" s="16"/>
      <c r="G23" s="16"/>
      <c r="H23" s="16"/>
      <c r="I23" s="16"/>
      <c r="J23" s="16"/>
      <c r="K23" s="16"/>
      <c r="L23" s="16" t="e">
        <f>AND(OR(Table24[[#This Row],[Light Smoker]:[Heavy Smoker]]),AND(Table24[[#This Row],[Patch]:[Mist]]),OR(Table24[[#This Row],[Mint]:[Flavor]]))</f>
        <v>#VALUE!</v>
      </c>
      <c r="M23" s="16"/>
    </row>
    <row r="24" spans="1:13">
      <c r="A24" t="e">
        <f>IF(Table24[[#This Row],[Column1]],Table24[[#This Row],[Column9]])</f>
        <v>#VALUE!</v>
      </c>
      <c r="L24" t="e">
        <f>AND(OR(Table24[[#This Row],[Light Smoker]:[Heavy Smoker]]),AND(Table24[[#This Row],[Patch]:[Mist]]),OR(Table24[[#This Row],[Mint]:[Flavor]]))</f>
        <v>#VALUE!</v>
      </c>
    </row>
    <row r="25" spans="1:13">
      <c r="A25" t="e">
        <f>IF(Table24[[#This Row],[Column1]],Table24[[#This Row],[Column9]])</f>
        <v>#VALUE!</v>
      </c>
      <c r="L25" t="e">
        <f>AND(OR(Table24[[#This Row],[Light Smoker]:[Heavy Smoker]]),AND(Table24[[#This Row],[Patch]:[Mist]]),OR(Table24[[#This Row],[Mint]:[Flavor]]))</f>
        <v>#VALUE!</v>
      </c>
    </row>
    <row r="26" spans="1:13">
      <c r="A26" t="e">
        <f>IF(Table24[[#This Row],[Column1]],Table24[[#This Row],[Column9]])</f>
        <v>#VALUE!</v>
      </c>
      <c r="L26" t="e">
        <f>AND(OR(Table24[[#This Row],[Light Smoker]:[Heavy Smoker]]),AND(Table24[[#This Row],[Patch]:[Mist]]),OR(Table24[[#This Row],[Mint]:[Flavor]]))</f>
        <v>#VALUE!</v>
      </c>
    </row>
  </sheetData>
  <hyperlinks>
    <hyperlink ref="M2" r:id="rId1" display="https://www.nicorette.ca/products/quickmist" xr:uid="{00000000-0004-0000-2600-000000000000}"/>
    <hyperlink ref="M4" r:id="rId2" display="https://www.nicorette.ca/products/gum" xr:uid="{00000000-0004-0000-2600-000001000000}"/>
    <hyperlink ref="M5" r:id="rId3" display="https://www.nicorette.ca/products/minilozenge" xr:uid="{00000000-0004-0000-2600-000002000000}"/>
    <hyperlink ref="M7" r:id="rId4" display="https://www.nicorette.ca/products/inhaler" xr:uid="{00000000-0004-0000-2600-000003000000}"/>
    <hyperlink ref="M9" r:id="rId5" xr:uid="{00000000-0004-0000-2600-000004000000}"/>
    <hyperlink ref="M10" r:id="rId6" xr:uid="{00000000-0004-0000-2600-000005000000}"/>
    <hyperlink ref="M11" r:id="rId7" xr:uid="{00000000-0004-0000-2600-000006000000}"/>
    <hyperlink ref="M13" r:id="rId8" display="Thrive® Complete™ Gum" xr:uid="{00000000-0004-0000-2600-000007000000}"/>
    <hyperlink ref="M15" r:id="rId9" display="Thrive® lozenges" xr:uid="{00000000-0004-0000-2600-000008000000}"/>
    <hyperlink ref="M17" r:id="rId10" display="Thrive® gums" xr:uid="{00000000-0004-0000-2600-000009000000}"/>
    <hyperlink ref="M20" r:id="rId11" xr:uid="{00000000-0004-0000-2600-00000A000000}"/>
    <hyperlink ref="M21:M22" r:id="rId12" display="Habitrol Nicotine Transdermal System Stop Smoking Aid, Step 1 (21 mg)" xr:uid="{00000000-0004-0000-2600-00000B000000}"/>
    <hyperlink ref="M3" r:id="rId13" display="https://www.nicorette.ca/products/gum" xr:uid="{00000000-0004-0000-2600-00000C000000}"/>
    <hyperlink ref="M6" r:id="rId14" display="https://www.nicorette.ca/products/minilozenge" xr:uid="{00000000-0004-0000-2600-00000D000000}"/>
    <hyperlink ref="M14" r:id="rId15" display="Thrive® Complete™ Gum" xr:uid="{00000000-0004-0000-2600-00000E000000}"/>
    <hyperlink ref="M16" r:id="rId16" display="Thrive® lozenges" xr:uid="{00000000-0004-0000-2600-00000F000000}"/>
    <hyperlink ref="M18" r:id="rId17" display="Thrive® gums" xr:uid="{00000000-0004-0000-2600-000010000000}"/>
  </hyperlinks>
  <pageMargins left="0.7" right="0.7" top="0.75" bottom="0.75" header="0.3" footer="0.3"/>
  <pageSetup orientation="portrait" r:id="rId18"/>
  <tableParts count="1">
    <tablePart r:id="rId1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7"/>
  <sheetViews>
    <sheetView workbookViewId="0">
      <selection activeCell="A27" sqref="A27"/>
    </sheetView>
  </sheetViews>
  <sheetFormatPr defaultRowHeight="15"/>
  <cols>
    <col min="1" max="1" width="71.140625" customWidth="1"/>
    <col min="4" max="4" width="19" customWidth="1"/>
  </cols>
  <sheetData>
    <row r="1" spans="1:4" ht="15.75" thickTop="1">
      <c r="A1" s="3" t="s">
        <v>15</v>
      </c>
      <c r="B1" s="38" t="s">
        <v>18</v>
      </c>
      <c r="D1" s="8" t="s">
        <v>19</v>
      </c>
    </row>
    <row r="2" spans="1:4" ht="15.75" thickBot="1">
      <c r="B2" s="4"/>
      <c r="D2" s="4"/>
    </row>
    <row r="3" spans="1:4" ht="15.75" thickBot="1">
      <c r="A3" s="158" t="s">
        <v>1334</v>
      </c>
      <c r="B3" s="5" t="b">
        <v>0</v>
      </c>
      <c r="C3" s="156"/>
      <c r="D3" s="4"/>
    </row>
    <row r="4" spans="1:4" ht="15.75" thickBot="1">
      <c r="A4" s="158" t="s">
        <v>1335</v>
      </c>
      <c r="B4" s="5" t="b">
        <v>0</v>
      </c>
      <c r="C4" s="156"/>
      <c r="D4" s="4"/>
    </row>
    <row r="5" spans="1:4" ht="15.75" thickBot="1">
      <c r="A5" s="158" t="s">
        <v>1336</v>
      </c>
      <c r="B5" s="5" t="b">
        <v>0</v>
      </c>
      <c r="C5" s="156"/>
      <c r="D5" s="4"/>
    </row>
    <row r="6" spans="1:4" ht="15.75" thickBot="1">
      <c r="A6" s="161" t="s">
        <v>1355</v>
      </c>
      <c r="B6" s="5" t="b">
        <v>0</v>
      </c>
      <c r="C6" s="156" t="b">
        <f>NOT(B6)</f>
        <v>1</v>
      </c>
      <c r="D6" s="4"/>
    </row>
    <row r="7" spans="1:4" ht="15.75" thickBot="1">
      <c r="A7" s="161" t="s">
        <v>1337</v>
      </c>
      <c r="B7" s="5" t="b">
        <v>0</v>
      </c>
      <c r="C7" s="156" t="b">
        <f t="shared" ref="C7:C10" si="0">NOT(B7)</f>
        <v>1</v>
      </c>
      <c r="D7" s="4"/>
    </row>
    <row r="8" spans="1:4" ht="15.75" thickBot="1">
      <c r="A8" s="161" t="s">
        <v>1338</v>
      </c>
      <c r="B8" s="5" t="b">
        <v>0</v>
      </c>
      <c r="C8" s="156" t="b">
        <f t="shared" si="0"/>
        <v>1</v>
      </c>
      <c r="D8" s="4"/>
    </row>
    <row r="9" spans="1:4" ht="15.75" thickBot="1">
      <c r="A9" s="161" t="s">
        <v>1339</v>
      </c>
      <c r="B9" s="5" t="b">
        <v>0</v>
      </c>
      <c r="C9" s="156" t="b">
        <f t="shared" si="0"/>
        <v>1</v>
      </c>
      <c r="D9" s="60"/>
    </row>
    <row r="10" spans="1:4" ht="15.75" thickBot="1">
      <c r="A10" s="161" t="s">
        <v>1340</v>
      </c>
      <c r="B10" s="5" t="b">
        <v>0</v>
      </c>
      <c r="C10" s="156" t="b">
        <f t="shared" si="0"/>
        <v>1</v>
      </c>
      <c r="D10" s="56"/>
    </row>
    <row r="11" spans="1:4" ht="15.75" thickBot="1">
      <c r="A11" s="162" t="s">
        <v>1349</v>
      </c>
      <c r="B11" s="5" t="b">
        <v>0</v>
      </c>
      <c r="C11" s="156"/>
      <c r="D11" s="37"/>
    </row>
    <row r="12" spans="1:4" ht="15.75" thickBot="1">
      <c r="A12" s="162" t="s">
        <v>1350</v>
      </c>
      <c r="B12" s="5" t="b">
        <v>0</v>
      </c>
      <c r="C12" s="156"/>
      <c r="D12" s="37"/>
    </row>
    <row r="13" spans="1:4" ht="15.75" thickBot="1">
      <c r="A13" s="162" t="s">
        <v>1356</v>
      </c>
      <c r="B13" s="5" t="b">
        <v>0</v>
      </c>
      <c r="C13" s="156"/>
      <c r="D13" s="37"/>
    </row>
    <row r="14" spans="1:4" ht="15.75" thickBot="1">
      <c r="A14" s="162" t="s">
        <v>1351</v>
      </c>
      <c r="B14" s="5" t="b">
        <v>1</v>
      </c>
      <c r="C14" s="156"/>
      <c r="D14" s="37"/>
    </row>
    <row r="15" spans="1:4" ht="15.75" thickBot="1">
      <c r="A15" s="162" t="s">
        <v>1352</v>
      </c>
      <c r="B15" s="5" t="b">
        <v>0</v>
      </c>
      <c r="C15" s="156"/>
      <c r="D15" s="37"/>
    </row>
    <row r="16" spans="1:4" ht="15.75" thickBot="1">
      <c r="A16" s="163" t="s">
        <v>1341</v>
      </c>
      <c r="B16" s="5" t="b">
        <v>0</v>
      </c>
      <c r="C16" s="156" t="b">
        <f>NOT(B16)</f>
        <v>1</v>
      </c>
      <c r="D16" s="37"/>
    </row>
    <row r="17" spans="1:4" ht="15.75" thickBot="1">
      <c r="A17" s="163" t="s">
        <v>2008</v>
      </c>
      <c r="B17" s="5" t="b">
        <v>0</v>
      </c>
      <c r="C17" s="156" t="b">
        <f t="shared" ref="C17" si="1">NOT(B17)</f>
        <v>1</v>
      </c>
      <c r="D17" s="37"/>
    </row>
  </sheetData>
  <dataValidations count="2">
    <dataValidation allowBlank="1" showInputMessage="1" showErrorMessage="1" prompt="Consult your physician if unsure" sqref="A3:A5 A16:A17" xr:uid="{00000000-0002-0000-0300-000000000000}"/>
    <dataValidation allowBlank="1" showInputMessage="1" showErrorMessage="1" prompt="Consult your pharmacist if unsure" sqref="A6 A7 A8 A9 A10 A11 A12 A13 A14 A15" xr:uid="{00000000-0002-0000-0300-000001000000}"/>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5">
        <x14:dataValidation type="list" showInputMessage="1" showErrorMessage="1" error="Please answer as Yes or No" prompt="Ointments can be applied to anal canal where medication needed both internally and/or externally. Duration of action, protective or lubricating effects longer than creams/gels but messy. Clean area prior application." xr:uid="{00000000-0002-0000-0300-000002000000}">
          <x14:formula1>
            <xm:f>random!$A$2:$A$3</xm:f>
          </x14:formula1>
          <xm:sqref>B7</xm:sqref>
        </x14:dataValidation>
        <x14:dataValidation type="list" showInputMessage="1" showErrorMessage="1" error="Please answer as Yes or No" prompt="Anesthetics can numb area and relieve pain. Should be used for less than 7 days and only be used in perianal or lower anal cannal to prevent absorption and side effects. May cause contact dermatitis, allergic reactions, CNS and cardiovascular effects. " xr:uid="{00000000-0002-0000-0300-000003000000}">
          <x14:formula1>
            <xm:f>random!$A$2:$A$3</xm:f>
          </x14:formula1>
          <xm:sqref>B12</xm:sqref>
        </x14:dataValidation>
        <x14:dataValidation type="list" showInputMessage="1" showErrorMessage="1" error="Please answer as Yes or No" prompt="Avoid use of products containing parabens if sensitive or allergic to parabens." xr:uid="{00000000-0002-0000-0300-000005000000}">
          <x14:formula1>
            <xm:f>random!$A$2:$A$3</xm:f>
          </x14:formula1>
          <xm:sqref>B17</xm:sqref>
        </x14:dataValidation>
        <x14:dataValidation type="list" showInputMessage="1" showErrorMessage="1" error="Please answer as Yes or No" prompt="Avoid products containing lanolin if you are sensitive or allergic to wool." xr:uid="{00000000-0002-0000-0300-000006000000}">
          <x14:formula1>
            <xm:f>random!$A$2:$A$3</xm:f>
          </x14:formula1>
          <xm:sqref>B16</xm:sqref>
        </x14:dataValidation>
        <x14:dataValidation type="list" showInputMessage="1" showErrorMessage="1" error="Please answer as Yes or No" prompt="Hydrocortisone may help relieve itch and inflammation. Products containing steroids should not be used for more than 1 week to reduce risk of mucosal atrophy. More effective than astringents if lots of itching or discharge." xr:uid="{00000000-0002-0000-0300-000007000000}">
          <x14:formula1>
            <xm:f>random!$A$2:$A$3</xm:f>
          </x14:formula1>
          <xm:sqref>B14</xm:sqref>
        </x14:dataValidation>
        <x14:dataValidation type="list" showInputMessage="1" showErrorMessage="1" error="Please answer as Yes or No" prompt="Astringents such as zinc and witch hazel promote skin dryness and help coagulation. Help relieve burning, itch and pain. Most effective for mild symptoms." xr:uid="{00000000-0002-0000-0300-000008000000}">
          <x14:formula1>
            <xm:f>random!$A$2:$A$3</xm:f>
          </x14:formula1>
          <xm:sqref>B11</xm:sqref>
        </x14:dataValidation>
        <x14:dataValidation type="list" showInputMessage="1" showErrorMessage="1" error="Please answer as Yes or No" prompt="Form a physicial barrier and lubricate thereby reducing irritation, burning, itching and pain. " xr:uid="{00000000-0002-0000-0300-000009000000}">
          <x14:formula1>
            <xm:f>random!$A$2:$A$3</xm:f>
          </x14:formula1>
          <xm:sqref>B13</xm:sqref>
        </x14:dataValidation>
        <x14:dataValidation type="list" showInputMessage="1" showErrorMessage="1" error="Please answer as Yes or No" prompt="Vasoconstrictors can help temporarily relieve inflammation and discomfort. Theoretically can interact with some medications and agravate certain medical conditions. Avoid application on abraded skin or rectum to reduce absorption and side effects. " xr:uid="{00000000-0002-0000-0300-00000A000000}">
          <x14:formula1>
            <xm:f>random!$A$2:$A$3</xm:f>
          </x14:formula1>
          <xm:sqref>B15</xm:sqref>
        </x14:dataValidation>
        <x14:dataValidation type="list" showInputMessage="1" showErrorMessage="1" error="Please answer as Yes or No" prompt="Oral flavonoids act on venous capillary walls and may relieve symptom duration, intensity and reoccurrence of flare-ups. Treatment may require multiple days (typically 7 days) for noticable benefits. Venixxa contains more tablets per box than Hemovel." xr:uid="{00000000-0002-0000-0300-00000B000000}">
          <x14:formula1>
            <xm:f>random!$A$2:$A$3</xm:f>
          </x14:formula1>
          <xm:sqref>B10</xm:sqref>
        </x14:dataValidation>
        <x14:dataValidation type="list" showInputMessage="1" showErrorMessage="1" error="Please answer as Yes or No" prompt="Some products can help relieve or reduce itch associated with hermorrhoids." xr:uid="{00000000-0002-0000-0300-00000C000000}">
          <x14:formula1>
            <xm:f>random!$A$2:$A$3</xm:f>
          </x14:formula1>
          <xm:sqref>B3</xm:sqref>
        </x14:dataValidation>
        <x14:dataValidation type="list" showInputMessage="1" showErrorMessage="1" error="Please answer as Yes or No" prompt="Some products can help relieve or reduce inflammation associated with hermorrhoids." xr:uid="{00000000-0002-0000-0300-00000D000000}">
          <x14:formula1>
            <xm:f>random!$A$2:$A$3</xm:f>
          </x14:formula1>
          <xm:sqref>B4</xm:sqref>
        </x14:dataValidation>
        <x14:dataValidation type="list" showInputMessage="1" showErrorMessage="1" error="Please answer as Yes or No" prompt="Suppositories inserted rectally can release medication over long periods. Efficacy may be limited as tend to slip into rectum thus bypassing where medication needed. May also increase side effects with increased medication absorption in rectum. " xr:uid="{00000000-0002-0000-0300-00000E000000}">
          <x14:formula1>
            <xm:f>random!$A$2:$A$3</xm:f>
          </x14:formula1>
          <xm:sqref>B8</xm:sqref>
        </x14:dataValidation>
        <x14:dataValidation type="list" showInputMessage="1" showErrorMessage="1" error="Please answer as Yes or No" prompt="Some products can help relieve or reduce pain associated with hermorrhoids." xr:uid="{00000000-0002-0000-0300-00000F000000}">
          <x14:formula1>
            <xm:f>random!$A$2:$A$3</xm:f>
          </x14:formula1>
          <xm:sqref>B5</xm:sqref>
        </x14:dataValidation>
        <x14:dataValidation type="list" showInputMessage="1" showErrorMessage="1" error="Please answer as Yes or No" prompt="Wipes may be useful for hygiene following bowel movements and help remove discharge. More gentle than bath tissue and medicated products may help reduce or relieve symptoms." xr:uid="{00000000-0002-0000-0300-000010000000}">
          <x14:formula1>
            <xm:f>random!$A$2:$A$3</xm:f>
          </x14:formula1>
          <xm:sqref>B9</xm:sqref>
        </x14:dataValidation>
        <x14:dataValidation type="list" showInputMessage="1" showErrorMessage="1" error="Please answer as Yes or No" prompt="Creams and gels can be easily applied to anal canal where medication needed both internally and/or externally. Duration of action, protective or lubricating effects may not be as long as ointments but less messy. Clean area prior application." xr:uid="{00000000-0002-0000-0300-000011000000}">
          <x14:formula1>
            <xm:f>random!$A$2:$A$3</xm:f>
          </x14:formula1>
          <xm:sqref>B6</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C16"/>
  <sheetViews>
    <sheetView workbookViewId="0">
      <selection activeCell="A24" sqref="A24"/>
    </sheetView>
  </sheetViews>
  <sheetFormatPr defaultRowHeight="15"/>
  <cols>
    <col min="1" max="1" width="51.85546875" customWidth="1"/>
  </cols>
  <sheetData>
    <row r="1" spans="1:3" ht="15.75" thickTop="1">
      <c r="A1" s="3" t="s">
        <v>15</v>
      </c>
      <c r="B1" s="7" t="s">
        <v>18</v>
      </c>
      <c r="C1" s="96"/>
    </row>
    <row r="2" spans="1:3" ht="15.75" thickBot="1">
      <c r="B2" s="4"/>
      <c r="C2" s="96"/>
    </row>
    <row r="3" spans="1:3" ht="15.75" thickBot="1">
      <c r="A3" s="161" t="s">
        <v>1223</v>
      </c>
      <c r="B3" s="147" t="b">
        <v>0</v>
      </c>
      <c r="C3" s="205" t="b">
        <f>NOT(B3)</f>
        <v>1</v>
      </c>
    </row>
    <row r="4" spans="1:3" ht="15.75" thickBot="1">
      <c r="A4" s="55" t="s">
        <v>1224</v>
      </c>
      <c r="B4" s="147" t="b">
        <v>0</v>
      </c>
      <c r="C4" s="205" t="b">
        <f>NOT(B4)</f>
        <v>1</v>
      </c>
    </row>
    <row r="5" spans="1:3" ht="15.75" thickBot="1">
      <c r="A5" s="161" t="s">
        <v>1963</v>
      </c>
      <c r="B5" s="147" t="b">
        <v>0</v>
      </c>
      <c r="C5" s="205" t="b">
        <f>NOT(B5)</f>
        <v>1</v>
      </c>
    </row>
    <row r="6" spans="1:3" ht="15.75" thickBot="1">
      <c r="A6" s="55" t="s">
        <v>1232</v>
      </c>
      <c r="B6" s="147" t="b">
        <v>0</v>
      </c>
      <c r="C6" s="205" t="b">
        <f>NOT(B6)</f>
        <v>1</v>
      </c>
    </row>
    <row r="7" spans="1:3" ht="15.75" thickBot="1">
      <c r="A7" s="55" t="s">
        <v>1225</v>
      </c>
      <c r="B7" s="147" t="b">
        <v>0</v>
      </c>
      <c r="C7" s="205" t="b">
        <f t="shared" ref="C7:C16" si="0">NOT(B7)</f>
        <v>1</v>
      </c>
    </row>
    <row r="8" spans="1:3" ht="15.75" thickBot="1">
      <c r="A8" s="170" t="s">
        <v>1227</v>
      </c>
      <c r="B8" s="147" t="b">
        <v>0</v>
      </c>
      <c r="C8" s="205" t="b">
        <f t="shared" si="0"/>
        <v>1</v>
      </c>
    </row>
    <row r="9" spans="1:3" ht="15.75" thickBot="1">
      <c r="A9" s="170" t="s">
        <v>1226</v>
      </c>
      <c r="B9" s="147" t="b">
        <v>0</v>
      </c>
      <c r="C9" s="205" t="b">
        <f t="shared" si="0"/>
        <v>1</v>
      </c>
    </row>
    <row r="10" spans="1:3" ht="15.75" thickBot="1">
      <c r="A10" s="176" t="s">
        <v>1228</v>
      </c>
      <c r="B10" s="147" t="b">
        <v>0</v>
      </c>
      <c r="C10" s="205" t="b">
        <f t="shared" si="0"/>
        <v>1</v>
      </c>
    </row>
    <row r="11" spans="1:3" ht="15.75" thickBot="1">
      <c r="A11" s="176" t="s">
        <v>1229</v>
      </c>
      <c r="B11" s="147" t="b">
        <v>0</v>
      </c>
      <c r="C11" s="205" t="b">
        <f t="shared" si="0"/>
        <v>1</v>
      </c>
    </row>
    <row r="12" spans="1:3" ht="15.75" thickBot="1">
      <c r="A12" s="55" t="s">
        <v>1230</v>
      </c>
      <c r="B12" s="147" t="b">
        <v>0</v>
      </c>
      <c r="C12" s="205" t="b">
        <f t="shared" si="0"/>
        <v>1</v>
      </c>
    </row>
    <row r="13" spans="1:3" ht="15.75" thickBot="1">
      <c r="A13" s="55" t="s">
        <v>1231</v>
      </c>
      <c r="B13" s="147" t="b">
        <v>0</v>
      </c>
      <c r="C13" s="205" t="b">
        <f t="shared" si="0"/>
        <v>1</v>
      </c>
    </row>
    <row r="14" spans="1:3" ht="15.75" thickBot="1">
      <c r="A14" s="1" t="s">
        <v>1233</v>
      </c>
      <c r="B14" s="33" t="b">
        <v>0</v>
      </c>
      <c r="C14" s="205" t="b">
        <f t="shared" si="0"/>
        <v>1</v>
      </c>
    </row>
    <row r="15" spans="1:3" ht="15.75" thickBot="1">
      <c r="A15" s="1" t="s">
        <v>1234</v>
      </c>
      <c r="B15" s="33" t="b">
        <v>0</v>
      </c>
      <c r="C15" s="205" t="b">
        <f t="shared" si="0"/>
        <v>1</v>
      </c>
    </row>
    <row r="16" spans="1:3" ht="15.75" thickBot="1">
      <c r="A16" s="1" t="s">
        <v>1235</v>
      </c>
      <c r="B16" s="33" t="b">
        <v>0</v>
      </c>
      <c r="C16" s="205" t="b">
        <f t="shared" si="0"/>
        <v>1</v>
      </c>
    </row>
  </sheetData>
  <dataValidations xWindow="207" yWindow="387" count="1">
    <dataValidation allowBlank="1" showInputMessage="1" showErrorMessage="1" prompt="Consult your pharmacist if unsure" sqref="A3:A16" xr:uid="{00000000-0002-0000-27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207" yWindow="387" count="14">
        <x14:dataValidation type="list" showInputMessage="1" showErrorMessage="1" error="Please answer as Yes or No" prompt="Some monitors can be programed to remind the user to preform a reading at a specific time. May be beneficial for individuals with memory issues." xr:uid="{00000000-0002-0000-2700-000001000000}">
          <x14:formula1>
            <xm:f>random!$A$2:$A$3</xm:f>
          </x14:formula1>
          <xm:sqref>B16</xm:sqref>
        </x14:dataValidation>
        <x14:dataValidation type="list" showInputMessage="1" showErrorMessage="1" error="Please answer as Yes or No" prompt="Some monitors can detect abnormal heart beats and can be useful for individuals with conditions such as atrial fibrillation. " xr:uid="{00000000-0002-0000-2700-000002000000}">
          <x14:formula1>
            <xm:f>random!$A$2:$A$3</xm:f>
          </x14:formula1>
          <xm:sqref>B13</xm:sqref>
        </x14:dataValidation>
        <x14:dataValidation type="list" showInputMessage="1" showErrorMessage="1" error="Please answer as Yes or No" prompt="Battery operated monitors provide a portable option but may require purchase of batteries for continued operation." xr:uid="{00000000-0002-0000-2700-000003000000}">
          <x14:formula1>
            <xm:f>random!$A$2:$A$3</xm:f>
          </x14:formula1>
          <xm:sqref>B3</xm:sqref>
        </x14:dataValidation>
        <x14:dataValidation type="list" showInputMessage="1" showErrorMessage="1" error="Please answer as Yes or No" prompt="Some battery operated monitors are sold with/without batteries. " xr:uid="{00000000-0002-0000-2700-000004000000}">
          <x14:formula1>
            <xm:f>random!$A$2:$A$3</xm:f>
          </x14:formula1>
          <xm:sqref>B4</xm:sqref>
        </x14:dataValidation>
        <x14:dataValidation type="list" showInputMessage="1" showErrorMessage="1" error="Please answer as Yes or No" prompt="Some monitors are powered by electric outlet or usb plug-in power supply and also work with batteries. These are the most common type of monitors. " xr:uid="{00000000-0002-0000-2700-000005000000}">
          <x14:formula1>
            <xm:f>random!$A$2:$A$3</xm:f>
          </x14:formula1>
          <xm:sqref>B5</xm:sqref>
        </x14:dataValidation>
        <x14:dataValidation type="list" showInputMessage="1" showErrorMessage="1" error="Please answer as Yes or No" prompt="Some plug-in monitors are sold with/without AC adapter to allow use of electric outlet as a power source." xr:uid="{00000000-0002-0000-2700-000006000000}">
          <x14:formula1>
            <xm:f>random!$A$2:$A$3</xm:f>
          </x14:formula1>
          <xm:sqref>B6</xm:sqref>
        </x14:dataValidation>
        <x14:dataValidation type="list" showInputMessage="1" showErrorMessage="1" error="Please answer as Yes or No" prompt="Some monitors can link to your phone and/or computer allowing yourself or multiple users to store and/or share unlimited readings. Best for electronically savvy individuals." xr:uid="{00000000-0002-0000-2700-000007000000}">
          <x14:formula1>
            <xm:f>random!$A$2:$A$3</xm:f>
          </x14:formula1>
          <xm:sqref>B7</xm:sqref>
        </x14:dataValidation>
        <x14:dataValidation type="list" showInputMessage="1" showErrorMessage="1" error="Please answer as Yes or No" prompt="Some monitors allow seperate recording/saving readings for multiple users. Ideal for use of multiple individuals in the same household or institution but are a more complex option.   " xr:uid="{00000000-0002-0000-2700-000008000000}">
          <x14:formula1>
            <xm:f>random!$A$2:$A$3</xm:f>
          </x14:formula1>
          <xm:sqref>B8</xm:sqref>
        </x14:dataValidation>
        <x14:dataValidation type="list" showInputMessage="1" showErrorMessage="1" error="Please answer as Yes or No" prompt="Single user monitor is easy and simple to use and can store user readngs but will not distinguish between multiple users. " xr:uid="{00000000-0002-0000-2700-000009000000}">
          <x14:formula1>
            <xm:f>random!$A$2:$A$3</xm:f>
          </x14:formula1>
          <xm:sqref>B9</xm:sqref>
        </x14:dataValidation>
        <x14:dataValidation type="list" showInputMessage="1" showErrorMessage="1" error="Please answer as Yes or No" prompt="Some monitors come with an arm cuff which can adjust to a wide range of sizes. Ideal for use by multiple users. Many monitors come with wide range cuffs." xr:uid="{00000000-0002-0000-2700-00000A000000}">
          <x14:formula1>
            <xm:f>random!$A$2:$A$3</xm:f>
          </x14:formula1>
          <xm:sqref>B10</xm:sqref>
        </x14:dataValidation>
        <x14:dataValidation type="list" showInputMessage="1" showErrorMessage="1" error="Please answer as Yes or No" prompt="Some monitors come with an arm cuff fitted to a specific arm size. Ideal for use by a single user or multiple users of near similar arm size." xr:uid="{00000000-0002-0000-2700-00000B000000}">
          <x14:formula1>
            <xm:f>random!$A$2:$A$3</xm:f>
          </x14:formula1>
          <xm:sqref>B11</xm:sqref>
        </x14:dataValidation>
        <x14:dataValidation type="list" showInputMessage="1" showErrorMessage="1" error="Please answer as Yes or No" prompt="Some monitors can detect improperly fit cuff or excessive user motion thereby reducing recording error.   " xr:uid="{00000000-0002-0000-2700-00000C000000}">
          <x14:formula1>
            <xm:f>random!$A$2:$A$3</xm:f>
          </x14:formula1>
          <xm:sqref>B12</xm:sqref>
        </x14:dataValidation>
        <x14:dataValidation type="list" showInputMessage="1" showErrorMessage="1" error="Please answer as Yes or No" prompt="Simplest user friendly monitors allow operation by the touch of a single button. " xr:uid="{00000000-0002-0000-2700-00000D000000}">
          <x14:formula1>
            <xm:f>random!$A$2:$A$3</xm:f>
          </x14:formula1>
          <xm:sqref>B14</xm:sqref>
        </x14:dataValidation>
        <x14:dataValidation type="list" showInputMessage="1" showErrorMessage="1" error="Please answer as Yes or No" prompt="Some monitors can provide verbal asistance to the user during reading providing guidance to simplify use." xr:uid="{00000000-0002-0000-2700-00000E000000}">
          <x14:formula1>
            <xm:f>random!$A$2:$A$3</xm:f>
          </x14:formula1>
          <xm:sqref>B15</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R40"/>
  <sheetViews>
    <sheetView topLeftCell="A7" workbookViewId="0">
      <selection activeCell="P35" sqref="P35"/>
    </sheetView>
  </sheetViews>
  <sheetFormatPr defaultRowHeight="15"/>
  <cols>
    <col min="1" max="1" width="43.7109375" customWidth="1"/>
    <col min="2" max="3" width="11" customWidth="1"/>
    <col min="4" max="4" width="10.5703125" customWidth="1"/>
    <col min="5" max="5" width="9.42578125" customWidth="1"/>
    <col min="6" max="17" width="11" customWidth="1"/>
    <col min="18" max="18" width="66.42578125" customWidth="1"/>
  </cols>
  <sheetData>
    <row r="1" spans="1:18">
      <c r="A1" s="70" t="s">
        <v>1248</v>
      </c>
      <c r="B1" t="s">
        <v>1169</v>
      </c>
      <c r="C1" t="s">
        <v>1170</v>
      </c>
      <c r="D1" t="s">
        <v>1961</v>
      </c>
      <c r="E1" t="s">
        <v>1962</v>
      </c>
      <c r="F1" t="s">
        <v>1204</v>
      </c>
      <c r="G1" t="s">
        <v>1197</v>
      </c>
      <c r="H1" t="s">
        <v>1198</v>
      </c>
      <c r="I1" t="s">
        <v>1960</v>
      </c>
      <c r="J1" t="s">
        <v>1199</v>
      </c>
      <c r="K1" t="s">
        <v>1200</v>
      </c>
      <c r="L1" t="s">
        <v>1201</v>
      </c>
      <c r="M1" t="s">
        <v>1214</v>
      </c>
      <c r="N1" t="s">
        <v>1206</v>
      </c>
      <c r="O1" t="s">
        <v>1209</v>
      </c>
      <c r="P1" t="s">
        <v>2025</v>
      </c>
      <c r="Q1" t="s">
        <v>593</v>
      </c>
      <c r="R1" t="s">
        <v>1168</v>
      </c>
    </row>
    <row r="2" spans="1:18">
      <c r="A2" t="b">
        <f>IF(Table26[[#This Row],[Column9]],Table26[[#This Row],[Column10]])</f>
        <v>0</v>
      </c>
      <c r="B2" s="17"/>
      <c r="C2" s="20" t="b">
        <f>AND('Blood Pressure Criteria'!B5,'Blood Pressure Criteria'!C3)</f>
        <v>0</v>
      </c>
      <c r="D2" s="20" t="b">
        <f>OR('Blood Pressure Criteria'!B4:C4)</f>
        <v>1</v>
      </c>
      <c r="E2" s="17" t="b">
        <f>AND('Blood Pressure Criteria'!C6)</f>
        <v>1</v>
      </c>
      <c r="F2" s="17" t="b">
        <f>AND('Blood Pressure Criteria'!C7)</f>
        <v>1</v>
      </c>
      <c r="G2" s="17"/>
      <c r="H2" s="20" t="b">
        <f>AND('Blood Pressure Criteria'!B8,'Blood Pressure Criteria'!C9)</f>
        <v>0</v>
      </c>
      <c r="I2" s="20" t="b">
        <f>OR('Blood Pressure Criteria'!B12:C12)</f>
        <v>1</v>
      </c>
      <c r="J2" s="67" t="b">
        <f>OR('Blood Pressure Criteria'!B13:C13)</f>
        <v>1</v>
      </c>
      <c r="K2" s="20" t="b">
        <f>AND('Blood Pressure Criteria'!B10,'Blood Pressure Criteria'!C11)</f>
        <v>0</v>
      </c>
      <c r="L2" s="17"/>
      <c r="M2" s="17" t="b">
        <f>AND('Blood Pressure Criteria'!C14)</f>
        <v>1</v>
      </c>
      <c r="N2" s="17" t="b">
        <f>AND('Blood Pressure Criteria'!C15)</f>
        <v>1</v>
      </c>
      <c r="O2" s="17" t="b">
        <f>AND('Blood Pressure Criteria'!C16)</f>
        <v>1</v>
      </c>
      <c r="P2" s="21"/>
      <c r="Q2" t="b">
        <f>AND(Table26[[#This Row],[Battery]:[Reading Reminder]])</f>
        <v>0</v>
      </c>
      <c r="R2" s="11" t="s">
        <v>1196</v>
      </c>
    </row>
    <row r="3" spans="1:18">
      <c r="A3" t="b">
        <f>IF(Table26[[#This Row],[Column9]],Table26[[#This Row],[Column10]])</f>
        <v>0</v>
      </c>
      <c r="B3" s="17"/>
      <c r="C3" s="20" t="b">
        <f>C2</f>
        <v>0</v>
      </c>
      <c r="D3" s="17" t="b">
        <f>AND('Blood Pressure Criteria'!C4)</f>
        <v>1</v>
      </c>
      <c r="E3" s="20" t="b">
        <f>OR('Blood Pressure Criteria'!B6:C6)</f>
        <v>1</v>
      </c>
      <c r="F3" s="17" t="b">
        <f>F2</f>
        <v>1</v>
      </c>
      <c r="G3" s="20" t="b">
        <f>AND('Blood Pressure Criteria'!B9,'Blood Pressure Criteria'!C8)</f>
        <v>0</v>
      </c>
      <c r="H3" s="17"/>
      <c r="I3" s="17" t="b">
        <f>AND('Blood Pressure Criteria'!C12)</f>
        <v>1</v>
      </c>
      <c r="J3" s="20" t="b">
        <f>J2</f>
        <v>1</v>
      </c>
      <c r="K3" s="17"/>
      <c r="L3" s="20" t="b">
        <f>AND('Blood Pressure Criteria'!B11,'Blood Pressure Criteria'!C10)</f>
        <v>0</v>
      </c>
      <c r="M3" s="17" t="b">
        <f>M2</f>
        <v>1</v>
      </c>
      <c r="N3" s="17" t="b">
        <f>N2</f>
        <v>1</v>
      </c>
      <c r="O3" s="17" t="b">
        <f>O2</f>
        <v>1</v>
      </c>
      <c r="P3" s="21"/>
      <c r="Q3" t="b">
        <f>AND(Table26[[#This Row],[Battery]:[Reading Reminder]])</f>
        <v>0</v>
      </c>
      <c r="R3" s="11" t="s">
        <v>1202</v>
      </c>
    </row>
    <row r="4" spans="1:18">
      <c r="A4" t="b">
        <f>IF(Table26[[#This Row],[Column9]],Table26[[#This Row],[Column10]])</f>
        <v>0</v>
      </c>
      <c r="B4" s="20" t="b">
        <f>AND('Blood Pressure Criteria'!B3,'Blood Pressure Criteria'!C5)</f>
        <v>0</v>
      </c>
      <c r="C4" s="17"/>
      <c r="D4" s="17" t="b">
        <f>D3</f>
        <v>1</v>
      </c>
      <c r="E4" s="17" t="b">
        <f>E2</f>
        <v>1</v>
      </c>
      <c r="F4" s="17" t="b">
        <f>F2</f>
        <v>1</v>
      </c>
      <c r="G4" s="20" t="b">
        <f>G3</f>
        <v>0</v>
      </c>
      <c r="H4" s="17"/>
      <c r="I4" s="17" t="b">
        <f>I3</f>
        <v>1</v>
      </c>
      <c r="J4" s="20" t="b">
        <f>J2</f>
        <v>1</v>
      </c>
      <c r="K4" s="17"/>
      <c r="L4" s="20" t="b">
        <f>L3</f>
        <v>0</v>
      </c>
      <c r="M4" s="20" t="b">
        <f>OR('Blood Pressure Criteria'!B14:C14)</f>
        <v>1</v>
      </c>
      <c r="N4" s="17" t="b">
        <f>N2</f>
        <v>1</v>
      </c>
      <c r="O4" s="17" t="b">
        <f>O2</f>
        <v>1</v>
      </c>
      <c r="P4" s="21"/>
      <c r="Q4" t="b">
        <f>AND(Table26[[#This Row],[Battery]:[Reading Reminder]])</f>
        <v>0</v>
      </c>
      <c r="R4" s="11" t="s">
        <v>1203</v>
      </c>
    </row>
    <row r="5" spans="1:18">
      <c r="A5" t="b">
        <f>IF(Table26[[#This Row],[Column9]],Table26[[#This Row],[Column10]])</f>
        <v>0</v>
      </c>
      <c r="B5" s="20" t="b">
        <f>B4</f>
        <v>0</v>
      </c>
      <c r="C5" s="17"/>
      <c r="D5" s="20" t="b">
        <f>D2</f>
        <v>1</v>
      </c>
      <c r="E5" s="17" t="b">
        <f>E2</f>
        <v>1</v>
      </c>
      <c r="F5" s="20" t="b">
        <f>OR('Blood Pressure Criteria'!B7:C7)</f>
        <v>1</v>
      </c>
      <c r="G5" s="20" t="b">
        <f>G3</f>
        <v>0</v>
      </c>
      <c r="H5" s="17"/>
      <c r="I5" s="17" t="b">
        <f>I3</f>
        <v>1</v>
      </c>
      <c r="J5" s="20" t="b">
        <f>J2</f>
        <v>1</v>
      </c>
      <c r="K5" s="17"/>
      <c r="L5" s="20" t="b">
        <f>L3</f>
        <v>0</v>
      </c>
      <c r="M5" s="20" t="b">
        <f>M4</f>
        <v>1</v>
      </c>
      <c r="N5" s="17" t="b">
        <f>N2</f>
        <v>1</v>
      </c>
      <c r="O5" s="17" t="b">
        <f>O2</f>
        <v>1</v>
      </c>
      <c r="P5" s="21"/>
      <c r="Q5" t="b">
        <f>AND(Table26[[#This Row],[Battery]:[Reading Reminder]])</f>
        <v>0</v>
      </c>
      <c r="R5" s="11" t="s">
        <v>1205</v>
      </c>
    </row>
    <row r="6" spans="1:18">
      <c r="A6" t="b">
        <f>IF(Table26[[#This Row],[Column9]],Table26[[#This Row],[Column10]])</f>
        <v>0</v>
      </c>
      <c r="B6" s="17"/>
      <c r="C6" s="20" t="b">
        <f>C2</f>
        <v>0</v>
      </c>
      <c r="D6" s="20" t="b">
        <f>D2</f>
        <v>1</v>
      </c>
      <c r="E6" s="20" t="b">
        <f>E3</f>
        <v>1</v>
      </c>
      <c r="F6" s="17" t="b">
        <f>F2</f>
        <v>1</v>
      </c>
      <c r="G6" s="20" t="b">
        <f>G3</f>
        <v>0</v>
      </c>
      <c r="H6" s="17"/>
      <c r="I6" s="20" t="b">
        <f>I2</f>
        <v>1</v>
      </c>
      <c r="J6" s="20" t="b">
        <f>J2</f>
        <v>1</v>
      </c>
      <c r="K6" s="17"/>
      <c r="L6" s="20" t="b">
        <f>L3</f>
        <v>0</v>
      </c>
      <c r="M6" s="20" t="b">
        <f>M4</f>
        <v>1</v>
      </c>
      <c r="N6" s="20" t="b">
        <f>OR('Blood Pressure Criteria'!B15:C15)</f>
        <v>1</v>
      </c>
      <c r="O6" s="17" t="b">
        <f>O2</f>
        <v>1</v>
      </c>
      <c r="P6" s="21"/>
      <c r="Q6" t="b">
        <f>AND(Table26[[#This Row],[Battery]:[Reading Reminder]])</f>
        <v>0</v>
      </c>
      <c r="R6" s="11" t="s">
        <v>1207</v>
      </c>
    </row>
    <row r="7" spans="1:18">
      <c r="A7" t="b">
        <f>IF(Table26[[#This Row],[Column9]],Table26[[#This Row],[Column10]])</f>
        <v>0</v>
      </c>
      <c r="B7" s="17"/>
      <c r="C7" s="20" t="b">
        <f>C2</f>
        <v>0</v>
      </c>
      <c r="D7" s="17" t="b">
        <f>D3</f>
        <v>1</v>
      </c>
      <c r="E7" s="20" t="b">
        <f>E3</f>
        <v>1</v>
      </c>
      <c r="F7" s="17" t="b">
        <f>F2</f>
        <v>1</v>
      </c>
      <c r="G7" s="20" t="b">
        <f>G3</f>
        <v>0</v>
      </c>
      <c r="H7" s="17"/>
      <c r="I7" s="17" t="b">
        <f>I3</f>
        <v>1</v>
      </c>
      <c r="J7" s="20" t="b">
        <f>J2</f>
        <v>1</v>
      </c>
      <c r="K7" s="20" t="b">
        <f>K2</f>
        <v>0</v>
      </c>
      <c r="L7" s="17"/>
      <c r="M7" s="20" t="b">
        <f>M4</f>
        <v>1</v>
      </c>
      <c r="N7" s="17" t="b">
        <f>N2</f>
        <v>1</v>
      </c>
      <c r="O7" s="20" t="b">
        <f>OR('Blood Pressure Criteria'!B16:C16)</f>
        <v>1</v>
      </c>
      <c r="P7" s="21"/>
      <c r="Q7" t="b">
        <f>AND(Table26[[#This Row],[Battery]:[Reading Reminder]])</f>
        <v>0</v>
      </c>
      <c r="R7" s="11" t="s">
        <v>1208</v>
      </c>
    </row>
    <row r="8" spans="1:18">
      <c r="A8" t="b">
        <f>IF(Table26[[#This Row],[Column9]],Table26[[#This Row],[Column10]])</f>
        <v>0</v>
      </c>
      <c r="B8" s="17"/>
      <c r="C8" s="20" t="b">
        <f>C2</f>
        <v>0</v>
      </c>
      <c r="D8" s="17" t="b">
        <f>D3</f>
        <v>1</v>
      </c>
      <c r="E8" s="20" t="b">
        <f>E3</f>
        <v>1</v>
      </c>
      <c r="F8" s="17" t="b">
        <f>F2</f>
        <v>1</v>
      </c>
      <c r="G8" s="20" t="b">
        <f>G3</f>
        <v>0</v>
      </c>
      <c r="H8" s="17"/>
      <c r="I8" s="20" t="b">
        <f>I2</f>
        <v>1</v>
      </c>
      <c r="J8" s="20" t="b">
        <f>J2</f>
        <v>1</v>
      </c>
      <c r="K8" s="17"/>
      <c r="L8" s="20" t="b">
        <f>L3</f>
        <v>0</v>
      </c>
      <c r="M8" s="20" t="b">
        <f>M4</f>
        <v>1</v>
      </c>
      <c r="N8" s="17" t="b">
        <f>N2</f>
        <v>1</v>
      </c>
      <c r="O8" s="20" t="b">
        <f>O7</f>
        <v>1</v>
      </c>
      <c r="P8" s="21"/>
      <c r="Q8" t="b">
        <f>AND(Table26[[#This Row],[Battery]:[Reading Reminder]])</f>
        <v>0</v>
      </c>
      <c r="R8" s="11" t="s">
        <v>1210</v>
      </c>
    </row>
    <row r="9" spans="1:18">
      <c r="A9" t="b">
        <f>IF(Table26[[#This Row],[Column9]],Table26[[#This Row],[Column10]])</f>
        <v>0</v>
      </c>
      <c r="B9" s="17"/>
      <c r="C9" s="20" t="b">
        <f>C2</f>
        <v>0</v>
      </c>
      <c r="D9" s="20" t="b">
        <f>D2</f>
        <v>1</v>
      </c>
      <c r="E9" s="20" t="b">
        <f>E3</f>
        <v>1</v>
      </c>
      <c r="F9" s="20" t="b">
        <f>F5</f>
        <v>1</v>
      </c>
      <c r="G9" s="17"/>
      <c r="H9" s="20" t="b">
        <f>H2</f>
        <v>0</v>
      </c>
      <c r="I9" s="20" t="b">
        <f>I2</f>
        <v>1</v>
      </c>
      <c r="J9" s="20" t="b">
        <f>J2</f>
        <v>1</v>
      </c>
      <c r="K9" s="20" t="b">
        <f>K2</f>
        <v>0</v>
      </c>
      <c r="L9" s="17"/>
      <c r="M9" s="17" t="b">
        <f>M2</f>
        <v>1</v>
      </c>
      <c r="N9" s="17" t="b">
        <f>N2</f>
        <v>1</v>
      </c>
      <c r="O9" s="17" t="b">
        <f>O2</f>
        <v>1</v>
      </c>
      <c r="P9" s="21"/>
      <c r="Q9" t="b">
        <f>AND(Table26[[#This Row],[Battery]:[Reading Reminder]])</f>
        <v>0</v>
      </c>
      <c r="R9" s="108" t="s">
        <v>1211</v>
      </c>
    </row>
    <row r="10" spans="1:18">
      <c r="A10" t="b">
        <f>IF(Table26[[#This Row],[Column9]],Table26[[#This Row],[Column10]])</f>
        <v>0</v>
      </c>
      <c r="B10" s="17"/>
      <c r="C10" s="20" t="b">
        <f>C2</f>
        <v>0</v>
      </c>
      <c r="D10" s="17" t="b">
        <f>D3</f>
        <v>1</v>
      </c>
      <c r="E10" s="20" t="b">
        <f>E3</f>
        <v>1</v>
      </c>
      <c r="F10" s="17" t="b">
        <f>F2</f>
        <v>1</v>
      </c>
      <c r="G10" s="20" t="b">
        <f>G3</f>
        <v>0</v>
      </c>
      <c r="H10" s="17"/>
      <c r="I10" s="17" t="b">
        <f>I3</f>
        <v>1</v>
      </c>
      <c r="J10" s="20" t="b">
        <f>J2</f>
        <v>1</v>
      </c>
      <c r="K10" s="17"/>
      <c r="L10" s="20" t="b">
        <f>L3</f>
        <v>0</v>
      </c>
      <c r="M10" s="17" t="b">
        <f>M2</f>
        <v>1</v>
      </c>
      <c r="N10" s="17" t="b">
        <f>N2</f>
        <v>1</v>
      </c>
      <c r="O10" s="17" t="b">
        <f>O2</f>
        <v>1</v>
      </c>
      <c r="P10" s="21"/>
      <c r="Q10" t="b">
        <f>AND(Table26[[#This Row],[Battery]:[Reading Reminder]])</f>
        <v>0</v>
      </c>
      <c r="R10" s="11" t="s">
        <v>1212</v>
      </c>
    </row>
    <row r="11" spans="1:18">
      <c r="A11" s="16" t="e">
        <f>IF(Table26[[#This Row],[Column9]],Table26[[#This Row],[Column10]])</f>
        <v>#VALUE!</v>
      </c>
      <c r="B11" s="16"/>
      <c r="C11" s="16"/>
      <c r="D11" s="16"/>
      <c r="E11" s="16"/>
      <c r="F11" s="16"/>
      <c r="G11" s="16"/>
      <c r="H11" s="16"/>
      <c r="I11" s="16"/>
      <c r="J11" s="16"/>
      <c r="K11" s="16"/>
      <c r="L11" s="16"/>
      <c r="M11" s="16"/>
      <c r="N11" s="16"/>
      <c r="O11" s="16"/>
      <c r="P11" s="16"/>
      <c r="Q11" s="16" t="e">
        <f>AND(Table26[[#This Row],[Battery]:[Reading Reminder]])</f>
        <v>#VALUE!</v>
      </c>
      <c r="R11" s="16"/>
    </row>
    <row r="12" spans="1:18">
      <c r="A12" t="b">
        <f>IF(Table26[[#This Row],[Column9]],Table26[[#This Row],[Column10]])</f>
        <v>0</v>
      </c>
      <c r="B12" s="20" t="b">
        <f>B4</f>
        <v>0</v>
      </c>
      <c r="C12" s="17"/>
      <c r="D12" s="20" t="b">
        <f>D2</f>
        <v>1</v>
      </c>
      <c r="E12" s="17" t="b">
        <f>E2</f>
        <v>1</v>
      </c>
      <c r="F12" s="17" t="b">
        <f>F2</f>
        <v>1</v>
      </c>
      <c r="G12" s="20" t="b">
        <f>G3</f>
        <v>0</v>
      </c>
      <c r="H12" s="17"/>
      <c r="I12" s="17" t="b">
        <f>I3</f>
        <v>1</v>
      </c>
      <c r="J12" s="20" t="b">
        <f>J2</f>
        <v>1</v>
      </c>
      <c r="K12" s="20" t="b">
        <f>K2</f>
        <v>0</v>
      </c>
      <c r="L12" s="17"/>
      <c r="M12" s="20" t="b">
        <f>M4</f>
        <v>1</v>
      </c>
      <c r="N12" s="17" t="b">
        <f>N2</f>
        <v>1</v>
      </c>
      <c r="O12" s="17" t="b">
        <f>O2</f>
        <v>1</v>
      </c>
      <c r="P12" s="21"/>
      <c r="Q12" t="b">
        <f>AND(Table26[[#This Row],[Battery]:[Reading Reminder]])</f>
        <v>0</v>
      </c>
      <c r="R12" s="11" t="s">
        <v>1213</v>
      </c>
    </row>
    <row r="13" spans="1:18">
      <c r="A13" t="b">
        <f>IF(Table26[[#This Row],[Column9]],Table26[[#This Row],[Column10]])</f>
        <v>0</v>
      </c>
      <c r="B13" s="20" t="b">
        <f>B4</f>
        <v>0</v>
      </c>
      <c r="C13" s="17"/>
      <c r="D13" s="17" t="b">
        <f>D3</f>
        <v>1</v>
      </c>
      <c r="E13" s="17" t="b">
        <f>E2</f>
        <v>1</v>
      </c>
      <c r="F13" s="17" t="b">
        <f>F2</f>
        <v>1</v>
      </c>
      <c r="G13" s="20" t="b">
        <f>G3</f>
        <v>0</v>
      </c>
      <c r="H13" s="17"/>
      <c r="I13" s="17" t="b">
        <f>I3</f>
        <v>1</v>
      </c>
      <c r="J13" s="20" t="b">
        <f>J2</f>
        <v>1</v>
      </c>
      <c r="K13" s="20" t="b">
        <f>K2</f>
        <v>0</v>
      </c>
      <c r="L13" s="17"/>
      <c r="M13" s="20" t="b">
        <f>M4</f>
        <v>1</v>
      </c>
      <c r="N13" s="17" t="b">
        <f>N2</f>
        <v>1</v>
      </c>
      <c r="O13" s="17" t="b">
        <f>O2</f>
        <v>1</v>
      </c>
      <c r="P13" s="21"/>
      <c r="Q13" t="b">
        <f>AND(Table26[[#This Row],[Battery]:[Reading Reminder]])</f>
        <v>0</v>
      </c>
      <c r="R13" s="11" t="s">
        <v>1215</v>
      </c>
    </row>
    <row r="14" spans="1:18">
      <c r="A14" t="b">
        <f>IF(Table26[[#This Row],[Column9]],Table26[[#This Row],[Column10]])</f>
        <v>0</v>
      </c>
      <c r="B14" s="17"/>
      <c r="C14" s="20" t="b">
        <f>C2</f>
        <v>0</v>
      </c>
      <c r="D14" s="20" t="b">
        <f>D2</f>
        <v>1</v>
      </c>
      <c r="E14" s="17" t="b">
        <f>E2</f>
        <v>1</v>
      </c>
      <c r="F14" s="20" t="b">
        <f>F5</f>
        <v>1</v>
      </c>
      <c r="G14" s="17"/>
      <c r="H14" s="20" t="b">
        <f>H2</f>
        <v>0</v>
      </c>
      <c r="I14" s="17" t="b">
        <f>I3</f>
        <v>1</v>
      </c>
      <c r="J14" s="20" t="b">
        <f>J2</f>
        <v>1</v>
      </c>
      <c r="K14" s="20" t="b">
        <f>K2</f>
        <v>0</v>
      </c>
      <c r="L14" s="17"/>
      <c r="M14" s="17" t="b">
        <f>M2</f>
        <v>1</v>
      </c>
      <c r="N14" s="17" t="b">
        <f>N2</f>
        <v>1</v>
      </c>
      <c r="O14" s="17" t="b">
        <f>O2</f>
        <v>1</v>
      </c>
      <c r="P14" s="21"/>
      <c r="Q14" t="b">
        <f>AND(Table26[[#This Row],[Battery]:[Reading Reminder]])</f>
        <v>0</v>
      </c>
      <c r="R14" s="11" t="s">
        <v>1216</v>
      </c>
    </row>
    <row r="15" spans="1:18">
      <c r="A15" t="b">
        <f>IF(Table26[[#This Row],[Column9]],Table26[[#This Row],[Column10]])</f>
        <v>0</v>
      </c>
      <c r="B15" s="17"/>
      <c r="C15" s="20" t="b">
        <f>C2</f>
        <v>0</v>
      </c>
      <c r="D15" s="20" t="b">
        <f>D2</f>
        <v>1</v>
      </c>
      <c r="E15" s="17" t="b">
        <f>E2</f>
        <v>1</v>
      </c>
      <c r="F15" s="20" t="b">
        <f>F5</f>
        <v>1</v>
      </c>
      <c r="G15" s="17"/>
      <c r="H15" s="20" t="b">
        <f>H2</f>
        <v>0</v>
      </c>
      <c r="I15" s="17" t="b">
        <f>I3</f>
        <v>1</v>
      </c>
      <c r="J15" s="20" t="b">
        <f>J2</f>
        <v>1</v>
      </c>
      <c r="K15" s="20" t="b">
        <f>K2</f>
        <v>0</v>
      </c>
      <c r="L15" s="17"/>
      <c r="M15" s="17" t="b">
        <f>M2</f>
        <v>1</v>
      </c>
      <c r="N15" s="17" t="b">
        <f>N2</f>
        <v>1</v>
      </c>
      <c r="O15" s="17" t="b">
        <f>O2</f>
        <v>1</v>
      </c>
      <c r="P15" s="21"/>
      <c r="Q15" t="b">
        <f>AND(Table26[[#This Row],[Battery]:[Reading Reminder]])</f>
        <v>0</v>
      </c>
      <c r="R15" s="11" t="s">
        <v>1217</v>
      </c>
    </row>
    <row r="16" spans="1:18">
      <c r="A16" t="b">
        <f>IF(Table26[[#This Row],[Column9]],Table26[[#This Row],[Column10]])</f>
        <v>0</v>
      </c>
      <c r="B16" s="17"/>
      <c r="C16" s="20" t="b">
        <f>C2</f>
        <v>0</v>
      </c>
      <c r="D16" s="20" t="b">
        <f>D2</f>
        <v>1</v>
      </c>
      <c r="E16" s="17" t="b">
        <f>E2</f>
        <v>1</v>
      </c>
      <c r="F16" s="20" t="b">
        <f>F5</f>
        <v>1</v>
      </c>
      <c r="G16" s="17"/>
      <c r="H16" s="20" t="b">
        <f>H2</f>
        <v>0</v>
      </c>
      <c r="I16" s="17" t="b">
        <f>I3</f>
        <v>1</v>
      </c>
      <c r="J16" s="20" t="b">
        <f>J2</f>
        <v>1</v>
      </c>
      <c r="K16" s="20" t="b">
        <f>K2</f>
        <v>0</v>
      </c>
      <c r="L16" s="17"/>
      <c r="M16" s="17" t="b">
        <f>M2</f>
        <v>1</v>
      </c>
      <c r="N16" s="17" t="b">
        <f>N2</f>
        <v>1</v>
      </c>
      <c r="O16" s="17" t="b">
        <f>O2</f>
        <v>1</v>
      </c>
      <c r="P16" s="21"/>
      <c r="Q16" t="b">
        <f>AND(Table26[[#This Row],[Battery]:[Reading Reminder]])</f>
        <v>0</v>
      </c>
      <c r="R16" s="11" t="s">
        <v>1218</v>
      </c>
    </row>
    <row r="17" spans="1:18">
      <c r="A17" t="b">
        <f>IF(Table26[[#This Row],[Column9]],Table26[[#This Row],[Column10]])</f>
        <v>0</v>
      </c>
      <c r="B17" s="17"/>
      <c r="C17" s="20" t="b">
        <f>C2</f>
        <v>0</v>
      </c>
      <c r="D17" s="20" t="b">
        <f>D2</f>
        <v>1</v>
      </c>
      <c r="E17" s="20" t="b">
        <f>E3</f>
        <v>1</v>
      </c>
      <c r="F17" s="20" t="b">
        <f>F5</f>
        <v>1</v>
      </c>
      <c r="G17" s="17"/>
      <c r="H17" s="20" t="b">
        <f>H2</f>
        <v>0</v>
      </c>
      <c r="I17" s="17" t="b">
        <f>I3</f>
        <v>1</v>
      </c>
      <c r="J17" s="20" t="b">
        <f>J2</f>
        <v>1</v>
      </c>
      <c r="K17" s="20" t="b">
        <f>K2</f>
        <v>0</v>
      </c>
      <c r="L17" s="17"/>
      <c r="M17" s="17" t="b">
        <f>M2</f>
        <v>1</v>
      </c>
      <c r="N17" s="17" t="b">
        <f>N2</f>
        <v>1</v>
      </c>
      <c r="O17" s="17" t="b">
        <f>O2</f>
        <v>1</v>
      </c>
      <c r="P17" s="21"/>
      <c r="Q17" t="b">
        <f>AND(Table26[[#This Row],[Battery]:[Reading Reminder]])</f>
        <v>0</v>
      </c>
      <c r="R17" s="11" t="s">
        <v>1219</v>
      </c>
    </row>
    <row r="18" spans="1:18">
      <c r="A18" t="b">
        <f>IF(Table26[[#This Row],[Column9]],Table26[[#This Row],[Column10]])</f>
        <v>0</v>
      </c>
      <c r="B18" s="17"/>
      <c r="C18" s="20" t="b">
        <f>C2</f>
        <v>0</v>
      </c>
      <c r="D18" s="20" t="b">
        <f>D2</f>
        <v>1</v>
      </c>
      <c r="E18" s="17" t="b">
        <f>E2</f>
        <v>1</v>
      </c>
      <c r="F18" s="20" t="b">
        <f>F5</f>
        <v>1</v>
      </c>
      <c r="G18" s="17"/>
      <c r="H18" s="20" t="b">
        <f>H2</f>
        <v>0</v>
      </c>
      <c r="I18" s="17" t="b">
        <f>I3</f>
        <v>1</v>
      </c>
      <c r="J18" s="20" t="b">
        <f>J2</f>
        <v>1</v>
      </c>
      <c r="K18" s="20" t="b">
        <f>K2</f>
        <v>0</v>
      </c>
      <c r="L18" s="17"/>
      <c r="M18" s="17" t="b">
        <f>M2</f>
        <v>1</v>
      </c>
      <c r="N18" s="17" t="b">
        <f>N2</f>
        <v>1</v>
      </c>
      <c r="O18" s="17" t="b">
        <f>O2</f>
        <v>1</v>
      </c>
      <c r="P18" s="21"/>
      <c r="Q18" t="b">
        <f>AND(Table26[[#This Row],[Battery]:[Reading Reminder]])</f>
        <v>0</v>
      </c>
      <c r="R18" s="11" t="s">
        <v>1220</v>
      </c>
    </row>
    <row r="19" spans="1:18">
      <c r="A19" t="b">
        <f>IF(Table26[[#This Row],[Column9]],Table26[[#This Row],[Column10]])</f>
        <v>0</v>
      </c>
      <c r="B19" s="17"/>
      <c r="C19" s="20" t="b">
        <f>C2</f>
        <v>0</v>
      </c>
      <c r="D19" s="20" t="b">
        <f>D2</f>
        <v>1</v>
      </c>
      <c r="E19" s="20" t="b">
        <f>E3</f>
        <v>1</v>
      </c>
      <c r="F19" s="20" t="b">
        <f>F5</f>
        <v>1</v>
      </c>
      <c r="G19" s="17"/>
      <c r="H19" s="20" t="b">
        <f>H2</f>
        <v>0</v>
      </c>
      <c r="I19" s="17" t="b">
        <f>I3</f>
        <v>1</v>
      </c>
      <c r="J19" s="20" t="b">
        <f>J2</f>
        <v>1</v>
      </c>
      <c r="K19" s="20" t="b">
        <f>K2</f>
        <v>0</v>
      </c>
      <c r="L19" s="17"/>
      <c r="M19" s="17" t="b">
        <f>M2</f>
        <v>1</v>
      </c>
      <c r="N19" s="17" t="b">
        <f>N2</f>
        <v>1</v>
      </c>
      <c r="O19" s="17" t="b">
        <f>O2</f>
        <v>1</v>
      </c>
      <c r="P19" s="21"/>
      <c r="Q19" t="b">
        <f>AND(Table26[[#This Row],[Battery]:[Reading Reminder]])</f>
        <v>0</v>
      </c>
      <c r="R19" s="11" t="s">
        <v>1221</v>
      </c>
    </row>
    <row r="20" spans="1:18">
      <c r="A20" s="16" t="e">
        <f>IF(Table26[[#This Row],[Column9]],Table26[[#This Row],[Column10]])</f>
        <v>#VALUE!</v>
      </c>
      <c r="B20" s="16"/>
      <c r="C20" s="16"/>
      <c r="D20" s="16"/>
      <c r="E20" s="16"/>
      <c r="F20" s="16"/>
      <c r="G20" s="16"/>
      <c r="H20" s="16"/>
      <c r="I20" s="16"/>
      <c r="J20" s="16"/>
      <c r="K20" s="16"/>
      <c r="L20" s="16"/>
      <c r="M20" s="16"/>
      <c r="N20" s="16"/>
      <c r="O20" s="16"/>
      <c r="P20" s="16"/>
      <c r="Q20" s="16" t="e">
        <f>AND(Table26[[#This Row],[Battery]:[Reading Reminder]])</f>
        <v>#VALUE!</v>
      </c>
      <c r="R20" s="16"/>
    </row>
    <row r="21" spans="1:18">
      <c r="A21" t="b">
        <f>IF(Table26[[#This Row],[Column9]],Table26[[#This Row],[Column10]])</f>
        <v>0</v>
      </c>
      <c r="B21" s="17"/>
      <c r="C21" s="67" t="b">
        <f>C2</f>
        <v>0</v>
      </c>
      <c r="D21" s="67" t="b">
        <f>D2</f>
        <v>1</v>
      </c>
      <c r="E21" s="207" t="b">
        <f>E2</f>
        <v>1</v>
      </c>
      <c r="F21" s="17" t="b">
        <f>F2</f>
        <v>1</v>
      </c>
      <c r="G21" s="20" t="b">
        <f>G3</f>
        <v>0</v>
      </c>
      <c r="H21" s="17"/>
      <c r="I21" s="17" t="b">
        <f>I3</f>
        <v>1</v>
      </c>
      <c r="J21" s="17" t="b">
        <f>AND('Blood Pressure Criteria'!C13)</f>
        <v>1</v>
      </c>
      <c r="K21" s="17"/>
      <c r="L21" s="20" t="b">
        <f>L3</f>
        <v>0</v>
      </c>
      <c r="M21" s="20" t="b">
        <f>M4</f>
        <v>1</v>
      </c>
      <c r="N21" s="17" t="b">
        <f>N2</f>
        <v>1</v>
      </c>
      <c r="O21" s="17" t="b">
        <f>O2</f>
        <v>1</v>
      </c>
      <c r="P21" s="21"/>
      <c r="Q21" s="21" t="b">
        <f>AND(Table26[[#This Row],[Battery]:[Reading Reminder]])</f>
        <v>0</v>
      </c>
      <c r="R21" s="11" t="s">
        <v>1222</v>
      </c>
    </row>
    <row r="22" spans="1:18">
      <c r="A22" s="16" t="e">
        <f>IF(Table26[[#This Row],[Column9]],Table26[[#This Row],[Column10]])</f>
        <v>#VALUE!</v>
      </c>
      <c r="B22" s="16"/>
      <c r="C22" s="16"/>
      <c r="D22" s="16"/>
      <c r="E22" s="16"/>
      <c r="F22" s="16"/>
      <c r="G22" s="16"/>
      <c r="H22" s="16"/>
      <c r="I22" s="16"/>
      <c r="J22" s="16"/>
      <c r="K22" s="16"/>
      <c r="L22" s="16"/>
      <c r="M22" s="16"/>
      <c r="N22" s="16"/>
      <c r="O22" s="16"/>
      <c r="P22" s="16"/>
      <c r="Q22" s="16" t="e">
        <f>AND(Table26[[#This Row],[Battery]:[Reading Reminder]])</f>
        <v>#VALUE!</v>
      </c>
      <c r="R22" s="16"/>
    </row>
    <row r="23" spans="1:18">
      <c r="A23" t="e">
        <f>IF(Table26[[#This Row],[Column9]],Table26[[#This Row],[Column10]])</f>
        <v>#VALUE!</v>
      </c>
      <c r="Q23" t="e">
        <f>AND(Table26[[#This Row],[Battery]:[Reading Reminder]])</f>
        <v>#VALUE!</v>
      </c>
      <c r="R23" t="s">
        <v>2026</v>
      </c>
    </row>
    <row r="24" spans="1:18">
      <c r="A24" t="e">
        <f>IF(Table26[[#This Row],[Column9]],Table26[[#This Row],[Column10]])</f>
        <v>#VALUE!</v>
      </c>
      <c r="Q24" t="e">
        <f>AND(Table26[[#This Row],[Battery]:[Reading Reminder]])</f>
        <v>#VALUE!</v>
      </c>
      <c r="R24" t="s">
        <v>2027</v>
      </c>
    </row>
    <row r="25" spans="1:18">
      <c r="A25" t="e">
        <f>IF(Table26[[#This Row],[Column9]],Table26[[#This Row],[Column10]])</f>
        <v>#VALUE!</v>
      </c>
      <c r="Q25" t="e">
        <f>AND(Table26[[#This Row],[Battery]:[Reading Reminder]])</f>
        <v>#VALUE!</v>
      </c>
      <c r="R25" t="s">
        <v>2028</v>
      </c>
    </row>
    <row r="26" spans="1:18">
      <c r="A26" t="e">
        <f>IF(Table26[[#This Row],[Column9]],Table26[[#This Row],[Column10]])</f>
        <v>#VALUE!</v>
      </c>
      <c r="Q26" t="e">
        <f>AND(Table26[[#This Row],[Battery]:[Reading Reminder]])</f>
        <v>#VALUE!</v>
      </c>
      <c r="R26" t="s">
        <v>2029</v>
      </c>
    </row>
    <row r="27" spans="1:18">
      <c r="A27" t="e">
        <f>IF(Table26[[#This Row],[Column9]],Table26[[#This Row],[Column10]])</f>
        <v>#VALUE!</v>
      </c>
      <c r="Q27" t="e">
        <f>AND(Table26[[#This Row],[Battery]:[Reading Reminder]])</f>
        <v>#VALUE!</v>
      </c>
      <c r="R27" t="s">
        <v>2030</v>
      </c>
    </row>
    <row r="28" spans="1:18">
      <c r="A28" t="e">
        <f>IF(Table26[[#This Row],[Column9]],Table26[[#This Row],[Column10]])</f>
        <v>#VALUE!</v>
      </c>
      <c r="Q28" t="e">
        <f>AND(Table26[[#This Row],[Battery]:[Reading Reminder]])</f>
        <v>#VALUE!</v>
      </c>
      <c r="R28" t="s">
        <v>2031</v>
      </c>
    </row>
    <row r="29" spans="1:18">
      <c r="A29" t="e">
        <f>IF(Table26[[#This Row],[Column9]],Table26[[#This Row],[Column10]])</f>
        <v>#VALUE!</v>
      </c>
      <c r="Q29" t="e">
        <f>AND(Table26[[#This Row],[Battery]:[Reading Reminder]])</f>
        <v>#VALUE!</v>
      </c>
      <c r="R29" t="s">
        <v>2032</v>
      </c>
    </row>
    <row r="30" spans="1:18">
      <c r="A30" t="e">
        <f>IF(Table26[[#This Row],[Column9]],Table26[[#This Row],[Column10]])</f>
        <v>#VALUE!</v>
      </c>
      <c r="Q30" t="e">
        <f>AND(Table26[[#This Row],[Battery]:[Reading Reminder]])</f>
        <v>#VALUE!</v>
      </c>
      <c r="R30" t="s">
        <v>2033</v>
      </c>
    </row>
    <row r="31" spans="1:18">
      <c r="A31" t="e">
        <f>IF(Table26[[#This Row],[Column9]],Table26[[#This Row],[Column10]])</f>
        <v>#VALUE!</v>
      </c>
      <c r="Q31" t="e">
        <f>AND(Table26[[#This Row],[Battery]:[Reading Reminder]])</f>
        <v>#VALUE!</v>
      </c>
      <c r="R31" t="s">
        <v>2034</v>
      </c>
    </row>
    <row r="32" spans="1:18">
      <c r="A32" t="e">
        <f>IF(Table26[[#This Row],[Column9]],Table26[[#This Row],[Column10]])</f>
        <v>#VALUE!</v>
      </c>
      <c r="Q32" t="e">
        <f>AND(Table26[[#This Row],[Battery]:[Reading Reminder]])</f>
        <v>#VALUE!</v>
      </c>
      <c r="R32" t="s">
        <v>2035</v>
      </c>
    </row>
    <row r="33" spans="1:18">
      <c r="A33" t="e">
        <f>IF(Table26[[#This Row],[Column9]],Table26[[#This Row],[Column10]])</f>
        <v>#VALUE!</v>
      </c>
      <c r="Q33" t="e">
        <f>AND(Table26[[#This Row],[Battery]:[Reading Reminder]])</f>
        <v>#VALUE!</v>
      </c>
      <c r="R33" t="s">
        <v>2036</v>
      </c>
    </row>
    <row r="34" spans="1:18">
      <c r="A34" t="e">
        <f>IF(Table26[[#This Row],[Column9]],Table26[[#This Row],[Column10]])</f>
        <v>#VALUE!</v>
      </c>
      <c r="Q34" t="e">
        <f>AND(Table26[[#This Row],[Battery]:[Reading Reminder]])</f>
        <v>#VALUE!</v>
      </c>
      <c r="R34" t="s">
        <v>2037</v>
      </c>
    </row>
    <row r="35" spans="1:18">
      <c r="A35" t="e">
        <f>IF(Table26[[#This Row],[Column9]],Table26[[#This Row],[Column10]])</f>
        <v>#VALUE!</v>
      </c>
      <c r="Q35" t="e">
        <f>AND(Table26[[#This Row],[Battery]:[Reading Reminder]])</f>
        <v>#VALUE!</v>
      </c>
      <c r="R35" t="s">
        <v>2038</v>
      </c>
    </row>
    <row r="36" spans="1:18">
      <c r="A36" t="e">
        <f>IF(Table26[[#This Row],[Column9]],Table26[[#This Row],[Column10]])</f>
        <v>#VALUE!</v>
      </c>
      <c r="Q36" t="e">
        <f>AND(Table26[[#This Row],[Battery]:[Reading Reminder]])</f>
        <v>#VALUE!</v>
      </c>
      <c r="R36" t="s">
        <v>2039</v>
      </c>
    </row>
    <row r="39" spans="1:18">
      <c r="N39" s="11" t="s">
        <v>2023</v>
      </c>
    </row>
    <row r="40" spans="1:18">
      <c r="N40" t="s">
        <v>2024</v>
      </c>
    </row>
  </sheetData>
  <hyperlinks>
    <hyperlink ref="R2" r:id="rId1" display="https://lifesourcecanada.com/product/premium-blood-pressure-monitor/" xr:uid="{00000000-0004-0000-2800-000000000000}"/>
    <hyperlink ref="R3" r:id="rId2" xr:uid="{00000000-0004-0000-2800-000001000000}"/>
    <hyperlink ref="R4" r:id="rId3" xr:uid="{00000000-0004-0000-2800-000002000000}"/>
    <hyperlink ref="R5" r:id="rId4" xr:uid="{00000000-0004-0000-2800-000003000000}"/>
    <hyperlink ref="R6" r:id="rId5" xr:uid="{00000000-0004-0000-2800-000004000000}"/>
    <hyperlink ref="R7" r:id="rId6" xr:uid="{00000000-0004-0000-2800-000005000000}"/>
    <hyperlink ref="R8" r:id="rId7" xr:uid="{00000000-0004-0000-2800-000006000000}"/>
    <hyperlink ref="R9" r:id="rId8" xr:uid="{00000000-0004-0000-2800-000007000000}"/>
    <hyperlink ref="R10" r:id="rId9" xr:uid="{00000000-0004-0000-2800-000008000000}"/>
    <hyperlink ref="R12" r:id="rId10" xr:uid="{00000000-0004-0000-2800-000009000000}"/>
    <hyperlink ref="R13" r:id="rId11" xr:uid="{00000000-0004-0000-2800-00000A000000}"/>
    <hyperlink ref="R14" r:id="rId12" xr:uid="{00000000-0004-0000-2800-00000B000000}"/>
    <hyperlink ref="R15" r:id="rId13" xr:uid="{00000000-0004-0000-2800-00000C000000}"/>
    <hyperlink ref="R16" r:id="rId14" xr:uid="{00000000-0004-0000-2800-00000D000000}"/>
    <hyperlink ref="R17" r:id="rId15" xr:uid="{00000000-0004-0000-2800-00000E000000}"/>
    <hyperlink ref="R18" r:id="rId16" xr:uid="{00000000-0004-0000-2800-00000F000000}"/>
    <hyperlink ref="R19" r:id="rId17" xr:uid="{00000000-0004-0000-2800-000010000000}"/>
    <hyperlink ref="R21" r:id="rId18" location="start=1&amp;cgid=blood-pressure-monitors" xr:uid="{00000000-0004-0000-2800-000011000000}"/>
    <hyperlink ref="N39" r:id="rId19" display="https://hypertension.ca/bpdevices" xr:uid="{D798834C-F496-4C8F-A1A1-E030FCB97FF6}"/>
  </hyperlinks>
  <pageMargins left="0.7" right="0.7" top="0.75" bottom="0.75" header="0.3" footer="0.3"/>
  <pageSetup orientation="portrait" r:id="rId20"/>
  <tableParts count="1">
    <tablePart r:id="rId21"/>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C16"/>
  <sheetViews>
    <sheetView workbookViewId="0">
      <selection activeCell="I16" sqref="I16"/>
    </sheetView>
  </sheetViews>
  <sheetFormatPr defaultRowHeight="15"/>
  <cols>
    <col min="1" max="1" width="57.140625" customWidth="1"/>
  </cols>
  <sheetData>
    <row r="1" spans="1:3" ht="15.75" thickTop="1">
      <c r="A1" s="3" t="s">
        <v>15</v>
      </c>
      <c r="B1" s="7" t="s">
        <v>18</v>
      </c>
      <c r="C1" s="96"/>
    </row>
    <row r="2" spans="1:3" ht="15.75" thickBot="1">
      <c r="B2" s="4"/>
      <c r="C2" s="96"/>
    </row>
    <row r="3" spans="1:3" ht="15.75" thickBot="1">
      <c r="A3" s="1" t="s">
        <v>1185</v>
      </c>
      <c r="B3" s="33" t="b">
        <v>0</v>
      </c>
      <c r="C3" s="205" t="b">
        <f>NOT(B3)</f>
        <v>1</v>
      </c>
    </row>
    <row r="4" spans="1:3" ht="15.75" thickBot="1">
      <c r="A4" s="1" t="s">
        <v>1267</v>
      </c>
      <c r="B4" s="33" t="b">
        <v>0</v>
      </c>
      <c r="C4" s="205"/>
    </row>
    <row r="5" spans="1:3" ht="15.75" thickBot="1">
      <c r="A5" s="170" t="s">
        <v>1249</v>
      </c>
      <c r="B5" s="33" t="b">
        <v>0</v>
      </c>
      <c r="C5" s="205" t="b">
        <f>NOT(B5)</f>
        <v>1</v>
      </c>
    </row>
    <row r="6" spans="1:3" ht="15.75" thickBot="1">
      <c r="A6" s="170" t="s">
        <v>1260</v>
      </c>
      <c r="B6" s="33" t="b">
        <v>0</v>
      </c>
      <c r="C6" s="205" t="b">
        <f t="shared" ref="C6:C8" si="0">NOT(B6)</f>
        <v>1</v>
      </c>
    </row>
    <row r="7" spans="1:3" ht="15.75" thickBot="1">
      <c r="A7" s="168" t="s">
        <v>1965</v>
      </c>
      <c r="B7" s="33" t="b">
        <v>0</v>
      </c>
      <c r="C7" s="205" t="b">
        <f t="shared" si="0"/>
        <v>1</v>
      </c>
    </row>
    <row r="8" spans="1:3" ht="15.75" thickBot="1">
      <c r="A8" s="168" t="s">
        <v>1250</v>
      </c>
      <c r="B8" s="33" t="b">
        <v>0</v>
      </c>
      <c r="C8" s="205" t="b">
        <f t="shared" si="0"/>
        <v>1</v>
      </c>
    </row>
    <row r="9" spans="1:3" ht="15.75" thickBot="1">
      <c r="A9" s="165" t="s">
        <v>1252</v>
      </c>
      <c r="B9" s="33" t="b">
        <v>0</v>
      </c>
      <c r="C9" s="205" t="b">
        <f>NOT(B9)</f>
        <v>1</v>
      </c>
    </row>
    <row r="10" spans="1:3" ht="15.75" thickBot="1">
      <c r="A10" s="165" t="s">
        <v>1251</v>
      </c>
      <c r="B10" s="33" t="b">
        <v>0</v>
      </c>
      <c r="C10" s="205" t="b">
        <f>NOT(B10)</f>
        <v>1</v>
      </c>
    </row>
    <row r="11" spans="1:3" ht="15.75" thickBot="1">
      <c r="A11" s="1" t="s">
        <v>1261</v>
      </c>
      <c r="B11" s="33" t="b">
        <v>0</v>
      </c>
      <c r="C11" s="205" t="b">
        <f>NOT(B11)</f>
        <v>1</v>
      </c>
    </row>
    <row r="12" spans="1:3" ht="15.75" thickBot="1">
      <c r="A12" s="176" t="s">
        <v>1253</v>
      </c>
      <c r="B12" s="33" t="b">
        <v>0</v>
      </c>
      <c r="C12" s="205" t="b">
        <f t="shared" ref="C12:C13" si="1">NOT(B12)</f>
        <v>1</v>
      </c>
    </row>
    <row r="13" spans="1:3" ht="15.75" thickBot="1">
      <c r="A13" s="176" t="s">
        <v>1254</v>
      </c>
      <c r="B13" s="33" t="b">
        <v>0</v>
      </c>
      <c r="C13" s="205" t="b">
        <f t="shared" si="1"/>
        <v>1</v>
      </c>
    </row>
    <row r="14" spans="1:3" ht="15.75" thickBot="1">
      <c r="A14" s="161" t="s">
        <v>1255</v>
      </c>
      <c r="B14" s="33" t="b">
        <v>0</v>
      </c>
      <c r="C14" s="205" t="b">
        <f>NOT(B14)</f>
        <v>1</v>
      </c>
    </row>
    <row r="15" spans="1:3" ht="15.75" thickBot="1">
      <c r="A15" s="161" t="s">
        <v>1256</v>
      </c>
      <c r="B15" s="33" t="b">
        <v>0</v>
      </c>
      <c r="C15" s="205" t="b">
        <f>NOT(B15)</f>
        <v>1</v>
      </c>
    </row>
    <row r="16" spans="1:3" ht="15.75" thickBot="1">
      <c r="A16" s="1" t="s">
        <v>1259</v>
      </c>
      <c r="B16" s="33" t="b">
        <v>0</v>
      </c>
      <c r="C16" s="205" t="b">
        <f>NOT(B16)</f>
        <v>1</v>
      </c>
    </row>
  </sheetData>
  <dataValidations count="2">
    <dataValidation allowBlank="1" showInputMessage="1" showErrorMessage="1" prompt="Consult your pharmacist if unsure" sqref="A4 A7:A16" xr:uid="{00000000-0002-0000-2900-000000000000}"/>
    <dataValidation allowBlank="1" showInputMessage="1" showErrorMessage="1" prompt="Consult your physician if unsure" sqref="A3 A5:A6" xr:uid="{00000000-0002-0000-29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4">
        <x14:dataValidation type="list" showInputMessage="1" showErrorMessage="1" error="Please answer as Yes or No" prompt="Conditioner or shampoo with conditioner can reduce effectiveness of pesticides and are not compatible with some head lice products." xr:uid="{00000000-0002-0000-2900-000002000000}">
          <x14:formula1>
            <xm:f>random!$A$2:$A$3</xm:f>
          </x14:formula1>
          <xm:sqref>B16</xm:sqref>
        </x14:dataValidation>
        <x14:dataValidation type="list" showInputMessage="1" showErrorMessage="1" error="Please answer as Yes or No" prompt="Most lice products are considered compatible with pregnancy and nursing but caution should still be used. Avoid use of Resultz as little data is available for use in pregnant or nursing women." xr:uid="{00000000-0002-0000-2900-000003000000}">
          <x14:formula1>
            <xm:f>random!$A$2:$A$3</xm:f>
          </x14:formula1>
          <xm:sqref>B3</xm:sqref>
        </x14:dataValidation>
        <x14:dataValidation type="list" showInputMessage="1" showErrorMessage="1" error="Please answer as Yes or No" prompt="Lice products are not recommended for use in children less than 2 years old. Avoid applying products to eyes or mucous membranes." xr:uid="{00000000-0002-0000-2900-000004000000}">
          <x14:formula1>
            <xm:f>random!$A$2:$A$3</xm:f>
          </x14:formula1>
          <xm:sqref>B4</xm:sqref>
        </x14:dataValidation>
        <x14:dataValidation type="list" showInputMessage="1" showErrorMessage="1" error="Please answer as Yes or No" prompt="Lice products containing permethrin should be avoided by individuals with sensitivity or allergies to ragweed or chrysanthemum plants. " xr:uid="{00000000-0002-0000-2900-000005000000}">
          <x14:formula1>
            <xm:f>random!$A$2:$A$3</xm:f>
          </x14:formula1>
          <xm:sqref>B5</xm:sqref>
        </x14:dataValidation>
        <x14:dataValidation type="list" showInputMessage="1" showErrorMessage="1" error="Please answer as Yes or No" prompt="Avoid use of some lice products if you are sensitive or allergic to mineral oil." xr:uid="{00000000-0002-0000-2900-000006000000}">
          <x14:formula1>
            <xm:f>random!$A$2:$A$3</xm:f>
          </x14:formula1>
          <xm:sqref>B6</xm:sqref>
        </x14:dataValidation>
        <x14:dataValidation type="list" showInputMessage="1" showErrorMessage="1" error="Please answer as Yes or No" prompt="Ovocidal products kill the nits/eggs of head lice and pediculicide products kill adult lice to reduce infestations." xr:uid="{00000000-0002-0000-2900-000007000000}">
          <x14:formula1>
            <xm:f>random!$A$2:$A$3</xm:f>
          </x14:formula1>
          <xm:sqref>B7</xm:sqref>
        </x14:dataValidation>
        <x14:dataValidation type="list" showInputMessage="1" showErrorMessage="1" error="Please answer as Yes or No" prompt="Pediculicide products kill lice and reduce infestations but may not eliminate eggs/nits. " xr:uid="{00000000-0002-0000-2900-000008000000}">
          <x14:formula1>
            <xm:f>random!$A$2:$A$3</xm:f>
          </x14:formula1>
          <xm:sqref>B8</xm:sqref>
        </x14:dataValidation>
        <x14:dataValidation type="list" showInputMessage="1" showErrorMessage="1" error="Please answer as Yes or No" prompt="Some products reduce lice and/or nit infestations though use of pesticides and are recommended as first-line therapy." xr:uid="{00000000-0002-0000-2900-000009000000}">
          <x14:formula1>
            <xm:f>random!$A$2:$A$3</xm:f>
          </x14:formula1>
          <xm:sqref>B9</xm:sqref>
        </x14:dataValidation>
        <x14:dataValidation type="list" showInputMessage="1" showErrorMessage="1" error="Please answer as Yes or No" prompt="Some products reduce lice and or nit/egg infectations with pesticide-free, non-toxic ingredients that sufficate or dehydrate the pests. " xr:uid="{00000000-0002-0000-2900-00000A000000}">
          <x14:formula1>
            <xm:f>random!$A$2:$A$3</xm:f>
          </x14:formula1>
          <xm:sqref>B10</xm:sqref>
        </x14:dataValidation>
        <x14:dataValidation type="list" showInputMessage="1" showErrorMessage="1" error="Please answer as Yes or No" prompt="Head lice may develop resistance to pesticide products leading to potential treatment failure with the use of pesticide containing products." xr:uid="{00000000-0002-0000-2900-00000B000000}">
          <x14:formula1>
            <xm:f>random!$A$2:$A$3</xm:f>
          </x14:formula1>
          <xm:sqref>B11</xm:sqref>
        </x14:dataValidation>
        <x14:dataValidation type="list" showInputMessage="1" showErrorMessage="1" error="Please answer as Yes or No" prompt="Some products require a 10min application period of treatment before washing out of hair. " xr:uid="{00000000-0002-0000-2900-00000C000000}">
          <x14:formula1>
            <xm:f>random!$A$2:$A$3</xm:f>
          </x14:formula1>
          <xm:sqref>B12</xm:sqref>
        </x14:dataValidation>
        <x14:dataValidation type="list" showInputMessage="1" showErrorMessage="1" error="Please answer as Yes or No" prompt="Some products require an 8 hour or overnight application period of treatment before washing out of hair. Such products may stain linens. " xr:uid="{00000000-0002-0000-2900-00000D000000}">
          <x14:formula1>
            <xm:f>random!$A$2:$A$3</xm:f>
          </x14:formula1>
          <xm:sqref>B13</xm:sqref>
        </x14:dataValidation>
        <x14:dataValidation type="list" showInputMessage="1" showErrorMessage="1" error="Please answer as Yes or No" prompt="Some head lice products are best used when applied to towel dried hair and then washed out." xr:uid="{00000000-0002-0000-2900-00000E000000}">
          <x14:formula1>
            <xm:f>random!$A$2:$A$3</xm:f>
          </x14:formula1>
          <xm:sqref>B14</xm:sqref>
        </x14:dataValidation>
        <x14:dataValidation type="list" showInputMessage="1" showErrorMessage="1" error="Please answer as Yes or No" prompt="Some head lice products are best applied to dry hair and washed out following a treatment period. " xr:uid="{00000000-0002-0000-2900-00000F000000}">
          <x14:formula1>
            <xm:f>random!$A$2:$A$3</xm:f>
          </x14:formula1>
          <xm:sqref>B15</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P12"/>
  <sheetViews>
    <sheetView workbookViewId="0">
      <selection activeCell="N3" sqref="N3"/>
    </sheetView>
  </sheetViews>
  <sheetFormatPr defaultRowHeight="15"/>
  <cols>
    <col min="1" max="1" width="44.42578125" customWidth="1"/>
    <col min="2" max="2" width="10.7109375" customWidth="1"/>
    <col min="3" max="14" width="11" customWidth="1"/>
    <col min="15" max="15" width="32.5703125" customWidth="1"/>
  </cols>
  <sheetData>
    <row r="1" spans="1:16">
      <c r="A1" s="70" t="s">
        <v>1248</v>
      </c>
      <c r="B1" s="124" t="s">
        <v>1964</v>
      </c>
      <c r="C1" t="s">
        <v>1239</v>
      </c>
      <c r="D1" t="s">
        <v>1240</v>
      </c>
      <c r="E1" t="s">
        <v>492</v>
      </c>
      <c r="F1" t="s">
        <v>1237</v>
      </c>
      <c r="G1" t="s">
        <v>1238</v>
      </c>
      <c r="H1" t="s">
        <v>1242</v>
      </c>
      <c r="I1" t="s">
        <v>1244</v>
      </c>
      <c r="J1" t="s">
        <v>1245</v>
      </c>
      <c r="K1" t="s">
        <v>1966</v>
      </c>
      <c r="L1" t="s">
        <v>1257</v>
      </c>
      <c r="M1" t="s">
        <v>1258</v>
      </c>
      <c r="N1" t="s">
        <v>4</v>
      </c>
      <c r="O1" t="s">
        <v>1168</v>
      </c>
    </row>
    <row r="2" spans="1:16">
      <c r="A2" t="b">
        <f>IF(Table27[[#This Row],[Column1]],Table27[[#This Row],[Column10]])</f>
        <v>0</v>
      </c>
      <c r="B2" s="20" t="b">
        <f>OR('Lice Product Criteria'!B3:C3)</f>
        <v>1</v>
      </c>
      <c r="C2" s="20" t="b">
        <f>AND('Lice Product Criteria'!B4,'Lice Product Criteria'!C5,'Lice Product Criteria'!B9,'Lice Product Criteria'!C10,'Lice Product Criteria'!C11)</f>
        <v>0</v>
      </c>
      <c r="D2" s="17"/>
      <c r="E2" s="17"/>
      <c r="F2" s="20" t="b">
        <f>AND('Lice Product Criteria'!B14,'Lice Product Criteria'!C15)</f>
        <v>0</v>
      </c>
      <c r="G2" s="17"/>
      <c r="H2" s="17" t="b">
        <f>AND('Lice Product Criteria'!C11)</f>
        <v>1</v>
      </c>
      <c r="I2" s="20" t="b">
        <f>AND('Lice Product Criteria'!B12,'Lice Product Criteria'!C13)</f>
        <v>0</v>
      </c>
      <c r="J2" s="17"/>
      <c r="K2" s="20" t="b">
        <f>AND('Lice Product Criteria'!B7,'Lice Product Criteria'!C8)</f>
        <v>0</v>
      </c>
      <c r="L2" s="17"/>
      <c r="M2" s="20" t="b">
        <f>AND('Lice Product Criteria'!B16)</f>
        <v>0</v>
      </c>
      <c r="N2" s="21" t="b">
        <f>AND(Table27[[#This Row],[Preg/Nurse]:[No Conditioner]])</f>
        <v>0</v>
      </c>
      <c r="O2" s="11" t="s">
        <v>1247</v>
      </c>
      <c r="P2" t="s">
        <v>1262</v>
      </c>
    </row>
    <row r="3" spans="1:16">
      <c r="A3" t="b">
        <f>IF(Table27[[#This Row],[Column1]],Table27[[#This Row],[Column10]])</f>
        <v>0</v>
      </c>
      <c r="B3" s="20" t="b">
        <f>B2</f>
        <v>1</v>
      </c>
      <c r="C3" s="17"/>
      <c r="D3" s="20" t="b">
        <f>AND('Lice Product Criteria'!B4,'Lice Product Criteria'!C9,'Lice Product Criteria'!B10)</f>
        <v>0</v>
      </c>
      <c r="E3" s="20" t="b">
        <f>AND('Lice Product Criteria'!C6)</f>
        <v>1</v>
      </c>
      <c r="F3" s="17"/>
      <c r="G3" s="20" t="b">
        <f>AND('Lice Product Criteria'!B15,'Lice Product Criteria'!C14)</f>
        <v>0</v>
      </c>
      <c r="H3" s="20" t="b">
        <f>OR('Lice Product Criteria'!B11:C11)</f>
        <v>1</v>
      </c>
      <c r="I3" s="20" t="b">
        <f>I2</f>
        <v>0</v>
      </c>
      <c r="J3" s="17"/>
      <c r="K3" s="20" t="b">
        <f>K2</f>
        <v>0</v>
      </c>
      <c r="L3" s="17"/>
      <c r="M3" s="17" t="b">
        <f>OR('Lice Product Criteria'!B16:C16)</f>
        <v>1</v>
      </c>
      <c r="N3" s="21" t="b">
        <f>AND(Table27[[#This Row],[Preg/Nurse]:[No Conditioner]])</f>
        <v>0</v>
      </c>
      <c r="O3" s="11" t="s">
        <v>1236</v>
      </c>
      <c r="P3" t="s">
        <v>1263</v>
      </c>
    </row>
    <row r="4" spans="1:16">
      <c r="A4" s="16" t="e">
        <f>IF(Table27[[#This Row],[Column1]],Table27[[#This Row],[Column10]])</f>
        <v>#VALUE!</v>
      </c>
      <c r="B4" s="16"/>
      <c r="C4" s="16"/>
      <c r="D4" s="16"/>
      <c r="E4" s="16"/>
      <c r="F4" s="16"/>
      <c r="G4" s="16"/>
      <c r="H4" s="16"/>
      <c r="I4" s="16"/>
      <c r="J4" s="16"/>
      <c r="K4" s="16"/>
      <c r="L4" s="16"/>
      <c r="M4" s="16"/>
      <c r="N4" s="16" t="e">
        <f>AND(Table27[[#This Row],[Preg/Nurse]:[No Conditioner]])</f>
        <v>#VALUE!</v>
      </c>
      <c r="O4" s="16"/>
    </row>
    <row r="5" spans="1:16">
      <c r="A5" t="b">
        <f>IF(Table27[[#This Row],[Column1]],Table27[[#This Row],[Column10]])</f>
        <v>0</v>
      </c>
      <c r="B5" s="17" t="b">
        <f>AND('Lice Product Criteria'!C3)</f>
        <v>1</v>
      </c>
      <c r="C5" s="17"/>
      <c r="D5" s="20" t="b">
        <f>D3</f>
        <v>0</v>
      </c>
      <c r="E5" s="17"/>
      <c r="F5" s="17"/>
      <c r="G5" s="20" t="b">
        <f>G3</f>
        <v>0</v>
      </c>
      <c r="H5" s="20" t="b">
        <f>H3</f>
        <v>1</v>
      </c>
      <c r="I5" s="20" t="b">
        <f>I2</f>
        <v>0</v>
      </c>
      <c r="J5" s="17"/>
      <c r="K5" s="17"/>
      <c r="L5" s="20" t="b">
        <f>AND('Lice Product Criteria'!B8,'Lice Product Criteria'!C7)</f>
        <v>0</v>
      </c>
      <c r="M5" s="17" t="b">
        <f>M3</f>
        <v>1</v>
      </c>
      <c r="N5" s="21" t="b">
        <f>AND(Table27[[#This Row],[Preg/Nurse]:[No Conditioner]])</f>
        <v>0</v>
      </c>
      <c r="O5" s="11" t="s">
        <v>1241</v>
      </c>
      <c r="P5" t="s">
        <v>1265</v>
      </c>
    </row>
    <row r="6" spans="1:16">
      <c r="A6" s="16" t="e">
        <f>IF(Table27[[#This Row],[Column1]],Table27[[#This Row],[Column10]])</f>
        <v>#VALUE!</v>
      </c>
      <c r="B6" s="16"/>
      <c r="C6" s="16"/>
      <c r="D6" s="16"/>
      <c r="E6" s="16"/>
      <c r="F6" s="16"/>
      <c r="G6" s="16"/>
      <c r="H6" s="16"/>
      <c r="I6" s="16"/>
      <c r="J6" s="16"/>
      <c r="K6" s="16"/>
      <c r="L6" s="16"/>
      <c r="M6" s="16"/>
      <c r="N6" s="16" t="e">
        <f>AND(Table27[[#This Row],[Preg/Nurse]:[No Conditioner]])</f>
        <v>#VALUE!</v>
      </c>
      <c r="O6" s="16"/>
    </row>
    <row r="7" spans="1:16">
      <c r="A7" t="b">
        <f>IF(Table27[[#This Row],[Column1]],Table27[[#This Row],[Column10]])</f>
        <v>0</v>
      </c>
      <c r="B7" s="17" t="b">
        <f>B5</f>
        <v>1</v>
      </c>
      <c r="C7" s="17"/>
      <c r="D7" s="20" t="b">
        <f>D3</f>
        <v>0</v>
      </c>
      <c r="E7" s="17"/>
      <c r="F7" s="17"/>
      <c r="G7" s="20" t="b">
        <f>G3</f>
        <v>0</v>
      </c>
      <c r="H7" s="20" t="b">
        <f>H3</f>
        <v>1</v>
      </c>
      <c r="I7" s="17"/>
      <c r="J7" s="20" t="b">
        <f>AND('Lice Product Criteria'!B13,'Lice Product Criteria'!C12)</f>
        <v>0</v>
      </c>
      <c r="K7" s="20" t="b">
        <f>K2</f>
        <v>0</v>
      </c>
      <c r="L7" s="17"/>
      <c r="M7" s="17" t="b">
        <f>M3</f>
        <v>1</v>
      </c>
      <c r="N7" s="21" t="b">
        <f>AND(Table27[[#This Row],[Preg/Nurse]:[No Conditioner]])</f>
        <v>0</v>
      </c>
      <c r="O7" s="11" t="s">
        <v>1243</v>
      </c>
      <c r="P7" t="s">
        <v>1266</v>
      </c>
    </row>
    <row r="8" spans="1:16">
      <c r="A8" s="16" t="e">
        <f>IF(Table27[[#This Row],[Column1]],Table27[[#This Row],[Column10]])</f>
        <v>#VALUE!</v>
      </c>
      <c r="B8" s="16"/>
      <c r="C8" s="16"/>
      <c r="D8" s="16"/>
      <c r="E8" s="16"/>
      <c r="F8" s="16"/>
      <c r="G8" s="16"/>
      <c r="H8" s="16"/>
      <c r="I8" s="16"/>
      <c r="J8" s="16"/>
      <c r="K8" s="16"/>
      <c r="L8" s="16"/>
      <c r="M8" s="16"/>
      <c r="N8" s="16" t="e">
        <f>AND(Table27[[#This Row],[Preg/Nurse]:[No Conditioner]])</f>
        <v>#VALUE!</v>
      </c>
      <c r="O8" s="16"/>
    </row>
    <row r="9" spans="1:16">
      <c r="A9" s="138" t="b">
        <f>IF(Table27[[#This Row],[Column1]],Table27[[#This Row],[Column10]])</f>
        <v>0</v>
      </c>
      <c r="B9" s="67" t="b">
        <f>B2</f>
        <v>1</v>
      </c>
      <c r="C9" s="20" t="b">
        <f>C2</f>
        <v>0</v>
      </c>
      <c r="D9" s="17"/>
      <c r="E9" s="17"/>
      <c r="F9" s="17"/>
      <c r="G9" s="20" t="b">
        <f>G3</f>
        <v>0</v>
      </c>
      <c r="H9" s="17" t="b">
        <f>H2</f>
        <v>1</v>
      </c>
      <c r="I9" s="20" t="b">
        <f>I2</f>
        <v>0</v>
      </c>
      <c r="J9" s="17"/>
      <c r="K9" s="20" t="b">
        <f>K2</f>
        <v>0</v>
      </c>
      <c r="L9" s="17"/>
      <c r="M9" s="20" t="b">
        <f>M2</f>
        <v>0</v>
      </c>
      <c r="N9" s="21" t="b">
        <f>AND(Table27[[#This Row],[Preg/Nurse]:[No Conditioner]])</f>
        <v>0</v>
      </c>
      <c r="O9" s="11" t="s">
        <v>1246</v>
      </c>
      <c r="P9" t="s">
        <v>1264</v>
      </c>
    </row>
    <row r="10" spans="1:16">
      <c r="A10" s="16" t="e">
        <f>IF(Table27[[#This Row],[Column1]],Table27[[#This Row],[Column10]])</f>
        <v>#VALUE!</v>
      </c>
      <c r="B10" s="16"/>
      <c r="C10" s="16"/>
      <c r="D10" s="16"/>
      <c r="E10" s="16"/>
      <c r="F10" s="16"/>
      <c r="G10" s="16"/>
      <c r="H10" s="16"/>
      <c r="I10" s="16"/>
      <c r="J10" s="16"/>
      <c r="K10" s="16"/>
      <c r="L10" s="16"/>
      <c r="M10" s="16"/>
      <c r="N10" s="16" t="e">
        <f>AND(Table27[[#This Row],[Preg/Nurse]:[No Conditioner]])</f>
        <v>#VALUE!</v>
      </c>
      <c r="O10" s="16"/>
    </row>
    <row r="11" spans="1:16">
      <c r="A11" t="e">
        <f>IF(Table27[[#This Row],[Column1]],Table27[[#This Row],[Column10]])</f>
        <v>#VALUE!</v>
      </c>
      <c r="N11" t="e">
        <f>AND(Table27[[#This Row],[Preg/Nurse]:[No Conditioner]])</f>
        <v>#VALUE!</v>
      </c>
    </row>
    <row r="12" spans="1:16">
      <c r="A12" t="e">
        <f>IF(Table27[[#This Row],[Column1]],Table27[[#This Row],[Column10]])</f>
        <v>#VALUE!</v>
      </c>
      <c r="N12" t="e">
        <f>AND(Table27[[#This Row],[Preg/Nurse]:[No Conditioner]])</f>
        <v>#VALUE!</v>
      </c>
    </row>
  </sheetData>
  <hyperlinks>
    <hyperlink ref="O2" r:id="rId1" xr:uid="{00000000-0004-0000-2A00-000000000000}"/>
    <hyperlink ref="O3" r:id="rId2" xr:uid="{00000000-0004-0000-2A00-000001000000}"/>
    <hyperlink ref="O5" r:id="rId3" xr:uid="{00000000-0004-0000-2A00-000002000000}"/>
    <hyperlink ref="O7" r:id="rId4" xr:uid="{00000000-0004-0000-2A00-000003000000}"/>
    <hyperlink ref="O9" r:id="rId5" xr:uid="{00000000-0004-0000-2A00-000004000000}"/>
  </hyperlinks>
  <pageMargins left="0.7" right="0.7" top="0.75" bottom="0.75" header="0.3" footer="0.3"/>
  <pageSetup orientation="portrait" r:id="rId6"/>
  <tableParts count="1">
    <tablePart r:id="rId7"/>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C32"/>
  <sheetViews>
    <sheetView topLeftCell="A10" workbookViewId="0">
      <selection activeCell="A37" sqref="A37"/>
    </sheetView>
  </sheetViews>
  <sheetFormatPr defaultRowHeight="15"/>
  <cols>
    <col min="1" max="1" width="47.28515625" customWidth="1"/>
    <col min="3" max="3" width="9.140625" style="216"/>
  </cols>
  <sheetData>
    <row r="1" spans="1:3" ht="15.75" thickTop="1">
      <c r="A1" s="3" t="s">
        <v>15</v>
      </c>
      <c r="B1" s="7" t="s">
        <v>18</v>
      </c>
    </row>
    <row r="2" spans="1:3" ht="15.75" thickBot="1">
      <c r="B2" s="4"/>
    </row>
    <row r="3" spans="1:3" ht="15.75" thickBot="1">
      <c r="A3" s="162" t="s">
        <v>1669</v>
      </c>
      <c r="B3" s="183" t="b">
        <v>0</v>
      </c>
      <c r="C3" s="216" t="b">
        <f>NOT(B3)</f>
        <v>1</v>
      </c>
    </row>
    <row r="4" spans="1:3" ht="15.75" thickBot="1">
      <c r="A4" s="162" t="s">
        <v>1670</v>
      </c>
      <c r="B4" s="183" t="b">
        <v>0</v>
      </c>
      <c r="C4" s="216" t="b">
        <f>NOT(B4)</f>
        <v>1</v>
      </c>
    </row>
    <row r="5" spans="1:3" ht="15.75" thickBot="1">
      <c r="A5" s="162" t="s">
        <v>1671</v>
      </c>
      <c r="B5" s="183" t="b">
        <v>0</v>
      </c>
      <c r="C5" s="216" t="b">
        <f>NOT(B5)</f>
        <v>1</v>
      </c>
    </row>
    <row r="6" spans="1:3" ht="15" customHeight="1" thickBot="1">
      <c r="A6" s="1" t="s">
        <v>1599</v>
      </c>
      <c r="B6" s="33" t="b">
        <v>0</v>
      </c>
      <c r="C6" s="216" t="b">
        <f>NOT(B6)</f>
        <v>1</v>
      </c>
    </row>
    <row r="7" spans="1:3" ht="15.75" thickBot="1">
      <c r="A7" s="161" t="s">
        <v>1499</v>
      </c>
      <c r="B7" s="181" t="b">
        <v>0</v>
      </c>
      <c r="C7" s="216" t="b">
        <f>NOT(B7)</f>
        <v>1</v>
      </c>
    </row>
    <row r="8" spans="1:3" ht="15.75" thickBot="1">
      <c r="A8" s="161" t="s">
        <v>1390</v>
      </c>
      <c r="B8" s="181" t="b">
        <v>0</v>
      </c>
      <c r="C8" s="216" t="b">
        <f t="shared" ref="C8:C20" si="0">NOT(B8)</f>
        <v>1</v>
      </c>
    </row>
    <row r="9" spans="1:3" ht="15.75" thickBot="1">
      <c r="A9" s="161" t="s">
        <v>1677</v>
      </c>
      <c r="B9" s="181" t="b">
        <v>0</v>
      </c>
      <c r="C9" s="216" t="b">
        <f t="shared" si="0"/>
        <v>1</v>
      </c>
    </row>
    <row r="10" spans="1:3" ht="15.75" thickBot="1">
      <c r="A10" s="161" t="s">
        <v>1389</v>
      </c>
      <c r="B10" s="181" t="b">
        <v>0</v>
      </c>
      <c r="C10" s="216" t="b">
        <f t="shared" si="0"/>
        <v>1</v>
      </c>
    </row>
    <row r="11" spans="1:3" ht="15.75" thickBot="1">
      <c r="A11" s="161" t="s">
        <v>1676</v>
      </c>
      <c r="B11" s="181" t="b">
        <v>0</v>
      </c>
      <c r="C11" s="216" t="b">
        <f t="shared" si="0"/>
        <v>1</v>
      </c>
    </row>
    <row r="12" spans="1:3" ht="15.75" thickBot="1">
      <c r="A12" s="1" t="s">
        <v>1501</v>
      </c>
      <c r="B12" s="33" t="b">
        <v>0</v>
      </c>
      <c r="C12" s="216" t="b">
        <f t="shared" si="0"/>
        <v>1</v>
      </c>
    </row>
    <row r="13" spans="1:3" ht="15.75" thickBot="1">
      <c r="A13" s="1" t="s">
        <v>1502</v>
      </c>
      <c r="B13" s="33" t="b">
        <v>0</v>
      </c>
      <c r="C13" s="216" t="b">
        <f t="shared" si="0"/>
        <v>1</v>
      </c>
    </row>
    <row r="14" spans="1:3" ht="15.75" thickBot="1">
      <c r="A14" s="1" t="s">
        <v>1600</v>
      </c>
      <c r="B14" s="33" t="b">
        <v>0</v>
      </c>
      <c r="C14" s="216" t="b">
        <f t="shared" si="0"/>
        <v>1</v>
      </c>
    </row>
    <row r="15" spans="1:3" ht="15.75" thickBot="1">
      <c r="A15" s="1" t="s">
        <v>1682</v>
      </c>
      <c r="B15" s="33" t="b">
        <v>0</v>
      </c>
      <c r="C15" s="216" t="b">
        <f t="shared" si="0"/>
        <v>1</v>
      </c>
    </row>
    <row r="16" spans="1:3" ht="15.75" thickBot="1">
      <c r="A16" s="1" t="s">
        <v>1683</v>
      </c>
      <c r="B16" s="33" t="b">
        <v>0</v>
      </c>
      <c r="C16" s="216" t="b">
        <f t="shared" si="0"/>
        <v>1</v>
      </c>
    </row>
    <row r="17" spans="1:3" ht="15.75" thickBot="1">
      <c r="A17" s="1" t="s">
        <v>1684</v>
      </c>
      <c r="B17" s="33" t="b">
        <v>0</v>
      </c>
      <c r="C17" s="216" t="b">
        <f t="shared" si="0"/>
        <v>1</v>
      </c>
    </row>
    <row r="18" spans="1:3" ht="15.75" thickBot="1">
      <c r="A18" s="1" t="s">
        <v>1685</v>
      </c>
      <c r="B18" s="33" t="b">
        <v>0</v>
      </c>
      <c r="C18" s="216" t="b">
        <f t="shared" si="0"/>
        <v>1</v>
      </c>
    </row>
    <row r="19" spans="1:3" ht="15.75" thickBot="1">
      <c r="A19" s="1" t="s">
        <v>1686</v>
      </c>
      <c r="B19" s="33" t="b">
        <v>0</v>
      </c>
      <c r="C19" s="216" t="b">
        <f t="shared" si="0"/>
        <v>1</v>
      </c>
    </row>
    <row r="20" spans="1:3" ht="15.75" thickBot="1">
      <c r="A20" s="1" t="s">
        <v>1503</v>
      </c>
      <c r="B20" s="33" t="b">
        <v>0</v>
      </c>
      <c r="C20" s="216" t="b">
        <f t="shared" si="0"/>
        <v>1</v>
      </c>
    </row>
    <row r="21" spans="1:3" ht="15.75" thickBot="1">
      <c r="A21" s="170" t="s">
        <v>1504</v>
      </c>
      <c r="B21" s="180" t="b">
        <v>0</v>
      </c>
      <c r="C21" s="216" t="b">
        <f>NOT(B21)</f>
        <v>1</v>
      </c>
    </row>
    <row r="22" spans="1:3" ht="15.75" thickBot="1">
      <c r="A22" s="170" t="s">
        <v>1505</v>
      </c>
      <c r="B22" s="180" t="b">
        <v>0</v>
      </c>
      <c r="C22" s="216" t="b">
        <f t="shared" ref="C22:C26" si="1">NOT(B22)</f>
        <v>1</v>
      </c>
    </row>
    <row r="23" spans="1:3" ht="15.75" thickBot="1">
      <c r="A23" s="170" t="s">
        <v>1668</v>
      </c>
      <c r="B23" s="180" t="b">
        <v>0</v>
      </c>
      <c r="C23" s="216" t="b">
        <f t="shared" si="1"/>
        <v>1</v>
      </c>
    </row>
    <row r="24" spans="1:3" ht="15.75" thickBot="1">
      <c r="A24" s="170" t="s">
        <v>1506</v>
      </c>
      <c r="B24" s="180" t="b">
        <v>0</v>
      </c>
      <c r="C24" s="216" t="b">
        <f>NOT(B24)</f>
        <v>1</v>
      </c>
    </row>
    <row r="25" spans="1:3" ht="15.75" thickBot="1">
      <c r="A25" s="170" t="s">
        <v>1667</v>
      </c>
      <c r="B25" s="180" t="b">
        <v>0</v>
      </c>
      <c r="C25" s="216" t="b">
        <f t="shared" si="1"/>
        <v>1</v>
      </c>
    </row>
    <row r="26" spans="1:3" ht="15.75" thickBot="1">
      <c r="A26" s="170" t="s">
        <v>1968</v>
      </c>
      <c r="B26" s="180" t="b">
        <v>0</v>
      </c>
      <c r="C26" s="216" t="b">
        <f t="shared" si="1"/>
        <v>1</v>
      </c>
    </row>
    <row r="27" spans="1:3" ht="15.75" thickBot="1">
      <c r="A27" s="170" t="s">
        <v>1967</v>
      </c>
      <c r="B27" s="180" t="b">
        <v>0</v>
      </c>
      <c r="C27" s="216" t="b">
        <f t="shared" ref="C27:C32" si="2">NOT(B27)</f>
        <v>1</v>
      </c>
    </row>
    <row r="28" spans="1:3" ht="15.75" thickBot="1">
      <c r="A28" s="184" t="s">
        <v>1673</v>
      </c>
      <c r="B28" s="185" t="b">
        <v>0</v>
      </c>
      <c r="C28" s="216" t="b">
        <f t="shared" si="2"/>
        <v>1</v>
      </c>
    </row>
    <row r="29" spans="1:3" ht="15.75" thickBot="1">
      <c r="A29" s="184" t="s">
        <v>1674</v>
      </c>
      <c r="B29" s="185" t="b">
        <v>0</v>
      </c>
      <c r="C29" s="216" t="b">
        <f t="shared" si="2"/>
        <v>1</v>
      </c>
    </row>
    <row r="30" spans="1:3" ht="15.75" thickBot="1">
      <c r="A30" s="158" t="s">
        <v>1601</v>
      </c>
      <c r="B30" s="182" t="b">
        <v>0</v>
      </c>
      <c r="C30" s="216" t="b">
        <f t="shared" si="2"/>
        <v>1</v>
      </c>
    </row>
    <row r="31" spans="1:3" ht="15.75" thickBot="1">
      <c r="A31" s="158" t="s">
        <v>1675</v>
      </c>
      <c r="B31" s="182" t="b">
        <v>0</v>
      </c>
      <c r="C31" s="216" t="b">
        <f t="shared" si="2"/>
        <v>1</v>
      </c>
    </row>
    <row r="32" spans="1:3" ht="15.75" thickBot="1">
      <c r="A32" s="55" t="s">
        <v>1500</v>
      </c>
      <c r="B32" s="147" t="b">
        <v>0</v>
      </c>
      <c r="C32" s="216" t="b">
        <f t="shared" si="2"/>
        <v>1</v>
      </c>
    </row>
  </sheetData>
  <dataValidations count="1">
    <dataValidation allowBlank="1" showInputMessage="1" showErrorMessage="1" prompt="Consult your pharmacist if unsure" sqref="A3:A32" xr:uid="{00000000-0002-0000-2B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30">
        <x14:dataValidation type="list" showInputMessage="1" showErrorMessage="1" error="Please answer as Yes or No" prompt="Some bandages are available in purpose built shape that will fit or appropriately cover wounds not easily treated with a standard rectangular bandages. These bandages are ideal for fingers, heals and other specific body parts. " xr:uid="{00000000-0002-0000-2B00-000001000000}">
          <x14:formula1>
            <xm:f>random!$A$2:$A$3</xm:f>
          </x14:formula1>
          <xm:sqref>B31</xm:sqref>
        </x14:dataValidation>
        <x14:dataValidation type="list" showInputMessage="1" showErrorMessage="1" error="Please answer as Yes or No" prompt="Some products can be left on during bathing or swimming and should not fall off following immersion into water." xr:uid="{00000000-0002-0000-2B00-000002000000}">
          <x14:formula1>
            <xm:f>random!$A$2:$A$3</xm:f>
          </x14:formula1>
          <xm:sqref>B3</xm:sqref>
        </x14:dataValidation>
        <x14:dataValidation type="list" showInputMessage="1" showErrorMessage="1" error="Please answer as Yes or No" prompt="Some products show some water ressistance and should not fall off slighly sweaty or moist skin. " xr:uid="{00000000-0002-0000-2B00-000003000000}">
          <x14:formula1>
            <xm:f>random!$A$2:$A$3</xm:f>
          </x14:formula1>
          <xm:sqref>B4</xm:sqref>
        </x14:dataValidation>
        <x14:dataValidation type="list" showInputMessage="1" showErrorMessage="1" error="Please answer as Yes or No" prompt="Some products are porous and absorbent in order to reduce wound weeping and promote scab formation." xr:uid="{00000000-0002-0000-2B00-000004000000}">
          <x14:formula1>
            <xm:f>random!$A$2:$A$3</xm:f>
          </x14:formula1>
          <xm:sqref>B5</xm:sqref>
        </x14:dataValidation>
        <x14:dataValidation type="list" showInputMessage="1" showErrorMessage="1" error="Please answer as Yes or No" prompt="Some products will not stick to wounds and will allow easy and painless bandage removal or changes." xr:uid="{00000000-0002-0000-2B00-000005000000}">
          <x14:formula1>
            <xm:f>random!$A$2:$A$3</xm:f>
          </x14:formula1>
          <xm:sqref>B6</xm:sqref>
        </x14:dataValidation>
        <x14:dataValidation type="list" showInputMessage="1" showErrorMessage="1" error="Please answer as Yes or No" prompt="Some products are available as packages of bandages of assorted sizes for many wound sizes. Ideal for home use." xr:uid="{00000000-0002-0000-2B00-000006000000}">
          <x14:formula1>
            <xm:f>random!$A$2:$A$3</xm:f>
          </x14:formula1>
          <xm:sqref>B7</xm:sqref>
        </x14:dataValidation>
        <x14:dataValidation type="list" showInputMessage="1" showErrorMessage="1" error="Please answer as Yes or No" prompt="Some products available as smaller bandages to cover minor or small sized wounds." xr:uid="{00000000-0002-0000-2B00-000007000000}">
          <x14:formula1>
            <xm:f>random!$A$2:$A$3</xm:f>
          </x14:formula1>
          <xm:sqref>B8</xm:sqref>
        </x14:dataValidation>
        <x14:dataValidation type="list" showInputMessage="1" showErrorMessage="1" error="Please answer as Yes or No" prompt="Some products available as moderate sized bandages to cover minor medium sized wounds." xr:uid="{00000000-0002-0000-2B00-000008000000}">
          <x14:formula1>
            <xm:f>random!$A$2:$A$3</xm:f>
          </x14:formula1>
          <xm:sqref>B9</xm:sqref>
        </x14:dataValidation>
        <x14:dataValidation type="list" showInputMessage="1" showErrorMessage="1" error="Please answer as Yes or No" prompt="Some products available as larger bandages to cover wounds of larger surface areas." xr:uid="{00000000-0002-0000-2B00-000009000000}">
          <x14:formula1>
            <xm:f>random!$A$2:$A$3</xm:f>
          </x14:formula1>
          <xm:sqref>B10</xm:sqref>
        </x14:dataValidation>
        <x14:dataValidation type="list" showInputMessage="1" showErrorMessage="1" error="Please answer as Yes or No" prompt="Some products available as extra large bandages to cover wounds very large surface areas." xr:uid="{00000000-0002-0000-2B00-00000A000000}">
          <x14:formula1>
            <xm:f>random!$A$2:$A$3</xm:f>
          </x14:formula1>
          <xm:sqref>B11</xm:sqref>
        </x14:dataValidation>
        <x14:dataValidation type="list" showInputMessage="1" showErrorMessage="1" error="Please answer as Yes or No" prompt="Some products are more flexible allowing greater range of motion. Such products are ideal to cover injuries on joints, digits or other areas of the body that undergo frequent bending or flexing. " xr:uid="{00000000-0002-0000-2B00-00000B000000}">
          <x14:formula1>
            <xm:f>random!$A$2:$A$3</xm:f>
          </x14:formula1>
          <xm:sqref>B12</xm:sqref>
        </x14:dataValidation>
        <x14:dataValidation type="list" showInputMessage="1" showErrorMessage="1" error="Please answer as Yes or No" prompt="Some products made from heavier fabric and/or stronger adhesives. Tend to stay in place during activity or resist friction/wear. Ideal for use on hands and feet. Not recommended for fragile skin or when frequent bandage changes needed.  " xr:uid="{00000000-0002-0000-2B00-00000C000000}">
          <x14:formula1>
            <xm:f>random!$A$2:$A$3</xm:f>
          </x14:formula1>
          <xm:sqref>B13</xm:sqref>
        </x14:dataValidation>
        <x14:dataValidation type="list" showInputMessage="1" showErrorMessage="1" error="Please answer as Yes or No" prompt="Some products have pads inbedded with antiseptic or antibiotic substances. May be benificial when minor infection or dirty wounds are suspected." xr:uid="{00000000-0002-0000-2B00-00000D000000}">
          <x14:formula1>
            <xm:f>random!$A$2:$A$3</xm:f>
          </x14:formula1>
          <xm:sqref>B14</xm:sqref>
        </x14:dataValidation>
        <x14:dataValidation type="list" showInputMessage="1" showErrorMessage="1" error="Please answer as Yes or No" prompt="Some products have child-friendly patterns or decorations. Can be a stylish option to cover a wound or help distract from an injury." xr:uid="{00000000-0002-0000-2B00-00000E000000}">
          <x14:formula1>
            <xm:f>random!$A$2:$A$3</xm:f>
          </x14:formula1>
          <xm:sqref>B15</xm:sqref>
        </x14:dataValidation>
        <x14:dataValidation type="list" showInputMessage="1" showErrorMessage="1" error="Please answer as Yes or No" prompt="Some products use gentle adhesives allowing for painless removal or bandage changes. Ideal for fragile skin or children. However, these bandages may fall off more easily." xr:uid="{00000000-0002-0000-2B00-00000F000000}">
          <x14:formula1>
            <xm:f>random!$A$2:$A$3</xm:f>
          </x14:formula1>
          <xm:sqref>B16</xm:sqref>
        </x14:dataValidation>
        <x14:dataValidation type="list" showInputMessage="1" showErrorMessage="1" error="Please answer as Yes or No" prompt="Some products are clear and are a more descreet option for wound protection." xr:uid="{00000000-0002-0000-2B00-000010000000}">
          <x14:formula1>
            <xm:f>random!$A$2:$A$3</xm:f>
          </x14:formula1>
          <xm:sqref>B17</xm:sqref>
        </x14:dataValidation>
        <x14:dataValidation type="list" showInputMessage="1" showErrorMessage="1" error="Please answer as Yes or No" prompt="Some products will adhere to itself reducing the need for glues or tape contact with sensitive skin or wound sites. " xr:uid="{00000000-0002-0000-2B00-000011000000}">
          <x14:formula1>
            <xm:f>random!$A$2:$A$3</xm:f>
          </x14:formula1>
          <xm:sqref>B18</xm:sqref>
        </x14:dataValidation>
        <x14:dataValidation type="list" showInputMessage="1" showErrorMessage="1" error="Please answer as Yes or No" prompt="Some products are latex or allergen-free and are less likely to cause skin reactions for individuals with skin sensitivities or allergies." xr:uid="{00000000-0002-0000-2B00-000012000000}">
          <x14:formula1>
            <xm:f>random!$A$2:$A$3</xm:f>
          </x14:formula1>
          <xm:sqref>B19</xm:sqref>
        </x14:dataValidation>
        <x14:dataValidation type="list" showInputMessage="1" showErrorMessage="1" error="Please answer as Yes or No" prompt="Some products use hydrocolloid technology to promote wound healing and reduce risk of scarification. Such products often have a cushioned feeling. These products occasionally are more costly." xr:uid="{00000000-0002-0000-2B00-000013000000}">
          <x14:formula1>
            <xm:f>random!$A$2:$A$3</xm:f>
          </x14:formula1>
          <xm:sqref>B20</xm:sqref>
        </x14:dataValidation>
        <x14:dataValidation type="list" showInputMessage="1" showErrorMessage="1" error="Please answer as Yes or No" prompt="Some products can be sprayed onto a wound site. These products can then seal and protect the wound and even have antiseptic activity or have waterproof properties. May require frequent application." xr:uid="{00000000-0002-0000-2B00-000014000000}">
          <x14:formula1>
            <xm:f>random!$A$2:$A$3</xm:f>
          </x14:formula1>
          <xm:sqref>B21</xm:sqref>
        </x14:dataValidation>
        <x14:dataValidation type="list" showInputMessage="1" showErrorMessage="1" error="Please answer as Yes or No" prompt="Medical tapes can help secure bandages on wounds. Paper medical tapes are ideal for fragile skin with gentle adhesives while fabric or plastic medical tapes may be more flexible or resistant water." xr:uid="{00000000-0002-0000-2B00-000015000000}">
          <x14:formula1>
            <xm:f>random!$A$2:$A$3</xm:f>
          </x14:formula1>
          <xm:sqref>B22</xm:sqref>
        </x14:dataValidation>
        <x14:dataValidation type="list" showInputMessage="1" showErrorMessage="1" error="Please answer as Yes or No" prompt="Gauze will absorb fluid from weeping wounds and protect injury sites. Rolled gauze can be easily rolled around an injury site. Ideal for injuries on limbs or to secure gauze pads." xr:uid="{00000000-0002-0000-2B00-000016000000}">
          <x14:formula1>
            <xm:f>random!$A$2:$A$3</xm:f>
          </x14:formula1>
          <xm:sqref>B23</xm:sqref>
        </x14:dataValidation>
        <x14:dataValidation type="list" showInputMessage="1" showErrorMessage="1" error="Please answer as Yes or No" prompt="Gauze will absorb fluid from weeping wounds and protect injury sites. Gauze pads provide greater absorbance than other wound dressings and are easily applied to a wound area of various sizes." xr:uid="{00000000-0002-0000-2B00-000017000000}">
          <x14:formula1>
            <xm:f>random!$A$2:$A$3</xm:f>
          </x14:formula1>
          <xm:sqref>B24</xm:sqref>
        </x14:dataValidation>
        <x14:dataValidation type="list" showInputMessage="1" showErrorMessage="1" error="Please answer as Yes or No" prompt="Compression bandages are flexible and can help secure wound dressings. Compression can assist in isolating and reducing joint mobility. Compression can also help reduce inflammation or through application of pressure at injury sites." xr:uid="{00000000-0002-0000-2B00-000018000000}">
          <x14:formula1>
            <xm:f>random!$A$2:$A$3</xm:f>
          </x14:formula1>
          <xm:sqref>B25</xm:sqref>
        </x14:dataValidation>
        <x14:dataValidation type="list" showInputMessage="1" showErrorMessage="1" error="Please answer as Yes or No" prompt="Plasters are bandages with a small pad for covering of the injury site and a surrounding adhesive section. These bandages are ideal for small-moderately sized minor injuries. " xr:uid="{00000000-0002-0000-2B00-000019000000}">
          <x14:formula1>
            <xm:f>random!$A$2:$A$3</xm:f>
          </x14:formula1>
          <xm:sqref>B26</xm:sqref>
        </x14:dataValidation>
        <x14:dataValidation type="list" showInputMessage="1" showErrorMessage="1" error="Please answer as Yes or No" prompt="Pads are bandages for covering of the injury site. Generally lack an adhesive section. These bandages are ideal for larger sized minor injuries and require medical tape or other methods to secure onto an injury site. " xr:uid="{00000000-0002-0000-2B00-00001A000000}">
          <x14:formula1>
            <xm:f>random!$A$2:$A$3</xm:f>
          </x14:formula1>
          <xm:sqref>B27</xm:sqref>
        </x14:dataValidation>
        <x14:dataValidation type="list" showInputMessage="1" showErrorMessage="1" error="Please answer as Yes or No" prompt="Some products are best for single day use. Such bandages should be changed daily." xr:uid="{00000000-0002-0000-2B00-00001B000000}">
          <x14:formula1>
            <xm:f>random!$A$2:$A$3</xm:f>
          </x14:formula1>
          <xm:sqref>B28</xm:sqref>
        </x14:dataValidation>
        <x14:dataValidation type="list" showInputMessage="1" showErrorMessage="1" error="Please answer as Yes or No" prompt="Some products are designed for extended use or multiday use and require less frequent bandage changes. Generally more costly option than day use bandages." xr:uid="{00000000-0002-0000-2B00-00001C000000}">
          <x14:formula1>
            <xm:f>random!$A$2:$A$3</xm:f>
          </x14:formula1>
          <xm:sqref>B29</xm:sqref>
        </x14:dataValidation>
        <x14:dataValidation type="list" showInputMessage="1" showErrorMessage="1" error="Please answer as Yes or No" prompt="Some multipack products will contain bandages of different shapes for use on various wound types including fingers and heals. " xr:uid="{00000000-0002-0000-2B00-00001D000000}">
          <x14:formula1>
            <xm:f>random!$A$2:$A$3</xm:f>
          </x14:formula1>
          <xm:sqref>B32</xm:sqref>
        </x14:dataValidation>
        <x14:dataValidation type="list" showInputMessage="1" showErrorMessage="1" error="Please answer as Yes or No" prompt="Some bandages are available in standard rectangular shape that will fit or appropriately cover most wound types." xr:uid="{00000000-0002-0000-2B00-00001E000000}">
          <x14:formula1>
            <xm:f>random!$A$2:$A$3</xm:f>
          </x14:formula1>
          <xm:sqref>B30</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J109"/>
  <sheetViews>
    <sheetView workbookViewId="0">
      <selection activeCell="A6" sqref="A6"/>
    </sheetView>
  </sheetViews>
  <sheetFormatPr defaultRowHeight="15"/>
  <cols>
    <col min="1" max="1" width="52.140625" customWidth="1"/>
    <col min="2" max="6" width="9" customWidth="1"/>
    <col min="7" max="7" width="7.140625" customWidth="1"/>
    <col min="8" max="8" width="10.28515625" customWidth="1"/>
    <col min="9" max="10" width="10.7109375" customWidth="1"/>
    <col min="11" max="11" width="14.28515625" customWidth="1"/>
    <col min="12" max="12" width="13.42578125" customWidth="1"/>
    <col min="13" max="13" width="10.7109375" customWidth="1"/>
    <col min="14" max="16" width="11" customWidth="1"/>
    <col min="17" max="17" width="8.42578125" customWidth="1"/>
    <col min="18" max="19" width="11" customWidth="1"/>
    <col min="20" max="20" width="12" customWidth="1"/>
    <col min="21" max="32" width="11" customWidth="1"/>
    <col min="33" max="33" width="84.28515625" customWidth="1"/>
  </cols>
  <sheetData>
    <row r="1" spans="1:33">
      <c r="A1" s="178" t="s">
        <v>1248</v>
      </c>
      <c r="B1" s="30" t="s">
        <v>1425</v>
      </c>
      <c r="C1" s="30" t="s">
        <v>1471</v>
      </c>
      <c r="D1" s="30" t="s">
        <v>1664</v>
      </c>
      <c r="E1" s="30" t="s">
        <v>1665</v>
      </c>
      <c r="F1" s="30" t="s">
        <v>962</v>
      </c>
      <c r="G1" s="30" t="s">
        <v>1426</v>
      </c>
      <c r="H1" s="30" t="s">
        <v>1666</v>
      </c>
      <c r="I1" s="30" t="s">
        <v>1429</v>
      </c>
      <c r="J1" s="30" t="s">
        <v>1672</v>
      </c>
      <c r="K1" s="30" t="s">
        <v>1396</v>
      </c>
      <c r="L1" s="30" t="s">
        <v>1411</v>
      </c>
      <c r="M1" s="30" t="s">
        <v>1427</v>
      </c>
      <c r="N1" s="30" t="s">
        <v>1397</v>
      </c>
      <c r="O1" s="30" t="s">
        <v>1399</v>
      </c>
      <c r="P1" s="30" t="s">
        <v>1416</v>
      </c>
      <c r="Q1" s="30" t="s">
        <v>1417</v>
      </c>
      <c r="R1" s="30" t="s">
        <v>1398</v>
      </c>
      <c r="S1" s="31" t="s">
        <v>1400</v>
      </c>
      <c r="T1" s="31" t="s">
        <v>1406</v>
      </c>
      <c r="U1" s="31" t="s">
        <v>1401</v>
      </c>
      <c r="V1" s="31" t="s">
        <v>1402</v>
      </c>
      <c r="W1" s="31" t="s">
        <v>1403</v>
      </c>
      <c r="X1" s="31" t="s">
        <v>1404</v>
      </c>
      <c r="Y1" s="31" t="s">
        <v>1405</v>
      </c>
      <c r="Z1" t="s">
        <v>1439</v>
      </c>
      <c r="AA1" t="s">
        <v>1678</v>
      </c>
      <c r="AB1" t="s">
        <v>1679</v>
      </c>
      <c r="AC1" t="s">
        <v>1680</v>
      </c>
      <c r="AD1" t="s">
        <v>1681</v>
      </c>
      <c r="AE1" t="s">
        <v>825</v>
      </c>
      <c r="AF1" t="s">
        <v>1438</v>
      </c>
      <c r="AG1" s="31" t="s">
        <v>1498</v>
      </c>
    </row>
    <row r="2" spans="1:33">
      <c r="A2" s="99" t="b">
        <f>IF(Table29[[#This Row],[Column52]],Table29[[#This Row],[Products]])</f>
        <v>0</v>
      </c>
      <c r="B2" s="179" t="b">
        <f>AND('Bandage Product Criteria'!B26,'Bandage Product Criteria'!C21:C25,'Bandage Product Criteria'!C27)</f>
        <v>0</v>
      </c>
      <c r="C2" s="213"/>
      <c r="D2" s="213"/>
      <c r="E2" s="213"/>
      <c r="F2" s="213"/>
      <c r="G2" s="213"/>
      <c r="H2" s="213"/>
      <c r="I2" s="213" t="b">
        <f>AND('Bandage Product Criteria'!C14)</f>
        <v>1</v>
      </c>
      <c r="J2" s="213"/>
      <c r="K2" s="179" t="b">
        <f>AND('Bandage Product Criteria'!B3,'Bandage Product Criteria'!C4:C5)</f>
        <v>0</v>
      </c>
      <c r="L2" s="213"/>
      <c r="M2" s="213" t="b">
        <f>AND('Bandage Product Criteria'!C6)</f>
        <v>1</v>
      </c>
      <c r="N2" s="179" t="b">
        <f>AND('Bandage Product Criteria'!B29,'Bandage Product Criteria'!C28)</f>
        <v>0</v>
      </c>
      <c r="O2" s="213"/>
      <c r="P2" s="213" t="b">
        <f>AND('Bandage Product Criteria'!C12)</f>
        <v>1</v>
      </c>
      <c r="Q2" s="213" t="b">
        <f>AND('Bandage Product Criteria'!C13)</f>
        <v>1</v>
      </c>
      <c r="R2" s="179" t="b">
        <f>AND('Bandage Product Criteria'!B31,'Bandage Product Criteria'!C30)</f>
        <v>0</v>
      </c>
      <c r="S2" s="17"/>
      <c r="T2" s="20" t="b">
        <f>OR('Bandage Product Criteria'!B20:C20)</f>
        <v>1</v>
      </c>
      <c r="U2" s="17"/>
      <c r="V2" s="20" t="b">
        <f>AND('Bandage Product Criteria'!B8,'Bandage Product Criteria'!C7,'Bandage Product Criteria'!C9:C11)</f>
        <v>0</v>
      </c>
      <c r="W2" s="17"/>
      <c r="X2" s="17"/>
      <c r="Y2" s="17"/>
      <c r="Z2" s="17" t="b">
        <f>AND('Bandage Product Criteria'!C32)</f>
        <v>1</v>
      </c>
      <c r="AA2" s="17" t="b">
        <f>AND('Bandage Product Criteria'!C15)</f>
        <v>1</v>
      </c>
      <c r="AB2" s="17" t="b">
        <f>AND('Bandage Product Criteria'!C16)</f>
        <v>1</v>
      </c>
      <c r="AC2" s="17" t="b">
        <f>AND('Bandage Product Criteria'!C17)</f>
        <v>1</v>
      </c>
      <c r="AD2" s="17" t="b">
        <f>AND('Bandage Product Criteria'!C18)</f>
        <v>1</v>
      </c>
      <c r="AE2" s="17" t="b">
        <f>AND('Bandage Product Criteria'!C19)</f>
        <v>1</v>
      </c>
      <c r="AF2" t="b">
        <f>AND(Table29[[#This Row],[Plaster]:[Hypoallergenic]])</f>
        <v>0</v>
      </c>
      <c r="AG2" s="11" t="s">
        <v>1391</v>
      </c>
    </row>
    <row r="3" spans="1:33">
      <c r="A3" s="100" t="b">
        <f>IF(Table29[[#This Row],[Column52]],Table29[[#This Row],[Products]])</f>
        <v>0</v>
      </c>
      <c r="B3" s="179" t="b">
        <f>B2</f>
        <v>0</v>
      </c>
      <c r="C3" s="213"/>
      <c r="D3" s="213"/>
      <c r="E3" s="213"/>
      <c r="F3" s="213"/>
      <c r="G3" s="213"/>
      <c r="H3" s="213"/>
      <c r="I3" s="213" t="b">
        <f>I2</f>
        <v>1</v>
      </c>
      <c r="J3" s="213"/>
      <c r="K3" s="179" t="b">
        <f>K2</f>
        <v>0</v>
      </c>
      <c r="L3" s="213"/>
      <c r="M3" s="213" t="b">
        <f>M2</f>
        <v>1</v>
      </c>
      <c r="N3" s="179" t="b">
        <f>N2</f>
        <v>0</v>
      </c>
      <c r="O3" s="213"/>
      <c r="P3" s="213" t="b">
        <f>P2</f>
        <v>1</v>
      </c>
      <c r="Q3" s="213" t="b">
        <f>Q2</f>
        <v>1</v>
      </c>
      <c r="R3" s="213"/>
      <c r="S3" s="20" t="b">
        <f>AND('Bandage Product Criteria'!B30,'Bandage Product Criteria'!C31)</f>
        <v>0</v>
      </c>
      <c r="T3" s="20" t="b">
        <f>T2</f>
        <v>1</v>
      </c>
      <c r="U3" s="17"/>
      <c r="V3" s="17"/>
      <c r="W3" s="17"/>
      <c r="X3" s="20" t="b">
        <f>AND('Bandage Product Criteria'!B10,'Bandage Product Criteria'!C7:C9,'Bandage Product Criteria'!C11)</f>
        <v>0</v>
      </c>
      <c r="Y3" s="17"/>
      <c r="Z3" s="17" t="b">
        <f t="shared" ref="Z3:AE3" si="0">Z2</f>
        <v>1</v>
      </c>
      <c r="AA3" s="17" t="b">
        <f t="shared" si="0"/>
        <v>1</v>
      </c>
      <c r="AB3" s="17" t="b">
        <f t="shared" si="0"/>
        <v>1</v>
      </c>
      <c r="AC3" s="17" t="b">
        <f t="shared" si="0"/>
        <v>1</v>
      </c>
      <c r="AD3" s="17" t="b">
        <f t="shared" si="0"/>
        <v>1</v>
      </c>
      <c r="AE3" s="17" t="b">
        <f t="shared" si="0"/>
        <v>1</v>
      </c>
      <c r="AF3" t="b">
        <f>AND(Table29[[#This Row],[Plaster]:[Hypoallergenic]])</f>
        <v>0</v>
      </c>
      <c r="AG3" s="11" t="s">
        <v>1392</v>
      </c>
    </row>
    <row r="4" spans="1:33">
      <c r="A4" t="b">
        <f>IF(Table29[[#This Row],[Column52]],Table29[[#This Row],[Products]])</f>
        <v>0</v>
      </c>
      <c r="B4" s="179" t="b">
        <f>B2</f>
        <v>0</v>
      </c>
      <c r="C4" s="17"/>
      <c r="D4" s="17"/>
      <c r="E4" s="17"/>
      <c r="F4" s="17"/>
      <c r="G4" s="17"/>
      <c r="H4" s="17"/>
      <c r="I4" s="17" t="b">
        <f>I2</f>
        <v>1</v>
      </c>
      <c r="J4" s="17"/>
      <c r="K4" s="20" t="b">
        <f>K2</f>
        <v>0</v>
      </c>
      <c r="L4" s="17"/>
      <c r="M4" s="17" t="b">
        <f>M2</f>
        <v>1</v>
      </c>
      <c r="N4" s="20" t="b">
        <f>N2</f>
        <v>0</v>
      </c>
      <c r="O4" s="17"/>
      <c r="P4" s="17" t="b">
        <f>P2</f>
        <v>1</v>
      </c>
      <c r="Q4" s="17" t="b">
        <f>Q2</f>
        <v>1</v>
      </c>
      <c r="R4" s="17"/>
      <c r="S4" s="20" t="b">
        <f>S3</f>
        <v>0</v>
      </c>
      <c r="T4" s="20" t="b">
        <f>T2</f>
        <v>1</v>
      </c>
      <c r="U4" s="17"/>
      <c r="V4" s="17"/>
      <c r="W4" s="17"/>
      <c r="X4" s="17"/>
      <c r="Y4" s="20" t="b">
        <f>AND('Bandage Product Criteria'!B11,'Bandage Product Criteria'!C7:C10)</f>
        <v>0</v>
      </c>
      <c r="Z4" s="17" t="b">
        <f t="shared" ref="Z4:AE4" si="1">Z2</f>
        <v>1</v>
      </c>
      <c r="AA4" s="17" t="b">
        <f t="shared" si="1"/>
        <v>1</v>
      </c>
      <c r="AB4" s="17" t="b">
        <f t="shared" si="1"/>
        <v>1</v>
      </c>
      <c r="AC4" s="17" t="b">
        <f t="shared" si="1"/>
        <v>1</v>
      </c>
      <c r="AD4" s="17" t="b">
        <f t="shared" si="1"/>
        <v>1</v>
      </c>
      <c r="AE4" s="17" t="b">
        <f t="shared" si="1"/>
        <v>1</v>
      </c>
      <c r="AF4" t="b">
        <f>AND(Table29[[#This Row],[Plaster]:[Hypoallergenic]])</f>
        <v>0</v>
      </c>
      <c r="AG4" s="11" t="s">
        <v>1393</v>
      </c>
    </row>
    <row r="5" spans="1:33">
      <c r="A5" t="b">
        <f>IF(Table29[[#This Row],[Column52]],Table29[[#This Row],[Products]])</f>
        <v>0</v>
      </c>
      <c r="B5" s="179" t="b">
        <f>B2</f>
        <v>0</v>
      </c>
      <c r="C5" s="17"/>
      <c r="D5" s="17"/>
      <c r="E5" s="17"/>
      <c r="F5" s="17"/>
      <c r="G5" s="17"/>
      <c r="H5" s="17"/>
      <c r="I5" s="17" t="b">
        <f>I2</f>
        <v>1</v>
      </c>
      <c r="J5" s="17"/>
      <c r="K5" s="20" t="b">
        <f>K2</f>
        <v>0</v>
      </c>
      <c r="L5" s="17"/>
      <c r="M5" s="17" t="b">
        <f>M2</f>
        <v>1</v>
      </c>
      <c r="N5" s="20" t="b">
        <f>N2</f>
        <v>0</v>
      </c>
      <c r="O5" s="17"/>
      <c r="P5" s="17" t="b">
        <f>P2</f>
        <v>1</v>
      </c>
      <c r="Q5" s="17" t="b">
        <f>Q2</f>
        <v>1</v>
      </c>
      <c r="R5" s="20" t="b">
        <f>R2</f>
        <v>0</v>
      </c>
      <c r="S5" s="17"/>
      <c r="T5" s="20" t="b">
        <f>T2</f>
        <v>1</v>
      </c>
      <c r="U5" s="17"/>
      <c r="V5" s="20" t="b">
        <f>V2</f>
        <v>0</v>
      </c>
      <c r="W5" s="17"/>
      <c r="X5" s="17"/>
      <c r="Y5" s="17"/>
      <c r="Z5" s="17" t="b">
        <f t="shared" ref="Z5:AE5" si="2">Z2</f>
        <v>1</v>
      </c>
      <c r="AA5" s="17" t="b">
        <f t="shared" si="2"/>
        <v>1</v>
      </c>
      <c r="AB5" s="17" t="b">
        <f t="shared" si="2"/>
        <v>1</v>
      </c>
      <c r="AC5" s="17" t="b">
        <f t="shared" si="2"/>
        <v>1</v>
      </c>
      <c r="AD5" s="17" t="b">
        <f t="shared" si="2"/>
        <v>1</v>
      </c>
      <c r="AE5" s="17" t="b">
        <f t="shared" si="2"/>
        <v>1</v>
      </c>
      <c r="AF5" t="b">
        <f>AND(Table29[[#This Row],[Plaster]:[Hypoallergenic]])</f>
        <v>0</v>
      </c>
      <c r="AG5" s="11" t="s">
        <v>1394</v>
      </c>
    </row>
    <row r="6" spans="1:33">
      <c r="A6" t="b">
        <f>IF(Table29[[#This Row],[Column52]],Table29[[#This Row],[Products]])</f>
        <v>0</v>
      </c>
      <c r="B6" s="179" t="b">
        <f>B2</f>
        <v>0</v>
      </c>
      <c r="C6" s="17"/>
      <c r="D6" s="17"/>
      <c r="E6" s="17"/>
      <c r="F6" s="17"/>
      <c r="G6" s="17"/>
      <c r="H6" s="17"/>
      <c r="I6" s="17" t="b">
        <f>I2</f>
        <v>1</v>
      </c>
      <c r="J6" s="17"/>
      <c r="K6" s="20" t="b">
        <f>K2</f>
        <v>0</v>
      </c>
      <c r="L6" s="17"/>
      <c r="M6" s="17" t="b">
        <f>M2</f>
        <v>1</v>
      </c>
      <c r="N6" s="20" t="b">
        <f>N2</f>
        <v>0</v>
      </c>
      <c r="O6" s="17"/>
      <c r="P6" s="17" t="b">
        <f>P2</f>
        <v>1</v>
      </c>
      <c r="Q6" s="17" t="b">
        <f>Q2</f>
        <v>1</v>
      </c>
      <c r="R6" s="20" t="b">
        <f>R2</f>
        <v>0</v>
      </c>
      <c r="S6" s="17"/>
      <c r="T6" s="20" t="b">
        <f>T2</f>
        <v>1</v>
      </c>
      <c r="U6" s="17"/>
      <c r="V6" s="20" t="b">
        <f>V2</f>
        <v>0</v>
      </c>
      <c r="W6" s="17"/>
      <c r="X6" s="17"/>
      <c r="Y6" s="17"/>
      <c r="Z6" s="17" t="b">
        <f t="shared" ref="Z6:AE6" si="3">Z2</f>
        <v>1</v>
      </c>
      <c r="AA6" s="17" t="b">
        <f t="shared" si="3"/>
        <v>1</v>
      </c>
      <c r="AB6" s="17" t="b">
        <f t="shared" si="3"/>
        <v>1</v>
      </c>
      <c r="AC6" s="17" t="b">
        <f t="shared" si="3"/>
        <v>1</v>
      </c>
      <c r="AD6" s="17" t="b">
        <f t="shared" si="3"/>
        <v>1</v>
      </c>
      <c r="AE6" s="17" t="b">
        <f t="shared" si="3"/>
        <v>1</v>
      </c>
      <c r="AF6" t="b">
        <f>AND(Table29[[#This Row],[Plaster]:[Hypoallergenic]])</f>
        <v>0</v>
      </c>
      <c r="AG6" s="11" t="s">
        <v>1395</v>
      </c>
    </row>
    <row r="7" spans="1:33">
      <c r="A7" t="b">
        <f>IF(Table29[[#This Row],[Column52]],Table29[[#This Row],[Products]])</f>
        <v>0</v>
      </c>
      <c r="B7" s="179" t="b">
        <f>B2</f>
        <v>0</v>
      </c>
      <c r="C7" s="17"/>
      <c r="D7" s="17"/>
      <c r="E7" s="17"/>
      <c r="F7" s="17"/>
      <c r="G7" s="17"/>
      <c r="H7" s="17"/>
      <c r="I7" s="17" t="b">
        <f>I2</f>
        <v>1</v>
      </c>
      <c r="J7" s="17"/>
      <c r="K7" s="17"/>
      <c r="L7" s="20" t="b">
        <f>AND('Bandage Product Criteria'!B4,'Bandage Product Criteria'!C3,'Bandage Product Criteria'!C5)</f>
        <v>0</v>
      </c>
      <c r="M7" s="20" t="b">
        <f>OR('Bandage Product Criteria'!B6:C6)</f>
        <v>1</v>
      </c>
      <c r="N7" s="17"/>
      <c r="O7" s="20" t="b">
        <f>AND('Bandage Product Criteria'!B28,'Bandage Product Criteria'!C29)</f>
        <v>0</v>
      </c>
      <c r="P7" s="20" t="b">
        <f>OR('Bandage Product Criteria'!B12:C12)</f>
        <v>1</v>
      </c>
      <c r="Q7" s="17" t="b">
        <f>Q2</f>
        <v>1</v>
      </c>
      <c r="R7" s="17"/>
      <c r="S7" s="20" t="b">
        <f>S3</f>
        <v>0</v>
      </c>
      <c r="T7" s="17" t="b">
        <f>AND('Bandage Product Criteria'!C20)</f>
        <v>1</v>
      </c>
      <c r="U7" s="17"/>
      <c r="V7" s="17"/>
      <c r="W7" s="17"/>
      <c r="X7" s="17"/>
      <c r="Y7" s="20" t="b">
        <f>Y4</f>
        <v>0</v>
      </c>
      <c r="Z7" s="17" t="b">
        <f t="shared" ref="Z7:AE7" si="4">Z2</f>
        <v>1</v>
      </c>
      <c r="AA7" s="17" t="b">
        <f t="shared" si="4"/>
        <v>1</v>
      </c>
      <c r="AB7" s="17" t="b">
        <f t="shared" si="4"/>
        <v>1</v>
      </c>
      <c r="AC7" s="17" t="b">
        <f t="shared" si="4"/>
        <v>1</v>
      </c>
      <c r="AD7" s="17" t="b">
        <f t="shared" si="4"/>
        <v>1</v>
      </c>
      <c r="AE7" s="17" t="b">
        <f t="shared" si="4"/>
        <v>1</v>
      </c>
      <c r="AF7" t="b">
        <f>AND(Table29[[#This Row],[Plaster]:[Hypoallergenic]])</f>
        <v>0</v>
      </c>
      <c r="AG7" s="11" t="s">
        <v>1407</v>
      </c>
    </row>
    <row r="8" spans="1:33">
      <c r="A8" t="b">
        <f>IF(Table29[[#This Row],[Column52]],Table29[[#This Row],[Products]])</f>
        <v>0</v>
      </c>
      <c r="B8" s="179" t="b">
        <f>B2</f>
        <v>0</v>
      </c>
      <c r="C8" s="17"/>
      <c r="D8" s="17"/>
      <c r="E8" s="17"/>
      <c r="F8" s="17"/>
      <c r="G8" s="17"/>
      <c r="H8" s="17"/>
      <c r="I8" s="17" t="b">
        <f>I2</f>
        <v>1</v>
      </c>
      <c r="J8" s="17"/>
      <c r="K8" s="17"/>
      <c r="L8" s="20" t="b">
        <f>L7</f>
        <v>0</v>
      </c>
      <c r="M8" s="20" t="b">
        <f>M7</f>
        <v>1</v>
      </c>
      <c r="N8" s="17"/>
      <c r="O8" s="20" t="b">
        <f>O7</f>
        <v>0</v>
      </c>
      <c r="P8" s="20" t="b">
        <f>P7</f>
        <v>1</v>
      </c>
      <c r="Q8" s="17" t="b">
        <f>Q2</f>
        <v>1</v>
      </c>
      <c r="R8" s="17"/>
      <c r="S8" s="20" t="b">
        <f>S3</f>
        <v>0</v>
      </c>
      <c r="T8" s="17" t="b">
        <f>T7</f>
        <v>1</v>
      </c>
      <c r="U8" s="20" t="b">
        <f>AND('Bandage Product Criteria'!B7,'Bandage Product Criteria'!C8:C11)</f>
        <v>0</v>
      </c>
      <c r="V8" s="17"/>
      <c r="W8" s="17"/>
      <c r="X8" s="17"/>
      <c r="Y8" s="17"/>
      <c r="Z8" s="17" t="b">
        <f t="shared" ref="Z8:AE8" si="5">Z2</f>
        <v>1</v>
      </c>
      <c r="AA8" s="17" t="b">
        <f t="shared" si="5"/>
        <v>1</v>
      </c>
      <c r="AB8" s="17" t="b">
        <f t="shared" si="5"/>
        <v>1</v>
      </c>
      <c r="AC8" s="17" t="b">
        <f t="shared" si="5"/>
        <v>1</v>
      </c>
      <c r="AD8" s="17" t="b">
        <f t="shared" si="5"/>
        <v>1</v>
      </c>
      <c r="AE8" s="17" t="b">
        <f t="shared" si="5"/>
        <v>1</v>
      </c>
      <c r="AF8" t="b">
        <f>AND(Table29[[#This Row],[Plaster]:[Hypoallergenic]])</f>
        <v>0</v>
      </c>
      <c r="AG8" s="11" t="s">
        <v>1408</v>
      </c>
    </row>
    <row r="9" spans="1:33">
      <c r="A9" t="b">
        <f>IF(Table29[[#This Row],[Column52]],Table29[[#This Row],[Products]])</f>
        <v>0</v>
      </c>
      <c r="B9" s="179" t="b">
        <f>B2</f>
        <v>0</v>
      </c>
      <c r="C9" s="17"/>
      <c r="D9" s="17"/>
      <c r="E9" s="17"/>
      <c r="F9" s="17"/>
      <c r="G9" s="17"/>
      <c r="H9" s="17"/>
      <c r="I9" s="17" t="b">
        <f>I2</f>
        <v>1</v>
      </c>
      <c r="J9" s="17"/>
      <c r="K9" s="17"/>
      <c r="L9" s="20" t="b">
        <f>L7</f>
        <v>0</v>
      </c>
      <c r="M9" s="20" t="b">
        <f>M7</f>
        <v>1</v>
      </c>
      <c r="N9" s="17"/>
      <c r="O9" s="20" t="b">
        <f>O7</f>
        <v>0</v>
      </c>
      <c r="P9" s="20" t="b">
        <f>P7</f>
        <v>1</v>
      </c>
      <c r="Q9" s="17" t="b">
        <f>Q2</f>
        <v>1</v>
      </c>
      <c r="R9" s="17"/>
      <c r="S9" s="20" t="b">
        <f>S3</f>
        <v>0</v>
      </c>
      <c r="T9" s="17" t="b">
        <f>T7</f>
        <v>1</v>
      </c>
      <c r="U9" s="17"/>
      <c r="V9" s="17"/>
      <c r="W9" s="20" t="b">
        <f>AND('Bandage Product Criteria'!B9,'Bandage Product Criteria'!C7:C8,'Bandage Product Criteria'!C10:C11)</f>
        <v>0</v>
      </c>
      <c r="X9" s="17"/>
      <c r="Y9" s="17"/>
      <c r="Z9" s="17" t="b">
        <f t="shared" ref="Z9:AE9" si="6">Z2</f>
        <v>1</v>
      </c>
      <c r="AA9" s="17" t="b">
        <f t="shared" si="6"/>
        <v>1</v>
      </c>
      <c r="AB9" s="17" t="b">
        <f t="shared" si="6"/>
        <v>1</v>
      </c>
      <c r="AC9" s="17" t="b">
        <f t="shared" si="6"/>
        <v>1</v>
      </c>
      <c r="AD9" s="17" t="b">
        <f t="shared" si="6"/>
        <v>1</v>
      </c>
      <c r="AE9" s="17" t="b">
        <f t="shared" si="6"/>
        <v>1</v>
      </c>
      <c r="AF9" t="b">
        <f>AND(Table29[[#This Row],[Plaster]:[Hypoallergenic]])</f>
        <v>0</v>
      </c>
      <c r="AG9" s="11" t="s">
        <v>1409</v>
      </c>
    </row>
    <row r="10" spans="1:33">
      <c r="A10" t="b">
        <f>IF(Table29[[#This Row],[Column52]],Table29[[#This Row],[Products]])</f>
        <v>0</v>
      </c>
      <c r="B10" s="179" t="b">
        <f>B2</f>
        <v>0</v>
      </c>
      <c r="C10" s="17"/>
      <c r="D10" s="17"/>
      <c r="E10" s="17"/>
      <c r="F10" s="17"/>
      <c r="G10" s="17"/>
      <c r="H10" s="17"/>
      <c r="I10" s="17" t="b">
        <f>I2</f>
        <v>1</v>
      </c>
      <c r="J10" s="17"/>
      <c r="K10" s="17"/>
      <c r="L10" s="20" t="b">
        <f>L7</f>
        <v>0</v>
      </c>
      <c r="M10" s="20" t="b">
        <f>M7</f>
        <v>1</v>
      </c>
      <c r="N10" s="17"/>
      <c r="O10" s="20" t="b">
        <f>O7</f>
        <v>0</v>
      </c>
      <c r="P10" s="20" t="b">
        <f>P7</f>
        <v>1</v>
      </c>
      <c r="Q10" s="17" t="b">
        <f>Q2</f>
        <v>1</v>
      </c>
      <c r="R10" s="17"/>
      <c r="S10" s="20" t="b">
        <f>S3</f>
        <v>0</v>
      </c>
      <c r="T10" s="17" t="b">
        <f>T7</f>
        <v>1</v>
      </c>
      <c r="U10" s="20" t="b">
        <f>U8</f>
        <v>0</v>
      </c>
      <c r="V10" s="17"/>
      <c r="W10" s="17"/>
      <c r="X10" s="17"/>
      <c r="Y10" s="17"/>
      <c r="Z10" s="17" t="b">
        <f t="shared" ref="Z10:AE10" si="7">Z2</f>
        <v>1</v>
      </c>
      <c r="AA10" s="17" t="b">
        <f t="shared" si="7"/>
        <v>1</v>
      </c>
      <c r="AB10" s="17" t="b">
        <f t="shared" si="7"/>
        <v>1</v>
      </c>
      <c r="AC10" s="17" t="b">
        <f t="shared" si="7"/>
        <v>1</v>
      </c>
      <c r="AD10" s="17" t="b">
        <f t="shared" si="7"/>
        <v>1</v>
      </c>
      <c r="AE10" s="17" t="b">
        <f t="shared" si="7"/>
        <v>1</v>
      </c>
      <c r="AF10" t="b">
        <f>AND(Table29[[#This Row],[Plaster]:[Hypoallergenic]])</f>
        <v>0</v>
      </c>
      <c r="AG10" s="11" t="s">
        <v>1410</v>
      </c>
    </row>
    <row r="11" spans="1:33">
      <c r="A11" t="b">
        <f>IF(Table29[[#This Row],[Column52]],Table29[[#This Row],[Products]])</f>
        <v>0</v>
      </c>
      <c r="B11" s="20" t="b">
        <f>B2</f>
        <v>0</v>
      </c>
      <c r="C11" s="17"/>
      <c r="D11" s="17"/>
      <c r="E11" s="17"/>
      <c r="F11" s="17"/>
      <c r="G11" s="17"/>
      <c r="H11" s="17"/>
      <c r="I11" s="17" t="b">
        <f>I2</f>
        <v>1</v>
      </c>
      <c r="J11" s="20" t="b">
        <f>AND('Bandage Product Criteria'!B5,'Bandage Product Criteria'!C3:C4)</f>
        <v>0</v>
      </c>
      <c r="K11" s="17"/>
      <c r="L11" s="17"/>
      <c r="M11" s="17" t="b">
        <f>M2</f>
        <v>1</v>
      </c>
      <c r="N11" s="17"/>
      <c r="O11" s="20" t="b">
        <f>O7</f>
        <v>0</v>
      </c>
      <c r="P11" s="17" t="b">
        <f>P2</f>
        <v>1</v>
      </c>
      <c r="Q11" s="20" t="b">
        <f>OR('Bandage Product Criteria'!B13:C13)</f>
        <v>1</v>
      </c>
      <c r="R11" s="17"/>
      <c r="S11" s="20" t="b">
        <f>S3</f>
        <v>0</v>
      </c>
      <c r="T11" s="17" t="b">
        <f>T7</f>
        <v>1</v>
      </c>
      <c r="U11" s="17"/>
      <c r="V11" s="17"/>
      <c r="W11" s="20" t="b">
        <f>W9</f>
        <v>0</v>
      </c>
      <c r="X11" s="17"/>
      <c r="Y11" s="17"/>
      <c r="Z11" s="17" t="b">
        <f t="shared" ref="Z11:AE11" si="8">Z2</f>
        <v>1</v>
      </c>
      <c r="AA11" s="17" t="b">
        <f t="shared" si="8"/>
        <v>1</v>
      </c>
      <c r="AB11" s="17" t="b">
        <f t="shared" si="8"/>
        <v>1</v>
      </c>
      <c r="AC11" s="17" t="b">
        <f t="shared" si="8"/>
        <v>1</v>
      </c>
      <c r="AD11" s="17" t="b">
        <f t="shared" si="8"/>
        <v>1</v>
      </c>
      <c r="AE11" s="17" t="b">
        <f t="shared" si="8"/>
        <v>1</v>
      </c>
      <c r="AF11" t="b">
        <f>AND(Table29[[#This Row],[Plaster]:[Hypoallergenic]])</f>
        <v>0</v>
      </c>
      <c r="AG11" s="11" t="s">
        <v>1412</v>
      </c>
    </row>
    <row r="12" spans="1:33">
      <c r="A12" t="b">
        <f>IF(Table29[[#This Row],[Column52]],Table29[[#This Row],[Products]])</f>
        <v>0</v>
      </c>
      <c r="B12" s="20" t="b">
        <f>B2</f>
        <v>0</v>
      </c>
      <c r="C12" s="17"/>
      <c r="D12" s="17"/>
      <c r="E12" s="17"/>
      <c r="F12" s="17"/>
      <c r="G12" s="17"/>
      <c r="H12" s="17"/>
      <c r="I12" s="17" t="b">
        <f>I2</f>
        <v>1</v>
      </c>
      <c r="J12" s="20" t="b">
        <f>J11</f>
        <v>0</v>
      </c>
      <c r="K12" s="17"/>
      <c r="L12" s="17"/>
      <c r="M12" s="17" t="b">
        <f>M2</f>
        <v>1</v>
      </c>
      <c r="N12" s="17"/>
      <c r="O12" s="20" t="b">
        <f>O7</f>
        <v>0</v>
      </c>
      <c r="P12" s="17" t="b">
        <f>P2</f>
        <v>1</v>
      </c>
      <c r="Q12" s="20" t="b">
        <f>Q11</f>
        <v>1</v>
      </c>
      <c r="R12" s="17"/>
      <c r="S12" s="20" t="b">
        <f>S3</f>
        <v>0</v>
      </c>
      <c r="T12" s="17" t="b">
        <f>T7</f>
        <v>1</v>
      </c>
      <c r="U12" s="17"/>
      <c r="V12" s="17"/>
      <c r="W12" s="20" t="b">
        <f>W9</f>
        <v>0</v>
      </c>
      <c r="X12" s="17"/>
      <c r="Y12" s="17"/>
      <c r="Z12" s="17" t="b">
        <f t="shared" ref="Z12:AE12" si="9">Z2</f>
        <v>1</v>
      </c>
      <c r="AA12" s="17" t="b">
        <f t="shared" si="9"/>
        <v>1</v>
      </c>
      <c r="AB12" s="17" t="b">
        <f t="shared" si="9"/>
        <v>1</v>
      </c>
      <c r="AC12" s="17" t="b">
        <f t="shared" si="9"/>
        <v>1</v>
      </c>
      <c r="AD12" s="17" t="b">
        <f t="shared" si="9"/>
        <v>1</v>
      </c>
      <c r="AE12" s="17" t="b">
        <f t="shared" si="9"/>
        <v>1</v>
      </c>
      <c r="AF12" t="b">
        <f>AND(Table29[[#This Row],[Plaster]:[Hypoallergenic]])</f>
        <v>0</v>
      </c>
      <c r="AG12" s="11" t="s">
        <v>1413</v>
      </c>
    </row>
    <row r="13" spans="1:33">
      <c r="A13" t="b">
        <f>IF(Table29[[#This Row],[Column52]],Table29[[#This Row],[Products]])</f>
        <v>0</v>
      </c>
      <c r="B13" s="20" t="b">
        <f>B2</f>
        <v>0</v>
      </c>
      <c r="C13" s="17"/>
      <c r="D13" s="17"/>
      <c r="E13" s="17"/>
      <c r="F13" s="17"/>
      <c r="G13" s="17"/>
      <c r="H13" s="17"/>
      <c r="I13" s="17" t="b">
        <f>I2</f>
        <v>1</v>
      </c>
      <c r="J13" s="20" t="b">
        <f>J11</f>
        <v>0</v>
      </c>
      <c r="K13" s="17"/>
      <c r="L13" s="17"/>
      <c r="M13" s="17" t="b">
        <f>M2</f>
        <v>1</v>
      </c>
      <c r="N13" s="17"/>
      <c r="O13" s="20" t="b">
        <f>O7</f>
        <v>0</v>
      </c>
      <c r="P13" s="17" t="b">
        <f>P2</f>
        <v>1</v>
      </c>
      <c r="Q13" s="20" t="b">
        <f>Q11</f>
        <v>1</v>
      </c>
      <c r="R13" s="20" t="b">
        <f>R2</f>
        <v>0</v>
      </c>
      <c r="S13" s="17"/>
      <c r="T13" s="17" t="b">
        <f>T7</f>
        <v>1</v>
      </c>
      <c r="U13" s="17"/>
      <c r="V13" s="17"/>
      <c r="W13" s="20" t="b">
        <f>W9</f>
        <v>0</v>
      </c>
      <c r="X13" s="17"/>
      <c r="Y13" s="17"/>
      <c r="Z13" s="17" t="b">
        <f t="shared" ref="Z13:AE13" si="10">Z2</f>
        <v>1</v>
      </c>
      <c r="AA13" s="17" t="b">
        <f t="shared" si="10"/>
        <v>1</v>
      </c>
      <c r="AB13" s="17" t="b">
        <f t="shared" si="10"/>
        <v>1</v>
      </c>
      <c r="AC13" s="17" t="b">
        <f t="shared" si="10"/>
        <v>1</v>
      </c>
      <c r="AD13" s="17" t="b">
        <f t="shared" si="10"/>
        <v>1</v>
      </c>
      <c r="AE13" s="17" t="b">
        <f t="shared" si="10"/>
        <v>1</v>
      </c>
      <c r="AF13" t="b">
        <f>AND(Table29[[#This Row],[Plaster]:[Hypoallergenic]])</f>
        <v>0</v>
      </c>
      <c r="AG13" s="11" t="s">
        <v>1414</v>
      </c>
    </row>
    <row r="14" spans="1:33">
      <c r="A14" t="b">
        <f>IF(Table29[[#This Row],[Column52]],Table29[[#This Row],[Products]])</f>
        <v>0</v>
      </c>
      <c r="B14" s="20" t="b">
        <f>B2</f>
        <v>0</v>
      </c>
      <c r="C14" s="17"/>
      <c r="D14" s="17"/>
      <c r="E14" s="17"/>
      <c r="F14" s="17"/>
      <c r="G14" s="17"/>
      <c r="H14" s="17"/>
      <c r="I14" s="17" t="b">
        <f>I2</f>
        <v>1</v>
      </c>
      <c r="J14" s="20" t="b">
        <f>J11</f>
        <v>0</v>
      </c>
      <c r="K14" s="17"/>
      <c r="L14" s="17"/>
      <c r="M14" s="17" t="b">
        <f>M2</f>
        <v>1</v>
      </c>
      <c r="N14" s="17"/>
      <c r="O14" s="20" t="b">
        <f>O7</f>
        <v>0</v>
      </c>
      <c r="P14" s="17" t="b">
        <f>P2</f>
        <v>1</v>
      </c>
      <c r="Q14" s="20" t="b">
        <f>Q11</f>
        <v>1</v>
      </c>
      <c r="R14" s="17"/>
      <c r="S14" s="20" t="b">
        <f>S3</f>
        <v>0</v>
      </c>
      <c r="T14" s="17" t="b">
        <f>T7</f>
        <v>1</v>
      </c>
      <c r="U14" s="17"/>
      <c r="V14" s="17"/>
      <c r="W14" s="17"/>
      <c r="X14" s="17"/>
      <c r="Y14" s="20" t="b">
        <f>Y4</f>
        <v>0</v>
      </c>
      <c r="Z14" s="17" t="b">
        <f t="shared" ref="Z14:AE14" si="11">Z2</f>
        <v>1</v>
      </c>
      <c r="AA14" s="17" t="b">
        <f t="shared" si="11"/>
        <v>1</v>
      </c>
      <c r="AB14" s="17" t="b">
        <f t="shared" si="11"/>
        <v>1</v>
      </c>
      <c r="AC14" s="17" t="b">
        <f t="shared" si="11"/>
        <v>1</v>
      </c>
      <c r="AD14" s="17" t="b">
        <f t="shared" si="11"/>
        <v>1</v>
      </c>
      <c r="AE14" s="17" t="b">
        <f t="shared" si="11"/>
        <v>1</v>
      </c>
      <c r="AF14" t="b">
        <f>AND(Table29[[#This Row],[Plaster]:[Hypoallergenic]])</f>
        <v>0</v>
      </c>
      <c r="AG14" s="11" t="s">
        <v>1415</v>
      </c>
    </row>
    <row r="15" spans="1:33">
      <c r="A15" t="b">
        <f>IF(Table29[[#This Row],[Column52]],Table29[[#This Row],[Products]])</f>
        <v>0</v>
      </c>
      <c r="B15" s="20" t="b">
        <f>B2</f>
        <v>0</v>
      </c>
      <c r="C15" s="17"/>
      <c r="D15" s="17"/>
      <c r="E15" s="17"/>
      <c r="F15" s="17"/>
      <c r="G15" s="17"/>
      <c r="H15" s="17"/>
      <c r="I15" s="17" t="b">
        <f>I2</f>
        <v>1</v>
      </c>
      <c r="J15" s="17"/>
      <c r="K15" s="20" t="b">
        <f>K2</f>
        <v>0</v>
      </c>
      <c r="L15" s="17"/>
      <c r="M15" s="17" t="b">
        <f>M2</f>
        <v>1</v>
      </c>
      <c r="N15" s="17"/>
      <c r="O15" s="20" t="b">
        <f>O7</f>
        <v>0</v>
      </c>
      <c r="P15" s="17" t="b">
        <f>P2</f>
        <v>1</v>
      </c>
      <c r="Q15" s="20" t="b">
        <f>Q11</f>
        <v>1</v>
      </c>
      <c r="R15" s="17"/>
      <c r="S15" s="20" t="b">
        <f>S3</f>
        <v>0</v>
      </c>
      <c r="T15" s="17" t="b">
        <f>T7</f>
        <v>1</v>
      </c>
      <c r="U15" s="17"/>
      <c r="V15" s="17"/>
      <c r="W15" s="20" t="b">
        <f>W9</f>
        <v>0</v>
      </c>
      <c r="X15" s="17"/>
      <c r="Y15" s="17"/>
      <c r="Z15" s="17" t="b">
        <f t="shared" ref="Z15:AE15" si="12">Z2</f>
        <v>1</v>
      </c>
      <c r="AA15" s="17" t="b">
        <f t="shared" si="12"/>
        <v>1</v>
      </c>
      <c r="AB15" s="17" t="b">
        <f t="shared" si="12"/>
        <v>1</v>
      </c>
      <c r="AC15" s="17" t="b">
        <f t="shared" si="12"/>
        <v>1</v>
      </c>
      <c r="AD15" s="17" t="b">
        <f t="shared" si="12"/>
        <v>1</v>
      </c>
      <c r="AE15" s="17" t="b">
        <f t="shared" si="12"/>
        <v>1</v>
      </c>
      <c r="AF15" t="b">
        <f>AND(Table29[[#This Row],[Plaster]:[Hypoallergenic]])</f>
        <v>0</v>
      </c>
      <c r="AG15" s="11" t="s">
        <v>1418</v>
      </c>
    </row>
    <row r="16" spans="1:33">
      <c r="A16" t="b">
        <f>IF(Table29[[#This Row],[Column52]],Table29[[#This Row],[Products]])</f>
        <v>0</v>
      </c>
      <c r="B16" s="20" t="b">
        <f>B2</f>
        <v>0</v>
      </c>
      <c r="C16" s="17"/>
      <c r="D16" s="17"/>
      <c r="E16" s="17"/>
      <c r="F16" s="17"/>
      <c r="G16" s="17"/>
      <c r="H16" s="17"/>
      <c r="I16" s="17" t="b">
        <f>I2</f>
        <v>1</v>
      </c>
      <c r="J16" s="17"/>
      <c r="K16" s="20" t="b">
        <f>K2</f>
        <v>0</v>
      </c>
      <c r="L16" s="17"/>
      <c r="M16" s="17" t="b">
        <f>M2</f>
        <v>1</v>
      </c>
      <c r="N16" s="17"/>
      <c r="O16" s="20" t="b">
        <f>O7</f>
        <v>0</v>
      </c>
      <c r="P16" s="17" t="b">
        <f>P2</f>
        <v>1</v>
      </c>
      <c r="Q16" s="20" t="b">
        <f>Q11</f>
        <v>1</v>
      </c>
      <c r="R16" s="17"/>
      <c r="S16" s="20" t="b">
        <f>S3</f>
        <v>0</v>
      </c>
      <c r="T16" s="17" t="b">
        <f>T7</f>
        <v>1</v>
      </c>
      <c r="U16" s="17"/>
      <c r="V16" s="17"/>
      <c r="W16" s="17"/>
      <c r="X16" s="17"/>
      <c r="Y16" s="20" t="b">
        <f>Y4</f>
        <v>0</v>
      </c>
      <c r="Z16" s="17" t="b">
        <f t="shared" ref="Z16:AE16" si="13">Z2</f>
        <v>1</v>
      </c>
      <c r="AA16" s="17" t="b">
        <f t="shared" si="13"/>
        <v>1</v>
      </c>
      <c r="AB16" s="17" t="b">
        <f t="shared" si="13"/>
        <v>1</v>
      </c>
      <c r="AC16" s="17" t="b">
        <f t="shared" si="13"/>
        <v>1</v>
      </c>
      <c r="AD16" s="17" t="b">
        <f t="shared" si="13"/>
        <v>1</v>
      </c>
      <c r="AE16" s="17" t="b">
        <f t="shared" si="13"/>
        <v>1</v>
      </c>
      <c r="AF16" t="b">
        <f>AND(Table29[[#This Row],[Plaster]:[Hypoallergenic]])</f>
        <v>0</v>
      </c>
      <c r="AG16" s="11" t="s">
        <v>1419</v>
      </c>
    </row>
    <row r="17" spans="1:33">
      <c r="A17" t="b">
        <f>IF(Table29[[#This Row],[Column52]],Table29[[#This Row],[Products]])</f>
        <v>0</v>
      </c>
      <c r="B17" s="20" t="b">
        <f>B2</f>
        <v>0</v>
      </c>
      <c r="C17" s="17"/>
      <c r="D17" s="17"/>
      <c r="E17" s="17"/>
      <c r="F17" s="17"/>
      <c r="G17" s="17"/>
      <c r="H17" s="17"/>
      <c r="I17" s="17" t="b">
        <f>I2</f>
        <v>1</v>
      </c>
      <c r="J17" s="17"/>
      <c r="K17" s="17"/>
      <c r="L17" s="20" t="b">
        <f>L7</f>
        <v>0</v>
      </c>
      <c r="M17" s="17" t="b">
        <f>M2</f>
        <v>1</v>
      </c>
      <c r="N17" s="17"/>
      <c r="O17" s="20" t="b">
        <f>O7</f>
        <v>0</v>
      </c>
      <c r="P17" s="20" t="b">
        <f>P7</f>
        <v>1</v>
      </c>
      <c r="Q17" s="17" t="b">
        <f>Q2</f>
        <v>1</v>
      </c>
      <c r="R17" s="17"/>
      <c r="S17" s="20" t="b">
        <f>S3</f>
        <v>0</v>
      </c>
      <c r="T17" s="17" t="b">
        <f>T7</f>
        <v>1</v>
      </c>
      <c r="U17" s="20" t="b">
        <f>U8</f>
        <v>0</v>
      </c>
      <c r="V17" s="17"/>
      <c r="W17" s="17"/>
      <c r="X17" s="17"/>
      <c r="Y17" s="17"/>
      <c r="Z17" s="17" t="b">
        <f t="shared" ref="Z17:AE17" si="14">Z2</f>
        <v>1</v>
      </c>
      <c r="AA17" s="17" t="b">
        <f t="shared" si="14"/>
        <v>1</v>
      </c>
      <c r="AB17" s="17" t="b">
        <f t="shared" si="14"/>
        <v>1</v>
      </c>
      <c r="AC17" s="17" t="b">
        <f t="shared" si="14"/>
        <v>1</v>
      </c>
      <c r="AD17" s="17" t="b">
        <f t="shared" si="14"/>
        <v>1</v>
      </c>
      <c r="AE17" s="17" t="b">
        <f t="shared" si="14"/>
        <v>1</v>
      </c>
      <c r="AF17" t="b">
        <f>AND(Table29[[#This Row],[Plaster]:[Hypoallergenic]])</f>
        <v>0</v>
      </c>
      <c r="AG17" s="11" t="s">
        <v>1420</v>
      </c>
    </row>
    <row r="18" spans="1:33">
      <c r="A18" t="b">
        <f>IF(Table29[[#This Row],[Column52]],Table29[[#This Row],[Products]])</f>
        <v>0</v>
      </c>
      <c r="B18" s="20" t="b">
        <f>B2</f>
        <v>0</v>
      </c>
      <c r="C18" s="17"/>
      <c r="D18" s="17"/>
      <c r="E18" s="17"/>
      <c r="F18" s="17"/>
      <c r="G18" s="17"/>
      <c r="H18" s="17"/>
      <c r="I18" s="17" t="b">
        <f>I2</f>
        <v>1</v>
      </c>
      <c r="J18" s="17"/>
      <c r="K18" s="20" t="b">
        <f>K2</f>
        <v>0</v>
      </c>
      <c r="L18" s="17"/>
      <c r="M18" s="20" t="b">
        <f>M7</f>
        <v>1</v>
      </c>
      <c r="N18" s="17"/>
      <c r="O18" s="20" t="b">
        <f>O7</f>
        <v>0</v>
      </c>
      <c r="P18" s="17" t="b">
        <f>P2</f>
        <v>1</v>
      </c>
      <c r="Q18" s="17" t="b">
        <f>Q2</f>
        <v>1</v>
      </c>
      <c r="R18" s="17"/>
      <c r="S18" s="20" t="b">
        <f>S3</f>
        <v>0</v>
      </c>
      <c r="T18" s="17" t="b">
        <f>T7</f>
        <v>1</v>
      </c>
      <c r="U18" s="20" t="b">
        <f>U8</f>
        <v>0</v>
      </c>
      <c r="V18" s="17"/>
      <c r="W18" s="17"/>
      <c r="X18" s="17"/>
      <c r="Y18" s="17"/>
      <c r="Z18" s="17" t="b">
        <f t="shared" ref="Z18:AE18" si="15">Z2</f>
        <v>1</v>
      </c>
      <c r="AA18" s="17" t="b">
        <f t="shared" si="15"/>
        <v>1</v>
      </c>
      <c r="AB18" s="17" t="b">
        <f t="shared" si="15"/>
        <v>1</v>
      </c>
      <c r="AC18" s="17" t="b">
        <f t="shared" si="15"/>
        <v>1</v>
      </c>
      <c r="AD18" s="17" t="b">
        <f t="shared" si="15"/>
        <v>1</v>
      </c>
      <c r="AE18" s="17" t="b">
        <f t="shared" si="15"/>
        <v>1</v>
      </c>
      <c r="AF18" t="b">
        <f>AND(Table29[[#This Row],[Plaster]:[Hypoallergenic]])</f>
        <v>0</v>
      </c>
      <c r="AG18" s="11" t="s">
        <v>1421</v>
      </c>
    </row>
    <row r="19" spans="1:33">
      <c r="A19" t="b">
        <f>IF(Table29[[#This Row],[Column52]],Table29[[#This Row],[Products]])</f>
        <v>0</v>
      </c>
      <c r="B19" s="20" t="b">
        <f>B2</f>
        <v>0</v>
      </c>
      <c r="C19" s="17"/>
      <c r="D19" s="17"/>
      <c r="E19" s="17"/>
      <c r="F19" s="17"/>
      <c r="G19" s="17"/>
      <c r="H19" s="17"/>
      <c r="I19" s="17" t="b">
        <f>I2</f>
        <v>1</v>
      </c>
      <c r="J19" s="17"/>
      <c r="K19" s="20" t="b">
        <f>K2</f>
        <v>0</v>
      </c>
      <c r="L19" s="17"/>
      <c r="M19" s="20" t="b">
        <f>M7</f>
        <v>1</v>
      </c>
      <c r="N19" s="17"/>
      <c r="O19" s="20" t="b">
        <f>O7</f>
        <v>0</v>
      </c>
      <c r="P19" s="17" t="b">
        <f>P2</f>
        <v>1</v>
      </c>
      <c r="Q19" s="17" t="b">
        <f>Q2</f>
        <v>1</v>
      </c>
      <c r="R19" s="20" t="b">
        <f>R2</f>
        <v>0</v>
      </c>
      <c r="S19" s="17"/>
      <c r="T19" s="17" t="b">
        <f>T7</f>
        <v>1</v>
      </c>
      <c r="U19" s="20" t="b">
        <f>U8</f>
        <v>0</v>
      </c>
      <c r="V19" s="17"/>
      <c r="W19" s="17"/>
      <c r="X19" s="17"/>
      <c r="Y19" s="17"/>
      <c r="Z19" s="17" t="b">
        <f t="shared" ref="Z19:AE19" si="16">Z2</f>
        <v>1</v>
      </c>
      <c r="AA19" s="17" t="b">
        <f t="shared" si="16"/>
        <v>1</v>
      </c>
      <c r="AB19" s="17" t="b">
        <f t="shared" si="16"/>
        <v>1</v>
      </c>
      <c r="AC19" s="17" t="b">
        <f t="shared" si="16"/>
        <v>1</v>
      </c>
      <c r="AD19" s="17" t="b">
        <f t="shared" si="16"/>
        <v>1</v>
      </c>
      <c r="AE19" s="17" t="b">
        <f t="shared" si="16"/>
        <v>1</v>
      </c>
      <c r="AF19" t="b">
        <f>AND(Table29[[#This Row],[Plaster]:[Hypoallergenic]])</f>
        <v>0</v>
      </c>
      <c r="AG19" s="11" t="s">
        <v>1422</v>
      </c>
    </row>
    <row r="20" spans="1:33">
      <c r="A20" t="b">
        <f>IF(Table29[[#This Row],[Column52]],Table29[[#This Row],[Products]])</f>
        <v>0</v>
      </c>
      <c r="B20" s="20" t="b">
        <f>B2</f>
        <v>0</v>
      </c>
      <c r="C20" s="17"/>
      <c r="D20" s="17"/>
      <c r="E20" s="17"/>
      <c r="F20" s="17"/>
      <c r="G20" s="17"/>
      <c r="H20" s="17"/>
      <c r="I20" s="17" t="b">
        <f>I2</f>
        <v>1</v>
      </c>
      <c r="J20" s="17"/>
      <c r="K20" s="20" t="b">
        <f>K2</f>
        <v>0</v>
      </c>
      <c r="L20" s="17"/>
      <c r="M20" s="20" t="b">
        <f>M7</f>
        <v>1</v>
      </c>
      <c r="N20" s="17"/>
      <c r="O20" s="20" t="b">
        <f>O7</f>
        <v>0</v>
      </c>
      <c r="P20" s="17" t="b">
        <f>P2</f>
        <v>1</v>
      </c>
      <c r="Q20" s="17" t="b">
        <f>Q2</f>
        <v>1</v>
      </c>
      <c r="R20" s="17"/>
      <c r="S20" s="20" t="b">
        <f>S3</f>
        <v>0</v>
      </c>
      <c r="T20" s="17" t="b">
        <f>T7</f>
        <v>1</v>
      </c>
      <c r="U20" s="17"/>
      <c r="V20" s="17"/>
      <c r="W20" s="17"/>
      <c r="X20" s="20" t="b">
        <f>X3</f>
        <v>0</v>
      </c>
      <c r="Y20" s="17"/>
      <c r="Z20" s="17" t="b">
        <f t="shared" ref="Z20:AE20" si="17">Z2</f>
        <v>1</v>
      </c>
      <c r="AA20" s="17" t="b">
        <f t="shared" si="17"/>
        <v>1</v>
      </c>
      <c r="AB20" s="17" t="b">
        <f t="shared" si="17"/>
        <v>1</v>
      </c>
      <c r="AC20" s="17" t="b">
        <f t="shared" si="17"/>
        <v>1</v>
      </c>
      <c r="AD20" s="17" t="b">
        <f t="shared" si="17"/>
        <v>1</v>
      </c>
      <c r="AE20" s="17" t="b">
        <f t="shared" si="17"/>
        <v>1</v>
      </c>
      <c r="AF20" t="b">
        <f>AND(Table29[[#This Row],[Plaster]:[Hypoallergenic]])</f>
        <v>0</v>
      </c>
      <c r="AG20" s="11" t="s">
        <v>1423</v>
      </c>
    </row>
    <row r="21" spans="1:33">
      <c r="A21" t="b">
        <f>IF(Table29[[#This Row],[Column52]],Table29[[#This Row],[Products]])</f>
        <v>0</v>
      </c>
      <c r="B21" s="20" t="b">
        <f>B2</f>
        <v>0</v>
      </c>
      <c r="C21" s="17"/>
      <c r="D21" s="17"/>
      <c r="E21" s="17"/>
      <c r="F21" s="17"/>
      <c r="G21" s="17"/>
      <c r="H21" s="17"/>
      <c r="I21" s="20" t="b">
        <f>OR('Bandage Product Criteria'!B14:C14)</f>
        <v>1</v>
      </c>
      <c r="J21" s="20" t="b">
        <f>J11</f>
        <v>0</v>
      </c>
      <c r="K21" s="17"/>
      <c r="L21" s="17"/>
      <c r="M21" s="17" t="b">
        <f>M2</f>
        <v>1</v>
      </c>
      <c r="N21" s="17"/>
      <c r="O21" s="20" t="b">
        <f>O7</f>
        <v>0</v>
      </c>
      <c r="P21" s="17" t="b">
        <f>P2</f>
        <v>1</v>
      </c>
      <c r="Q21" s="17" t="b">
        <f>Q2</f>
        <v>1</v>
      </c>
      <c r="R21" s="17"/>
      <c r="S21" s="20" t="b">
        <f>S3</f>
        <v>0</v>
      </c>
      <c r="T21" s="17" t="b">
        <f>T7</f>
        <v>1</v>
      </c>
      <c r="U21" s="20" t="b">
        <f>U8</f>
        <v>0</v>
      </c>
      <c r="V21" s="17"/>
      <c r="W21" s="17"/>
      <c r="X21" s="17"/>
      <c r="Y21" s="17"/>
      <c r="Z21" s="17" t="b">
        <f t="shared" ref="Z21:AE21" si="18">Z2</f>
        <v>1</v>
      </c>
      <c r="AA21" s="17" t="b">
        <f t="shared" si="18"/>
        <v>1</v>
      </c>
      <c r="AB21" s="17" t="b">
        <f t="shared" si="18"/>
        <v>1</v>
      </c>
      <c r="AC21" s="17" t="b">
        <f t="shared" si="18"/>
        <v>1</v>
      </c>
      <c r="AD21" s="17" t="b">
        <f t="shared" si="18"/>
        <v>1</v>
      </c>
      <c r="AE21" s="17" t="b">
        <f t="shared" si="18"/>
        <v>1</v>
      </c>
      <c r="AF21" t="b">
        <f>AND(Table29[[#This Row],[Plaster]:[Hypoallergenic]])</f>
        <v>0</v>
      </c>
      <c r="AG21" s="11" t="s">
        <v>1428</v>
      </c>
    </row>
    <row r="22" spans="1:33">
      <c r="A22" t="b">
        <f>IF(Table29[[#This Row],[Column52]],Table29[[#This Row],[Products]])</f>
        <v>0</v>
      </c>
      <c r="B22" s="20" t="b">
        <f>B2</f>
        <v>0</v>
      </c>
      <c r="C22" s="17"/>
      <c r="D22" s="17"/>
      <c r="E22" s="17"/>
      <c r="F22" s="17"/>
      <c r="G22" s="17"/>
      <c r="H22" s="17"/>
      <c r="I22" s="17" t="b">
        <f>I2</f>
        <v>1</v>
      </c>
      <c r="J22" s="20" t="b">
        <f>J11</f>
        <v>0</v>
      </c>
      <c r="K22" s="17"/>
      <c r="L22" s="17"/>
      <c r="M22" s="20" t="b">
        <f>M7</f>
        <v>1</v>
      </c>
      <c r="N22" s="17"/>
      <c r="O22" s="20" t="b">
        <f>O7</f>
        <v>0</v>
      </c>
      <c r="P22" s="20" t="b">
        <f>P7</f>
        <v>1</v>
      </c>
      <c r="Q22" s="17" t="b">
        <f>Q2</f>
        <v>1</v>
      </c>
      <c r="R22" s="17"/>
      <c r="S22" s="20" t="b">
        <f>S3</f>
        <v>0</v>
      </c>
      <c r="T22" s="17" t="b">
        <f>T7</f>
        <v>1</v>
      </c>
      <c r="U22" s="20" t="b">
        <f>U8</f>
        <v>0</v>
      </c>
      <c r="V22" s="17"/>
      <c r="W22" s="17"/>
      <c r="X22" s="17"/>
      <c r="Y22" s="17"/>
      <c r="Z22" s="17" t="b">
        <f>Z2</f>
        <v>1</v>
      </c>
      <c r="AA22" s="17" t="b">
        <f>AA2</f>
        <v>1</v>
      </c>
      <c r="AB22" s="20" t="b">
        <f>OR('Bandage Product Criteria'!B16:C16)</f>
        <v>1</v>
      </c>
      <c r="AC22" s="17" t="b">
        <f>AC2</f>
        <v>1</v>
      </c>
      <c r="AD22" s="17" t="b">
        <f>AD2</f>
        <v>1</v>
      </c>
      <c r="AE22" s="17" t="b">
        <f>AE2</f>
        <v>1</v>
      </c>
      <c r="AF22" t="b">
        <f>AND(Table29[[#This Row],[Plaster]:[Hypoallergenic]])</f>
        <v>0</v>
      </c>
      <c r="AG22" s="11" t="s">
        <v>1430</v>
      </c>
    </row>
    <row r="23" spans="1:33">
      <c r="A23" t="b">
        <f>IF(Table29[[#This Row],[Column52]],Table29[[#This Row],[Products]])</f>
        <v>0</v>
      </c>
      <c r="B23" s="20" t="b">
        <f>B2</f>
        <v>0</v>
      </c>
      <c r="C23" s="17"/>
      <c r="D23" s="17"/>
      <c r="E23" s="17"/>
      <c r="F23" s="17"/>
      <c r="G23" s="17"/>
      <c r="H23" s="17"/>
      <c r="I23" s="17" t="b">
        <f>I2</f>
        <v>1</v>
      </c>
      <c r="J23" s="20" t="b">
        <f>J11</f>
        <v>0</v>
      </c>
      <c r="K23" s="17"/>
      <c r="L23" s="17"/>
      <c r="M23" s="20" t="b">
        <f>M7</f>
        <v>1</v>
      </c>
      <c r="N23" s="17"/>
      <c r="O23" s="20" t="b">
        <f>O7</f>
        <v>0</v>
      </c>
      <c r="P23" s="20" t="b">
        <f>P7</f>
        <v>1</v>
      </c>
      <c r="Q23" s="17" t="b">
        <f>Q2</f>
        <v>1</v>
      </c>
      <c r="R23" s="17"/>
      <c r="S23" s="20" t="b">
        <f>S3</f>
        <v>0</v>
      </c>
      <c r="T23" s="17" t="b">
        <f>T7</f>
        <v>1</v>
      </c>
      <c r="U23" s="20" t="b">
        <f>U8</f>
        <v>0</v>
      </c>
      <c r="V23" s="17"/>
      <c r="W23" s="17"/>
      <c r="X23" s="17"/>
      <c r="Y23" s="17"/>
      <c r="Z23" s="17" t="b">
        <f>Z2</f>
        <v>1</v>
      </c>
      <c r="AA23" s="17" t="b">
        <f>AA2</f>
        <v>1</v>
      </c>
      <c r="AB23" s="20" t="b">
        <f>AB22</f>
        <v>1</v>
      </c>
      <c r="AC23" s="17" t="b">
        <f>AC2</f>
        <v>1</v>
      </c>
      <c r="AD23" s="17" t="b">
        <f>AD2</f>
        <v>1</v>
      </c>
      <c r="AE23" s="17" t="b">
        <f>AE2</f>
        <v>1</v>
      </c>
      <c r="AF23" t="b">
        <f>AND(Table29[[#This Row],[Plaster]:[Hypoallergenic]])</f>
        <v>0</v>
      </c>
      <c r="AG23" s="11" t="s">
        <v>1431</v>
      </c>
    </row>
    <row r="24" spans="1:33">
      <c r="A24" t="b">
        <f>IF(Table29[[#This Row],[Column52]],Table29[[#This Row],[Products]])</f>
        <v>0</v>
      </c>
      <c r="B24" s="20" t="b">
        <f>B2</f>
        <v>0</v>
      </c>
      <c r="C24" s="17"/>
      <c r="D24" s="17"/>
      <c r="E24" s="17"/>
      <c r="F24" s="17"/>
      <c r="G24" s="17"/>
      <c r="H24" s="17"/>
      <c r="I24" s="17" t="b">
        <f>I2</f>
        <v>1</v>
      </c>
      <c r="J24" s="20" t="b">
        <f>J11</f>
        <v>0</v>
      </c>
      <c r="K24" s="17"/>
      <c r="L24" s="17"/>
      <c r="M24" s="20" t="b">
        <f>M7</f>
        <v>1</v>
      </c>
      <c r="N24" s="17"/>
      <c r="O24" s="20" t="b">
        <f>O7</f>
        <v>0</v>
      </c>
      <c r="P24" s="20" t="b">
        <f>P7</f>
        <v>1</v>
      </c>
      <c r="Q24" s="17" t="b">
        <f>Q2</f>
        <v>1</v>
      </c>
      <c r="R24" s="20" t="b">
        <f>R2</f>
        <v>0</v>
      </c>
      <c r="S24" s="17"/>
      <c r="T24" s="17" t="b">
        <f>T7</f>
        <v>1</v>
      </c>
      <c r="U24" s="20" t="b">
        <f>U8</f>
        <v>0</v>
      </c>
      <c r="V24" s="17"/>
      <c r="W24" s="17"/>
      <c r="X24" s="17"/>
      <c r="Y24" s="17"/>
      <c r="Z24" s="17" t="b">
        <f>Z2</f>
        <v>1</v>
      </c>
      <c r="AA24" s="17" t="b">
        <f>AA2</f>
        <v>1</v>
      </c>
      <c r="AB24" s="20" t="b">
        <f>AB22</f>
        <v>1</v>
      </c>
      <c r="AC24" s="17" t="b">
        <f>AC2</f>
        <v>1</v>
      </c>
      <c r="AD24" s="17" t="b">
        <f>AD2</f>
        <v>1</v>
      </c>
      <c r="AE24" s="17" t="b">
        <f>AE2</f>
        <v>1</v>
      </c>
      <c r="AF24" t="b">
        <f>AND(Table29[[#This Row],[Plaster]:[Hypoallergenic]])</f>
        <v>0</v>
      </c>
      <c r="AG24" s="11" t="s">
        <v>1432</v>
      </c>
    </row>
    <row r="25" spans="1:33">
      <c r="A25" t="b">
        <f>IF(Table29[[#This Row],[Column52]],Table29[[#This Row],[Products]])</f>
        <v>0</v>
      </c>
      <c r="B25" s="20" t="b">
        <f>B2</f>
        <v>0</v>
      </c>
      <c r="C25" s="17"/>
      <c r="D25" s="17"/>
      <c r="E25" s="17"/>
      <c r="F25" s="17"/>
      <c r="G25" s="17"/>
      <c r="H25" s="17"/>
      <c r="I25" s="17" t="b">
        <f>I2</f>
        <v>1</v>
      </c>
      <c r="J25" s="20" t="b">
        <f>J11</f>
        <v>0</v>
      </c>
      <c r="K25" s="17"/>
      <c r="L25" s="17"/>
      <c r="M25" s="20" t="b">
        <f>M7</f>
        <v>1</v>
      </c>
      <c r="N25" s="17"/>
      <c r="O25" s="20" t="b">
        <f>O7</f>
        <v>0</v>
      </c>
      <c r="P25" s="20" t="b">
        <f>P7</f>
        <v>1</v>
      </c>
      <c r="Q25" s="17" t="b">
        <f>Q2</f>
        <v>1</v>
      </c>
      <c r="R25" s="17"/>
      <c r="S25" s="20" t="b">
        <f>S3</f>
        <v>0</v>
      </c>
      <c r="T25" s="17" t="b">
        <f>T7</f>
        <v>1</v>
      </c>
      <c r="U25" s="17"/>
      <c r="V25" s="17"/>
      <c r="W25" s="17"/>
      <c r="X25" s="17"/>
      <c r="Y25" s="20" t="b">
        <f>Y4</f>
        <v>0</v>
      </c>
      <c r="Z25" s="17" t="b">
        <f>Z2</f>
        <v>1</v>
      </c>
      <c r="AA25" s="17" t="b">
        <f>AA2</f>
        <v>1</v>
      </c>
      <c r="AB25" s="20" t="b">
        <f>AB22</f>
        <v>1</v>
      </c>
      <c r="AC25" s="17" t="b">
        <f>AC2</f>
        <v>1</v>
      </c>
      <c r="AD25" s="17" t="b">
        <f>AD2</f>
        <v>1</v>
      </c>
      <c r="AE25" s="17" t="b">
        <f>AE2</f>
        <v>1</v>
      </c>
      <c r="AF25" t="b">
        <f>AND(Table29[[#This Row],[Plaster]:[Hypoallergenic]])</f>
        <v>0</v>
      </c>
      <c r="AG25" s="11" t="s">
        <v>1433</v>
      </c>
    </row>
    <row r="26" spans="1:33">
      <c r="A26" t="b">
        <f>IF(Table29[[#This Row],[Column52]],Table29[[#This Row],[Products]])</f>
        <v>0</v>
      </c>
      <c r="B26" s="20" t="b">
        <f>B2</f>
        <v>0</v>
      </c>
      <c r="C26" s="17"/>
      <c r="D26" s="17"/>
      <c r="E26" s="17"/>
      <c r="F26" s="17"/>
      <c r="G26" s="17"/>
      <c r="H26" s="17"/>
      <c r="I26" s="17" t="b">
        <f>I2</f>
        <v>1</v>
      </c>
      <c r="J26" s="20" t="b">
        <f>J11</f>
        <v>0</v>
      </c>
      <c r="K26" s="17"/>
      <c r="L26" s="17"/>
      <c r="M26" s="20" t="b">
        <f>M7</f>
        <v>1</v>
      </c>
      <c r="N26" s="17"/>
      <c r="O26" s="20" t="b">
        <f>O7</f>
        <v>0</v>
      </c>
      <c r="P26" s="20" t="b">
        <f>P7</f>
        <v>1</v>
      </c>
      <c r="Q26" s="17" t="b">
        <f>Q2</f>
        <v>1</v>
      </c>
      <c r="R26" s="17"/>
      <c r="S26" s="20" t="b">
        <f>S3</f>
        <v>0</v>
      </c>
      <c r="T26" s="17" t="b">
        <f>T7</f>
        <v>1</v>
      </c>
      <c r="U26" s="17"/>
      <c r="V26" s="17"/>
      <c r="W26" s="20" t="b">
        <f>W9</f>
        <v>0</v>
      </c>
      <c r="X26" s="17"/>
      <c r="Y26" s="17"/>
      <c r="Z26" s="17" t="b">
        <f>Z2</f>
        <v>1</v>
      </c>
      <c r="AA26" s="17" t="b">
        <f>AA2</f>
        <v>1</v>
      </c>
      <c r="AB26" s="20" t="b">
        <f>AB22</f>
        <v>1</v>
      </c>
      <c r="AC26" s="17" t="b">
        <f>AC2</f>
        <v>1</v>
      </c>
      <c r="AD26" s="17" t="b">
        <f>AD2</f>
        <v>1</v>
      </c>
      <c r="AE26" s="17" t="b">
        <f>AE2</f>
        <v>1</v>
      </c>
      <c r="AF26" t="b">
        <f>AND(Table29[[#This Row],[Plaster]:[Hypoallergenic]])</f>
        <v>0</v>
      </c>
      <c r="AG26" s="11" t="s">
        <v>1434</v>
      </c>
    </row>
    <row r="27" spans="1:33">
      <c r="A27" t="b">
        <f>IF(Table29[[#This Row],[Column52]],Table29[[#This Row],[Products]])</f>
        <v>0</v>
      </c>
      <c r="B27" s="20" t="b">
        <f>B2</f>
        <v>0</v>
      </c>
      <c r="C27" s="17"/>
      <c r="D27" s="17"/>
      <c r="E27" s="17"/>
      <c r="F27" s="17"/>
      <c r="G27" s="17"/>
      <c r="H27" s="17"/>
      <c r="I27" s="17" t="b">
        <f>I2</f>
        <v>1</v>
      </c>
      <c r="J27" s="20" t="b">
        <f>J11</f>
        <v>0</v>
      </c>
      <c r="K27" s="17"/>
      <c r="L27" s="17"/>
      <c r="M27" s="20" t="b">
        <f>M7</f>
        <v>1</v>
      </c>
      <c r="N27" s="17"/>
      <c r="O27" s="20" t="b">
        <f>O7</f>
        <v>0</v>
      </c>
      <c r="P27" s="17" t="b">
        <f>P2</f>
        <v>1</v>
      </c>
      <c r="Q27" s="17" t="b">
        <f>Q2</f>
        <v>1</v>
      </c>
      <c r="R27" s="17"/>
      <c r="S27" s="20" t="b">
        <f>S3</f>
        <v>0</v>
      </c>
      <c r="T27" s="17" t="b">
        <f>T7</f>
        <v>1</v>
      </c>
      <c r="U27" s="20" t="b">
        <f>U8</f>
        <v>0</v>
      </c>
      <c r="V27" s="17"/>
      <c r="W27" s="17"/>
      <c r="X27" s="17"/>
      <c r="Y27" s="17"/>
      <c r="Z27" s="17" t="b">
        <f t="shared" ref="Z27:AE27" si="19">Z2</f>
        <v>1</v>
      </c>
      <c r="AA27" s="17" t="b">
        <f t="shared" si="19"/>
        <v>1</v>
      </c>
      <c r="AB27" s="17" t="b">
        <f t="shared" si="19"/>
        <v>1</v>
      </c>
      <c r="AC27" s="17" t="b">
        <f t="shared" si="19"/>
        <v>1</v>
      </c>
      <c r="AD27" s="17" t="b">
        <f t="shared" si="19"/>
        <v>1</v>
      </c>
      <c r="AE27" s="17" t="b">
        <f t="shared" si="19"/>
        <v>1</v>
      </c>
      <c r="AF27" t="b">
        <f>AND(Table29[[#This Row],[Plaster]:[Hypoallergenic]])</f>
        <v>0</v>
      </c>
      <c r="AG27" s="11" t="s">
        <v>1435</v>
      </c>
    </row>
    <row r="28" spans="1:33">
      <c r="A28" t="b">
        <f>IF(Table29[[#This Row],[Column52]],Table29[[#This Row],[Products]])</f>
        <v>0</v>
      </c>
      <c r="B28" s="20" t="b">
        <f>B2</f>
        <v>0</v>
      </c>
      <c r="C28" s="17"/>
      <c r="D28" s="17"/>
      <c r="E28" s="17"/>
      <c r="F28" s="17"/>
      <c r="G28" s="17"/>
      <c r="H28" s="17"/>
      <c r="I28" s="17" t="b">
        <f>I2</f>
        <v>1</v>
      </c>
      <c r="J28" s="20" t="b">
        <f>J11</f>
        <v>0</v>
      </c>
      <c r="K28" s="17"/>
      <c r="L28" s="17"/>
      <c r="M28" s="20" t="b">
        <f>M7</f>
        <v>1</v>
      </c>
      <c r="N28" s="17"/>
      <c r="O28" s="20" t="b">
        <f>O7</f>
        <v>0</v>
      </c>
      <c r="P28" s="17" t="b">
        <f>P2</f>
        <v>1</v>
      </c>
      <c r="Q28" s="17" t="b">
        <f>Q2</f>
        <v>1</v>
      </c>
      <c r="R28" s="17"/>
      <c r="S28" s="20" t="b">
        <f>S3</f>
        <v>0</v>
      </c>
      <c r="T28" s="17" t="b">
        <f>T7</f>
        <v>1</v>
      </c>
      <c r="U28" s="20" t="b">
        <f>U8</f>
        <v>0</v>
      </c>
      <c r="V28" s="17"/>
      <c r="W28" s="17"/>
      <c r="X28" s="17"/>
      <c r="Y28" s="17"/>
      <c r="Z28" s="17" t="b">
        <f t="shared" ref="Z28:AE28" si="20">Z2</f>
        <v>1</v>
      </c>
      <c r="AA28" s="17" t="b">
        <f t="shared" si="20"/>
        <v>1</v>
      </c>
      <c r="AB28" s="17" t="b">
        <f t="shared" si="20"/>
        <v>1</v>
      </c>
      <c r="AC28" s="17" t="b">
        <f t="shared" si="20"/>
        <v>1</v>
      </c>
      <c r="AD28" s="17" t="b">
        <f t="shared" si="20"/>
        <v>1</v>
      </c>
      <c r="AE28" s="17" t="b">
        <f t="shared" si="20"/>
        <v>1</v>
      </c>
      <c r="AF28" t="b">
        <f>AND(Table29[[#This Row],[Plaster]:[Hypoallergenic]])</f>
        <v>0</v>
      </c>
      <c r="AG28" s="11" t="s">
        <v>1436</v>
      </c>
    </row>
    <row r="29" spans="1:33">
      <c r="A29" t="b">
        <f>IF(Table29[[#This Row],[Column52]],Table29[[#This Row],[Products]])</f>
        <v>0</v>
      </c>
      <c r="B29" s="20" t="b">
        <f>B2</f>
        <v>0</v>
      </c>
      <c r="C29" s="17"/>
      <c r="D29" s="17"/>
      <c r="E29" s="17"/>
      <c r="F29" s="17"/>
      <c r="G29" s="17"/>
      <c r="H29" s="17"/>
      <c r="I29" s="17" t="b">
        <f>I2</f>
        <v>1</v>
      </c>
      <c r="J29" s="20" t="b">
        <f>J11</f>
        <v>0</v>
      </c>
      <c r="K29" s="17"/>
      <c r="L29" s="17"/>
      <c r="M29" s="17" t="b">
        <f>M2</f>
        <v>1</v>
      </c>
      <c r="N29" s="17"/>
      <c r="O29" s="20" t="b">
        <f>O7</f>
        <v>0</v>
      </c>
      <c r="P29" s="20" t="b">
        <f>P7</f>
        <v>1</v>
      </c>
      <c r="Q29" s="17" t="b">
        <f>Q2</f>
        <v>1</v>
      </c>
      <c r="R29" s="17"/>
      <c r="S29" s="20" t="b">
        <f>S3</f>
        <v>0</v>
      </c>
      <c r="T29" s="17" t="b">
        <f>T7</f>
        <v>1</v>
      </c>
      <c r="U29" s="17"/>
      <c r="V29" s="17"/>
      <c r="W29" s="20" t="b">
        <f>W9</f>
        <v>0</v>
      </c>
      <c r="X29" s="17"/>
      <c r="Y29" s="17"/>
      <c r="Z29" s="17" t="b">
        <f>Z2</f>
        <v>1</v>
      </c>
      <c r="AA29" s="17" t="b">
        <f>AA2</f>
        <v>1</v>
      </c>
      <c r="AB29" s="17" t="b">
        <f>AB2</f>
        <v>1</v>
      </c>
      <c r="AC29" s="20" t="b">
        <f>OR('Bandage Product Criteria'!B17:C17)</f>
        <v>1</v>
      </c>
      <c r="AD29" s="17" t="b">
        <f>AD2</f>
        <v>1</v>
      </c>
      <c r="AE29" s="17" t="b">
        <f>AE2</f>
        <v>1</v>
      </c>
      <c r="AF29" t="b">
        <f>AND(Table29[[#This Row],[Plaster]:[Hypoallergenic]])</f>
        <v>0</v>
      </c>
      <c r="AG29" s="11" t="s">
        <v>1437</v>
      </c>
    </row>
    <row r="30" spans="1:33">
      <c r="A30" t="b">
        <f>IF(Table29[[#This Row],[Column52]],Table29[[#This Row],[Products]])</f>
        <v>0</v>
      </c>
      <c r="B30" s="20" t="b">
        <f>B2</f>
        <v>0</v>
      </c>
      <c r="C30" s="17"/>
      <c r="D30" s="17"/>
      <c r="E30" s="17"/>
      <c r="F30" s="17"/>
      <c r="G30" s="17"/>
      <c r="H30" s="17"/>
      <c r="I30" s="17" t="b">
        <f>I2</f>
        <v>1</v>
      </c>
      <c r="J30" s="17"/>
      <c r="K30" s="20" t="b">
        <f>K2</f>
        <v>0</v>
      </c>
      <c r="L30" s="17"/>
      <c r="M30" s="17" t="b">
        <f>M2</f>
        <v>1</v>
      </c>
      <c r="N30" s="17"/>
      <c r="O30" s="20" t="b">
        <f>O7</f>
        <v>0</v>
      </c>
      <c r="P30" s="17" t="b">
        <f>P2</f>
        <v>1</v>
      </c>
      <c r="Q30" s="20" t="b">
        <f>Q11</f>
        <v>1</v>
      </c>
      <c r="R30" s="17"/>
      <c r="S30" s="20" t="b">
        <f>S3</f>
        <v>0</v>
      </c>
      <c r="T30" s="17" t="b">
        <f>T7</f>
        <v>1</v>
      </c>
      <c r="U30" s="17"/>
      <c r="V30" s="17"/>
      <c r="W30" s="17"/>
      <c r="X30" s="17"/>
      <c r="Y30" s="17"/>
      <c r="Z30" s="20" t="b">
        <f>OR('Bandage Product Criteria'!B32:C32)</f>
        <v>1</v>
      </c>
      <c r="AA30" s="17" t="b">
        <f>AA2</f>
        <v>1</v>
      </c>
      <c r="AB30" s="17" t="b">
        <f>AB2</f>
        <v>1</v>
      </c>
      <c r="AC30" s="17" t="b">
        <f>AC2</f>
        <v>1</v>
      </c>
      <c r="AD30" s="17" t="b">
        <f>AD2</f>
        <v>1</v>
      </c>
      <c r="AE30" s="17" t="b">
        <f>AE2</f>
        <v>1</v>
      </c>
      <c r="AF30" t="b">
        <f>AND(Table29[[#This Row],[Plaster]:[Hypoallergenic]])</f>
        <v>0</v>
      </c>
      <c r="AG30" s="11" t="s">
        <v>1440</v>
      </c>
    </row>
    <row r="31" spans="1:33">
      <c r="A31" t="b">
        <f>IF(Table29[[#This Row],[Column52]],Table29[[#This Row],[Products]])</f>
        <v>0</v>
      </c>
      <c r="B31" s="20" t="b">
        <f>B2</f>
        <v>0</v>
      </c>
      <c r="C31" s="17"/>
      <c r="D31" s="17"/>
      <c r="E31" s="17"/>
      <c r="F31" s="17"/>
      <c r="G31" s="17"/>
      <c r="H31" s="17"/>
      <c r="I31" s="17" t="b">
        <f>I2</f>
        <v>1</v>
      </c>
      <c r="J31" s="17"/>
      <c r="K31" s="20" t="b">
        <f>K2</f>
        <v>0</v>
      </c>
      <c r="L31" s="17"/>
      <c r="M31" s="20" t="b">
        <f>M7</f>
        <v>1</v>
      </c>
      <c r="N31" s="17"/>
      <c r="O31" s="20" t="b">
        <f>O7</f>
        <v>0</v>
      </c>
      <c r="P31" s="17" t="b">
        <f>P2</f>
        <v>1</v>
      </c>
      <c r="Q31" s="17" t="b">
        <f>Q2</f>
        <v>1</v>
      </c>
      <c r="R31" s="17"/>
      <c r="S31" s="20" t="b">
        <f>S3</f>
        <v>0</v>
      </c>
      <c r="T31" s="17" t="b">
        <f>T7</f>
        <v>1</v>
      </c>
      <c r="U31" s="17"/>
      <c r="V31" s="17"/>
      <c r="W31" s="20" t="b">
        <f>W9</f>
        <v>0</v>
      </c>
      <c r="X31" s="17"/>
      <c r="Y31" s="17"/>
      <c r="Z31" s="17" t="b">
        <f>Z2</f>
        <v>1</v>
      </c>
      <c r="AA31" s="20" t="b">
        <f>OR('Bandage Product Criteria'!B15:C15)</f>
        <v>1</v>
      </c>
      <c r="AB31" s="17" t="b">
        <f>AB2</f>
        <v>1</v>
      </c>
      <c r="AC31" s="17" t="b">
        <f>AC2</f>
        <v>1</v>
      </c>
      <c r="AD31" s="17" t="b">
        <f>AD2</f>
        <v>1</v>
      </c>
      <c r="AE31" s="17" t="b">
        <f>AE2</f>
        <v>1</v>
      </c>
      <c r="AF31" t="b">
        <f>AND(Table29[[#This Row],[Plaster]:[Hypoallergenic]])</f>
        <v>0</v>
      </c>
      <c r="AG31" s="28" t="s">
        <v>1441</v>
      </c>
    </row>
    <row r="32" spans="1:33">
      <c r="A32" t="b">
        <f>IF(Table29[[#This Row],[Column52]],Table29[[#This Row],[Products]])</f>
        <v>0</v>
      </c>
      <c r="B32" s="20" t="b">
        <f>B2</f>
        <v>0</v>
      </c>
      <c r="C32" s="17"/>
      <c r="D32" s="17"/>
      <c r="E32" s="17"/>
      <c r="F32" s="17"/>
      <c r="G32" s="17"/>
      <c r="H32" s="17"/>
      <c r="I32" s="17" t="b">
        <f>I2</f>
        <v>1</v>
      </c>
      <c r="J32" s="17"/>
      <c r="K32" s="20" t="b">
        <f>K2</f>
        <v>0</v>
      </c>
      <c r="L32" s="17"/>
      <c r="M32" s="20" t="b">
        <f>M7</f>
        <v>1</v>
      </c>
      <c r="N32" s="17"/>
      <c r="O32" s="20" t="b">
        <f>O7</f>
        <v>0</v>
      </c>
      <c r="P32" s="17" t="b">
        <f>P2</f>
        <v>1</v>
      </c>
      <c r="Q32" s="17" t="b">
        <f>Q2</f>
        <v>1</v>
      </c>
      <c r="R32" s="17"/>
      <c r="S32" s="20" t="b">
        <f>S3</f>
        <v>0</v>
      </c>
      <c r="T32" s="17" t="b">
        <f>T7</f>
        <v>1</v>
      </c>
      <c r="U32" s="17"/>
      <c r="V32" s="17"/>
      <c r="W32" s="20" t="b">
        <f>W9</f>
        <v>0</v>
      </c>
      <c r="X32" s="17"/>
      <c r="Y32" s="17"/>
      <c r="Z32" s="17" t="b">
        <f>Z2</f>
        <v>1</v>
      </c>
      <c r="AA32" s="20" t="b">
        <f>AA31</f>
        <v>1</v>
      </c>
      <c r="AB32" s="17" t="b">
        <f>AB2</f>
        <v>1</v>
      </c>
      <c r="AC32" s="17" t="b">
        <f>AC2</f>
        <v>1</v>
      </c>
      <c r="AD32" s="17" t="b">
        <f>AD2</f>
        <v>1</v>
      </c>
      <c r="AE32" s="17" t="b">
        <f>AE2</f>
        <v>1</v>
      </c>
      <c r="AF32" t="b">
        <f>AND(Table29[[#This Row],[Plaster]:[Hypoallergenic]])</f>
        <v>0</v>
      </c>
      <c r="AG32" s="28" t="s">
        <v>1442</v>
      </c>
    </row>
    <row r="33" spans="1:36">
      <c r="A33" t="b">
        <f>IF(Table29[[#This Row],[Column52]],Table29[[#This Row],[Products]])</f>
        <v>0</v>
      </c>
      <c r="B33" s="20" t="b">
        <f>B2</f>
        <v>0</v>
      </c>
      <c r="C33" s="17"/>
      <c r="D33" s="17"/>
      <c r="E33" s="17"/>
      <c r="F33" s="17"/>
      <c r="G33" s="17"/>
      <c r="H33" s="17"/>
      <c r="I33" s="17" t="b">
        <f>I2</f>
        <v>1</v>
      </c>
      <c r="J33" s="20" t="b">
        <f>J11</f>
        <v>0</v>
      </c>
      <c r="K33" s="17"/>
      <c r="L33" s="17"/>
      <c r="M33" s="20" t="b">
        <f>M7</f>
        <v>1</v>
      </c>
      <c r="N33" s="17"/>
      <c r="O33" s="20" t="b">
        <f>O7</f>
        <v>0</v>
      </c>
      <c r="P33" s="17" t="b">
        <f>P2</f>
        <v>1</v>
      </c>
      <c r="Q33" s="17" t="b">
        <f>Q2</f>
        <v>1</v>
      </c>
      <c r="R33" s="17"/>
      <c r="S33" s="20" t="b">
        <f>S3</f>
        <v>0</v>
      </c>
      <c r="T33" s="17" t="b">
        <f>T7</f>
        <v>1</v>
      </c>
      <c r="U33" s="20" t="b">
        <f>U8</f>
        <v>0</v>
      </c>
      <c r="V33" s="17"/>
      <c r="W33" s="17"/>
      <c r="X33" s="17"/>
      <c r="Y33" s="17"/>
      <c r="Z33" s="17" t="b">
        <f>Z2</f>
        <v>1</v>
      </c>
      <c r="AA33" s="20" t="b">
        <f>AA31</f>
        <v>1</v>
      </c>
      <c r="AB33" s="20" t="b">
        <f>AB22</f>
        <v>1</v>
      </c>
      <c r="AC33" s="17" t="b">
        <f>AC2</f>
        <v>1</v>
      </c>
      <c r="AD33" s="17" t="b">
        <f>AD2</f>
        <v>1</v>
      </c>
      <c r="AE33" s="17" t="b">
        <f>AE2</f>
        <v>1</v>
      </c>
      <c r="AF33" t="b">
        <f>AND(Table29[[#This Row],[Plaster]:[Hypoallergenic]])</f>
        <v>0</v>
      </c>
      <c r="AG33" s="28" t="s">
        <v>1443</v>
      </c>
    </row>
    <row r="34" spans="1:36">
      <c r="A34" t="b">
        <f>IF(Table29[[#This Row],[Column52]],Table29[[#This Row],[Products]])</f>
        <v>0</v>
      </c>
      <c r="B34" s="20" t="b">
        <f>B2</f>
        <v>0</v>
      </c>
      <c r="C34" s="17"/>
      <c r="D34" s="17"/>
      <c r="E34" s="17"/>
      <c r="F34" s="17"/>
      <c r="G34" s="17"/>
      <c r="H34" s="17"/>
      <c r="I34" s="17" t="b">
        <f>I2</f>
        <v>1</v>
      </c>
      <c r="J34" s="20" t="b">
        <f>J11</f>
        <v>0</v>
      </c>
      <c r="K34" s="17"/>
      <c r="L34" s="17"/>
      <c r="M34" s="20" t="b">
        <f>M7</f>
        <v>1</v>
      </c>
      <c r="N34" s="17"/>
      <c r="O34" s="20" t="b">
        <f>O7</f>
        <v>0</v>
      </c>
      <c r="P34" s="17" t="b">
        <f>P2</f>
        <v>1</v>
      </c>
      <c r="Q34" s="17" t="b">
        <f>Q2</f>
        <v>1</v>
      </c>
      <c r="R34" s="17"/>
      <c r="S34" s="20" t="b">
        <f>S3</f>
        <v>0</v>
      </c>
      <c r="T34" s="17" t="b">
        <f>T7</f>
        <v>1</v>
      </c>
      <c r="U34" s="20" t="b">
        <f>U8</f>
        <v>0</v>
      </c>
      <c r="V34" s="17"/>
      <c r="W34" s="17"/>
      <c r="X34" s="17"/>
      <c r="Y34" s="17"/>
      <c r="Z34" s="17" t="b">
        <f>Z2</f>
        <v>1</v>
      </c>
      <c r="AA34" s="20" t="b">
        <f>AA31</f>
        <v>1</v>
      </c>
      <c r="AB34" s="20" t="b">
        <f>AB22</f>
        <v>1</v>
      </c>
      <c r="AC34" s="17" t="b">
        <f>AC2</f>
        <v>1</v>
      </c>
      <c r="AD34" s="17" t="b">
        <f>AD2</f>
        <v>1</v>
      </c>
      <c r="AE34" s="17" t="b">
        <f>AE2</f>
        <v>1</v>
      </c>
      <c r="AF34" t="b">
        <f>AND(Table29[[#This Row],[Plaster]:[Hypoallergenic]])</f>
        <v>0</v>
      </c>
      <c r="AG34" s="28" t="s">
        <v>1444</v>
      </c>
    </row>
    <row r="35" spans="1:36">
      <c r="A35" t="b">
        <f>IF(Table29[[#This Row],[Column52]],Table29[[#This Row],[Products]])</f>
        <v>0</v>
      </c>
      <c r="B35" s="20" t="b">
        <f>B2</f>
        <v>0</v>
      </c>
      <c r="C35" s="17"/>
      <c r="D35" s="17"/>
      <c r="E35" s="17"/>
      <c r="F35" s="17"/>
      <c r="G35" s="17"/>
      <c r="H35" s="17"/>
      <c r="I35" s="17" t="b">
        <f>I2</f>
        <v>1</v>
      </c>
      <c r="J35" s="20" t="b">
        <f>J11</f>
        <v>0</v>
      </c>
      <c r="K35" s="17"/>
      <c r="L35" s="17"/>
      <c r="M35" s="20" t="b">
        <f>M7</f>
        <v>1</v>
      </c>
      <c r="N35" s="17"/>
      <c r="O35" s="20" t="b">
        <f>O7</f>
        <v>0</v>
      </c>
      <c r="P35" s="17" t="b">
        <f>P2</f>
        <v>1</v>
      </c>
      <c r="Q35" s="17" t="b">
        <f>Q2</f>
        <v>1</v>
      </c>
      <c r="R35" s="17"/>
      <c r="S35" s="20" t="b">
        <f>S3</f>
        <v>0</v>
      </c>
      <c r="T35" s="17" t="b">
        <f>T7</f>
        <v>1</v>
      </c>
      <c r="U35" s="20" t="b">
        <f>U8</f>
        <v>0</v>
      </c>
      <c r="V35" s="17"/>
      <c r="W35" s="17"/>
      <c r="X35" s="17"/>
      <c r="Y35" s="17"/>
      <c r="Z35" s="17" t="b">
        <f>Z2</f>
        <v>1</v>
      </c>
      <c r="AA35" s="20" t="b">
        <f>AA31</f>
        <v>1</v>
      </c>
      <c r="AB35" s="20" t="b">
        <f>AB22</f>
        <v>1</v>
      </c>
      <c r="AC35" s="17" t="b">
        <f>AC2</f>
        <v>1</v>
      </c>
      <c r="AD35" s="17" t="b">
        <f>AD2</f>
        <v>1</v>
      </c>
      <c r="AE35" s="17" t="b">
        <f>AE2</f>
        <v>1</v>
      </c>
      <c r="AF35" t="b">
        <f>AND(Table29[[#This Row],[Plaster]:[Hypoallergenic]])</f>
        <v>0</v>
      </c>
      <c r="AG35" s="28" t="s">
        <v>1445</v>
      </c>
    </row>
    <row r="36" spans="1:36">
      <c r="A36" t="b">
        <f>IF(Table29[[#This Row],[Column52]],Table29[[#This Row],[Products]])</f>
        <v>0</v>
      </c>
      <c r="B36" s="20" t="b">
        <f>B2</f>
        <v>0</v>
      </c>
      <c r="C36" s="17"/>
      <c r="D36" s="17"/>
      <c r="E36" s="17"/>
      <c r="F36" s="17"/>
      <c r="G36" s="17"/>
      <c r="H36" s="17"/>
      <c r="I36" s="17" t="b">
        <f>I2</f>
        <v>1</v>
      </c>
      <c r="J36" s="20" t="b">
        <f>J11</f>
        <v>0</v>
      </c>
      <c r="K36" s="17"/>
      <c r="L36" s="17"/>
      <c r="M36" s="20" t="b">
        <f>M7</f>
        <v>1</v>
      </c>
      <c r="N36" s="17"/>
      <c r="O36" s="20" t="b">
        <f>O7</f>
        <v>0</v>
      </c>
      <c r="P36" s="17" t="b">
        <f>P2</f>
        <v>1</v>
      </c>
      <c r="Q36" s="17" t="b">
        <f>Q2</f>
        <v>1</v>
      </c>
      <c r="R36" s="17"/>
      <c r="S36" s="20" t="b">
        <f>S3</f>
        <v>0</v>
      </c>
      <c r="T36" s="17" t="b">
        <f>T7</f>
        <v>1</v>
      </c>
      <c r="U36" s="20" t="b">
        <f>U8</f>
        <v>0</v>
      </c>
      <c r="V36" s="17"/>
      <c r="W36" s="17"/>
      <c r="X36" s="17"/>
      <c r="Y36" s="17"/>
      <c r="Z36" s="17" t="b">
        <f>Z2</f>
        <v>1</v>
      </c>
      <c r="AA36" s="20" t="b">
        <f>AA31</f>
        <v>1</v>
      </c>
      <c r="AB36" s="20" t="b">
        <f>AB22</f>
        <v>1</v>
      </c>
      <c r="AC36" s="17" t="b">
        <f>AC2</f>
        <v>1</v>
      </c>
      <c r="AD36" s="17" t="b">
        <f>AD2</f>
        <v>1</v>
      </c>
      <c r="AE36" s="17" t="b">
        <f>AE2</f>
        <v>1</v>
      </c>
      <c r="AF36" t="b">
        <f>AND(Table29[[#This Row],[Plaster]:[Hypoallergenic]])</f>
        <v>0</v>
      </c>
      <c r="AG36" s="28" t="s">
        <v>1446</v>
      </c>
    </row>
    <row r="37" spans="1:36">
      <c r="A37" t="b">
        <f>IF(Table29[[#This Row],[Column52]],Table29[[#This Row],[Products]])</f>
        <v>0</v>
      </c>
      <c r="B37" s="20" t="b">
        <f>B2</f>
        <v>0</v>
      </c>
      <c r="C37" s="17"/>
      <c r="D37" s="17"/>
      <c r="E37" s="17"/>
      <c r="F37" s="17"/>
      <c r="G37" s="17"/>
      <c r="H37" s="17"/>
      <c r="I37" s="17" t="b">
        <f>I2</f>
        <v>1</v>
      </c>
      <c r="J37" s="20" t="b">
        <f>J11</f>
        <v>0</v>
      </c>
      <c r="K37" s="17"/>
      <c r="L37" s="17"/>
      <c r="M37" s="20" t="b">
        <f>M7</f>
        <v>1</v>
      </c>
      <c r="N37" s="17"/>
      <c r="O37" s="20" t="b">
        <f>O7</f>
        <v>0</v>
      </c>
      <c r="P37" s="17" t="b">
        <f>P2</f>
        <v>1</v>
      </c>
      <c r="Q37" s="17" t="b">
        <f>Q2</f>
        <v>1</v>
      </c>
      <c r="R37" s="17"/>
      <c r="S37" s="20" t="b">
        <f>S3</f>
        <v>0</v>
      </c>
      <c r="T37" s="17" t="b">
        <f>T7</f>
        <v>1</v>
      </c>
      <c r="U37" s="20" t="b">
        <f>U8</f>
        <v>0</v>
      </c>
      <c r="V37" s="17"/>
      <c r="W37" s="17"/>
      <c r="X37" s="17"/>
      <c r="Y37" s="17"/>
      <c r="Z37" s="17" t="b">
        <f>Z2</f>
        <v>1</v>
      </c>
      <c r="AA37" s="20" t="b">
        <f>AA31</f>
        <v>1</v>
      </c>
      <c r="AB37" s="20" t="b">
        <f>AB22</f>
        <v>1</v>
      </c>
      <c r="AC37" s="17" t="b">
        <f>AC2</f>
        <v>1</v>
      </c>
      <c r="AD37" s="17" t="b">
        <f>AD2</f>
        <v>1</v>
      </c>
      <c r="AE37" s="17" t="b">
        <f>AE2</f>
        <v>1</v>
      </c>
      <c r="AF37" t="b">
        <f>AND(Table29[[#This Row],[Plaster]:[Hypoallergenic]])</f>
        <v>0</v>
      </c>
      <c r="AG37" s="28" t="s">
        <v>1447</v>
      </c>
    </row>
    <row r="38" spans="1:36">
      <c r="A38" t="b">
        <f>IF(Table29[[#This Row],[Column52]],Table29[[#This Row],[Products]])</f>
        <v>0</v>
      </c>
      <c r="B38" s="20" t="b">
        <f>B2</f>
        <v>0</v>
      </c>
      <c r="C38" s="17"/>
      <c r="D38" s="17"/>
      <c r="E38" s="17"/>
      <c r="F38" s="17"/>
      <c r="G38" s="17"/>
      <c r="H38" s="17"/>
      <c r="I38" s="17" t="b">
        <f>I2</f>
        <v>1</v>
      </c>
      <c r="J38" s="20" t="b">
        <f>J11</f>
        <v>0</v>
      </c>
      <c r="K38" s="17"/>
      <c r="L38" s="17"/>
      <c r="M38" s="20" t="b">
        <f>M7</f>
        <v>1</v>
      </c>
      <c r="N38" s="17"/>
      <c r="O38" s="20" t="b">
        <f>O7</f>
        <v>0</v>
      </c>
      <c r="P38" s="17" t="b">
        <f>P2</f>
        <v>1</v>
      </c>
      <c r="Q38" s="17" t="b">
        <f>Q2</f>
        <v>1</v>
      </c>
      <c r="R38" s="17"/>
      <c r="S38" s="20" t="b">
        <f>S3</f>
        <v>0</v>
      </c>
      <c r="T38" s="17" t="b">
        <f>T7</f>
        <v>1</v>
      </c>
      <c r="U38" s="20" t="b">
        <f>U8</f>
        <v>0</v>
      </c>
      <c r="V38" s="17"/>
      <c r="W38" s="17"/>
      <c r="X38" s="17"/>
      <c r="Y38" s="17"/>
      <c r="Z38" s="17" t="b">
        <f>Z2</f>
        <v>1</v>
      </c>
      <c r="AA38" s="20" t="b">
        <f>AA31</f>
        <v>1</v>
      </c>
      <c r="AB38" s="20" t="b">
        <f>AB22</f>
        <v>1</v>
      </c>
      <c r="AC38" s="17" t="b">
        <f>AC2</f>
        <v>1</v>
      </c>
      <c r="AD38" s="17" t="b">
        <f>AD2</f>
        <v>1</v>
      </c>
      <c r="AE38" s="17" t="b">
        <f>AE2</f>
        <v>1</v>
      </c>
      <c r="AF38" t="b">
        <f>AND(Table29[[#This Row],[Plaster]:[Hypoallergenic]])</f>
        <v>0</v>
      </c>
      <c r="AG38" s="28" t="s">
        <v>1448</v>
      </c>
    </row>
    <row r="39" spans="1:36">
      <c r="A39" t="b">
        <f>IF(Table29[[#This Row],[Column52]],Table29[[#This Row],[Products]])</f>
        <v>0</v>
      </c>
      <c r="B39" s="20" t="b">
        <f>B2</f>
        <v>0</v>
      </c>
      <c r="C39" s="17"/>
      <c r="D39" s="17"/>
      <c r="E39" s="17"/>
      <c r="F39" s="17"/>
      <c r="G39" s="17"/>
      <c r="H39" s="17"/>
      <c r="I39" s="17" t="b">
        <f>I2</f>
        <v>1</v>
      </c>
      <c r="J39" s="20" t="b">
        <f>J11</f>
        <v>0</v>
      </c>
      <c r="K39" s="17"/>
      <c r="L39" s="17"/>
      <c r="M39" s="20" t="b">
        <f>M7</f>
        <v>1</v>
      </c>
      <c r="N39" s="17"/>
      <c r="O39" s="20" t="b">
        <f>O7</f>
        <v>0</v>
      </c>
      <c r="P39" s="17" t="b">
        <f>P2</f>
        <v>1</v>
      </c>
      <c r="Q39" s="17" t="b">
        <f>Q2</f>
        <v>1</v>
      </c>
      <c r="R39" s="17"/>
      <c r="S39" s="20" t="b">
        <f>S3</f>
        <v>0</v>
      </c>
      <c r="T39" s="17" t="b">
        <f>T7</f>
        <v>1</v>
      </c>
      <c r="U39" s="20" t="b">
        <f>U8</f>
        <v>0</v>
      </c>
      <c r="V39" s="17"/>
      <c r="W39" s="17"/>
      <c r="X39" s="17"/>
      <c r="Y39" s="17"/>
      <c r="Z39" s="17" t="b">
        <f>Z2</f>
        <v>1</v>
      </c>
      <c r="AA39" s="20" t="b">
        <f>AA31</f>
        <v>1</v>
      </c>
      <c r="AB39" s="20" t="b">
        <f>AB22</f>
        <v>1</v>
      </c>
      <c r="AC39" s="17" t="b">
        <f>AC2</f>
        <v>1</v>
      </c>
      <c r="AD39" s="17" t="b">
        <f>AD2</f>
        <v>1</v>
      </c>
      <c r="AE39" s="17" t="b">
        <f>AE2</f>
        <v>1</v>
      </c>
      <c r="AF39" t="b">
        <f>AND(Table29[[#This Row],[Plaster]:[Hypoallergenic]])</f>
        <v>0</v>
      </c>
      <c r="AG39" s="28" t="s">
        <v>1449</v>
      </c>
    </row>
    <row r="40" spans="1:36">
      <c r="A40" t="b">
        <f>IF(Table29[[#This Row],[Column52]],Table29[[#This Row],[Products]])</f>
        <v>0</v>
      </c>
      <c r="B40" s="20" t="b">
        <f>B2</f>
        <v>0</v>
      </c>
      <c r="C40" s="17"/>
      <c r="D40" s="17"/>
      <c r="E40" s="17"/>
      <c r="F40" s="17"/>
      <c r="G40" s="17"/>
      <c r="H40" s="17"/>
      <c r="I40" s="17" t="b">
        <f>I2</f>
        <v>1</v>
      </c>
      <c r="J40" s="20" t="b">
        <f>J11</f>
        <v>0</v>
      </c>
      <c r="K40" s="17"/>
      <c r="L40" s="17"/>
      <c r="M40" s="20" t="b">
        <f>M7</f>
        <v>1</v>
      </c>
      <c r="N40" s="17"/>
      <c r="O40" s="20" t="b">
        <f>O7</f>
        <v>0</v>
      </c>
      <c r="P40" s="17" t="b">
        <f>P2</f>
        <v>1</v>
      </c>
      <c r="Q40" s="17" t="b">
        <f>Q2</f>
        <v>1</v>
      </c>
      <c r="R40" s="17"/>
      <c r="S40" s="20" t="b">
        <f>S3</f>
        <v>0</v>
      </c>
      <c r="T40" s="17" t="b">
        <f>T7</f>
        <v>1</v>
      </c>
      <c r="U40" s="20" t="b">
        <f>U8</f>
        <v>0</v>
      </c>
      <c r="V40" s="17"/>
      <c r="W40" s="17"/>
      <c r="X40" s="17"/>
      <c r="Y40" s="17"/>
      <c r="Z40" s="17" t="b">
        <f>Z2</f>
        <v>1</v>
      </c>
      <c r="AA40" s="20" t="b">
        <f>AA31</f>
        <v>1</v>
      </c>
      <c r="AB40" s="20" t="b">
        <f>AB22</f>
        <v>1</v>
      </c>
      <c r="AC40" s="17" t="b">
        <f>AC2</f>
        <v>1</v>
      </c>
      <c r="AD40" s="17" t="b">
        <f>AD2</f>
        <v>1</v>
      </c>
      <c r="AE40" s="17" t="b">
        <f>AE2</f>
        <v>1</v>
      </c>
      <c r="AF40" t="b">
        <f>AND(Table29[[#This Row],[Plaster]:[Hypoallergenic]])</f>
        <v>0</v>
      </c>
      <c r="AG40" s="28" t="s">
        <v>1450</v>
      </c>
    </row>
    <row r="41" spans="1:36">
      <c r="A41" t="b">
        <f>IF(Table29[[#This Row],[Column52]],Table29[[#This Row],[Products]])</f>
        <v>0</v>
      </c>
      <c r="B41" s="20" t="b">
        <f>B2</f>
        <v>0</v>
      </c>
      <c r="C41" s="17"/>
      <c r="D41" s="17"/>
      <c r="E41" s="17"/>
      <c r="F41" s="17"/>
      <c r="G41" s="17"/>
      <c r="H41" s="17"/>
      <c r="I41" s="17" t="b">
        <f>I2</f>
        <v>1</v>
      </c>
      <c r="J41" s="20" t="b">
        <f>J11</f>
        <v>0</v>
      </c>
      <c r="K41" s="17"/>
      <c r="L41" s="17"/>
      <c r="M41" s="20" t="b">
        <f>M7</f>
        <v>1</v>
      </c>
      <c r="N41" s="17"/>
      <c r="O41" s="20" t="b">
        <f>O7</f>
        <v>0</v>
      </c>
      <c r="P41" s="17" t="b">
        <f>P2</f>
        <v>1</v>
      </c>
      <c r="Q41" s="17" t="b">
        <f>Q2</f>
        <v>1</v>
      </c>
      <c r="R41" s="17"/>
      <c r="S41" s="20" t="b">
        <f>S3</f>
        <v>0</v>
      </c>
      <c r="T41" s="17" t="b">
        <f>T7</f>
        <v>1</v>
      </c>
      <c r="U41" s="20" t="b">
        <f>U8</f>
        <v>0</v>
      </c>
      <c r="V41" s="17"/>
      <c r="W41" s="17"/>
      <c r="X41" s="17"/>
      <c r="Y41" s="17"/>
      <c r="Z41" s="17" t="b">
        <f>Z2</f>
        <v>1</v>
      </c>
      <c r="AA41" s="20" t="b">
        <f>AA31</f>
        <v>1</v>
      </c>
      <c r="AB41" s="20" t="b">
        <f>AB22</f>
        <v>1</v>
      </c>
      <c r="AC41" s="17" t="b">
        <f>AC2</f>
        <v>1</v>
      </c>
      <c r="AD41" s="17" t="b">
        <f>AD2</f>
        <v>1</v>
      </c>
      <c r="AE41" s="17" t="b">
        <f>AE2</f>
        <v>1</v>
      </c>
      <c r="AF41" t="b">
        <f>AND(Table29[[#This Row],[Plaster]:[Hypoallergenic]])</f>
        <v>0</v>
      </c>
      <c r="AG41" s="28" t="s">
        <v>1451</v>
      </c>
    </row>
    <row r="42" spans="1:36">
      <c r="A42" t="b">
        <f>IF(Table29[[#This Row],[Column52]],Table29[[#This Row],[Products]])</f>
        <v>0</v>
      </c>
      <c r="B42" s="17"/>
      <c r="C42" s="17"/>
      <c r="D42" s="17"/>
      <c r="E42" s="17"/>
      <c r="F42" s="17"/>
      <c r="G42" s="20" t="b">
        <f>AND('Bandage Product Criteria'!B22,'Bandage Product Criteria'!C21,'Bandage Product Criteria'!C23:C27)</f>
        <v>0</v>
      </c>
      <c r="H42" s="17"/>
      <c r="I42" s="17" t="b">
        <f>I2</f>
        <v>1</v>
      </c>
      <c r="J42" s="17"/>
      <c r="K42" s="20" t="b">
        <f>K2</f>
        <v>0</v>
      </c>
      <c r="L42" s="17"/>
      <c r="M42" s="17" t="b">
        <f>M2</f>
        <v>1</v>
      </c>
      <c r="N42" s="17"/>
      <c r="O42" s="17"/>
      <c r="P42" s="17" t="b">
        <f>P2</f>
        <v>1</v>
      </c>
      <c r="Q42" s="17" t="b">
        <f>Q2</f>
        <v>1</v>
      </c>
      <c r="R42" s="17"/>
      <c r="S42" s="20" t="b">
        <f>S3</f>
        <v>0</v>
      </c>
      <c r="T42" s="17" t="b">
        <f>T7</f>
        <v>1</v>
      </c>
      <c r="U42" s="17"/>
      <c r="V42" s="17"/>
      <c r="W42" s="17"/>
      <c r="X42" s="17"/>
      <c r="Y42" s="17"/>
      <c r="Z42" s="17" t="b">
        <f t="shared" ref="Z42:AE42" si="21">Z2</f>
        <v>1</v>
      </c>
      <c r="AA42" s="17" t="b">
        <f t="shared" si="21"/>
        <v>1</v>
      </c>
      <c r="AB42" s="17" t="b">
        <f t="shared" si="21"/>
        <v>1</v>
      </c>
      <c r="AC42" s="17" t="b">
        <f t="shared" si="21"/>
        <v>1</v>
      </c>
      <c r="AD42" s="17" t="b">
        <f t="shared" si="21"/>
        <v>1</v>
      </c>
      <c r="AE42" s="17" t="b">
        <f t="shared" si="21"/>
        <v>1</v>
      </c>
      <c r="AF42" t="b">
        <f>AND(Table29[[#This Row],[Plaster]:[Hypoallergenic]])</f>
        <v>0</v>
      </c>
      <c r="AG42" s="11" t="s">
        <v>1424</v>
      </c>
    </row>
    <row r="43" spans="1:36">
      <c r="A43" t="b">
        <f>IF(Table29[[#This Row],[Column52]],Table29[[#This Row],[Products]])</f>
        <v>0</v>
      </c>
      <c r="B43" s="20" t="b">
        <f>B2</f>
        <v>0</v>
      </c>
      <c r="C43" s="17"/>
      <c r="D43" s="17"/>
      <c r="E43" s="17"/>
      <c r="F43" s="17"/>
      <c r="G43" s="17"/>
      <c r="H43" s="17"/>
      <c r="I43" s="17" t="b">
        <f>I2</f>
        <v>1</v>
      </c>
      <c r="J43" s="17"/>
      <c r="K43" s="20" t="b">
        <f>K2</f>
        <v>0</v>
      </c>
      <c r="L43" s="17"/>
      <c r="M43" s="20" t="b">
        <f>M7</f>
        <v>1</v>
      </c>
      <c r="N43" s="17"/>
      <c r="O43" s="20" t="b">
        <f>O7</f>
        <v>0</v>
      </c>
      <c r="P43" s="17" t="b">
        <f>P2</f>
        <v>1</v>
      </c>
      <c r="Q43" s="17" t="b">
        <f>Q2</f>
        <v>1</v>
      </c>
      <c r="R43" s="17"/>
      <c r="S43" s="20" t="b">
        <f>S3</f>
        <v>0</v>
      </c>
      <c r="T43" s="17" t="b">
        <f>T7</f>
        <v>1</v>
      </c>
      <c r="U43" s="17"/>
      <c r="V43" s="17"/>
      <c r="W43" s="17"/>
      <c r="X43" s="20" t="b">
        <f>X3</f>
        <v>0</v>
      </c>
      <c r="Y43" s="17"/>
      <c r="Z43" s="17" t="b">
        <f t="shared" ref="Z43:AE43" si="22">Z2</f>
        <v>1</v>
      </c>
      <c r="AA43" s="17" t="b">
        <f t="shared" si="22"/>
        <v>1</v>
      </c>
      <c r="AB43" s="17" t="b">
        <f t="shared" si="22"/>
        <v>1</v>
      </c>
      <c r="AC43" s="17" t="b">
        <f t="shared" si="22"/>
        <v>1</v>
      </c>
      <c r="AD43" s="17" t="b">
        <f t="shared" si="22"/>
        <v>1</v>
      </c>
      <c r="AE43" s="17" t="b">
        <f t="shared" si="22"/>
        <v>1</v>
      </c>
      <c r="AF43" t="b">
        <f>AND(Table29[[#This Row],[Plaster]:[Hypoallergenic]])</f>
        <v>0</v>
      </c>
      <c r="AG43" s="28" t="s">
        <v>1452</v>
      </c>
    </row>
    <row r="44" spans="1:36">
      <c r="A44" t="b">
        <f>IF(Table29[[#This Row],[Column52]],Table29[[#This Row],[Products]])</f>
        <v>0</v>
      </c>
      <c r="B44" s="17"/>
      <c r="C44" s="17"/>
      <c r="D44" s="17"/>
      <c r="E44" s="17"/>
      <c r="F44" s="17"/>
      <c r="G44" s="20" t="b">
        <f>G42</f>
        <v>0</v>
      </c>
      <c r="H44" s="17"/>
      <c r="I44" s="17" t="b">
        <f>I2</f>
        <v>1</v>
      </c>
      <c r="J44" s="17"/>
      <c r="K44" s="17"/>
      <c r="L44" s="17"/>
      <c r="M44" s="20" t="b">
        <f>M7</f>
        <v>1</v>
      </c>
      <c r="N44" s="17"/>
      <c r="O44" s="17"/>
      <c r="P44" s="20" t="b">
        <f>P7</f>
        <v>1</v>
      </c>
      <c r="Q44" s="17" t="b">
        <f>Q2</f>
        <v>1</v>
      </c>
      <c r="R44" s="17"/>
      <c r="S44" s="20" t="b">
        <f>S3</f>
        <v>0</v>
      </c>
      <c r="T44" s="17" t="b">
        <f>T7</f>
        <v>1</v>
      </c>
      <c r="U44" s="17"/>
      <c r="V44" s="17"/>
      <c r="W44" s="17"/>
      <c r="X44" s="17"/>
      <c r="Y44" s="17"/>
      <c r="Z44" s="17" t="b">
        <f t="shared" ref="Z44:AE44" si="23">Z2</f>
        <v>1</v>
      </c>
      <c r="AA44" s="17" t="b">
        <f t="shared" si="23"/>
        <v>1</v>
      </c>
      <c r="AB44" s="17" t="b">
        <f t="shared" si="23"/>
        <v>1</v>
      </c>
      <c r="AC44" s="17" t="b">
        <f t="shared" si="23"/>
        <v>1</v>
      </c>
      <c r="AD44" s="17" t="b">
        <f t="shared" si="23"/>
        <v>1</v>
      </c>
      <c r="AE44" s="17" t="b">
        <f t="shared" si="23"/>
        <v>1</v>
      </c>
      <c r="AF44" t="b">
        <f>AND(Table29[[#This Row],[Plaster]:[Hypoallergenic]])</f>
        <v>0</v>
      </c>
      <c r="AG44" s="28" t="s">
        <v>1453</v>
      </c>
      <c r="AJ44" t="s">
        <v>1455</v>
      </c>
    </row>
    <row r="45" spans="1:36">
      <c r="A45" t="b">
        <f>IF(Table29[[#This Row],[Column52]],Table29[[#This Row],[Products]])</f>
        <v>0</v>
      </c>
      <c r="B45" s="17"/>
      <c r="C45" s="17"/>
      <c r="D45" s="17"/>
      <c r="E45" s="17"/>
      <c r="F45" s="17"/>
      <c r="G45" s="20" t="b">
        <f>G42</f>
        <v>0</v>
      </c>
      <c r="H45" s="17"/>
      <c r="I45" s="17" t="b">
        <f>I2</f>
        <v>1</v>
      </c>
      <c r="J45" s="17"/>
      <c r="K45" s="17"/>
      <c r="L45" s="17"/>
      <c r="M45" s="17" t="b">
        <f>M2</f>
        <v>1</v>
      </c>
      <c r="N45" s="17"/>
      <c r="O45" s="17"/>
      <c r="P45" s="17" t="b">
        <f>P2</f>
        <v>1</v>
      </c>
      <c r="Q45" s="20" t="b">
        <f>Q11</f>
        <v>1</v>
      </c>
      <c r="R45" s="17"/>
      <c r="S45" s="20" t="b">
        <f>S3</f>
        <v>0</v>
      </c>
      <c r="T45" s="17" t="b">
        <f>T7</f>
        <v>1</v>
      </c>
      <c r="U45" s="17"/>
      <c r="V45" s="17"/>
      <c r="W45" s="17"/>
      <c r="X45" s="17"/>
      <c r="Y45" s="17"/>
      <c r="Z45" s="17" t="b">
        <f t="shared" ref="Z45:AE45" si="24">Z2</f>
        <v>1</v>
      </c>
      <c r="AA45" s="17" t="b">
        <f t="shared" si="24"/>
        <v>1</v>
      </c>
      <c r="AB45" s="17" t="b">
        <f t="shared" si="24"/>
        <v>1</v>
      </c>
      <c r="AC45" s="17" t="b">
        <f t="shared" si="24"/>
        <v>1</v>
      </c>
      <c r="AD45" s="17" t="b">
        <f t="shared" si="24"/>
        <v>1</v>
      </c>
      <c r="AE45" s="17" t="b">
        <f t="shared" si="24"/>
        <v>1</v>
      </c>
      <c r="AF45" t="b">
        <f>AND(Table29[[#This Row],[Plaster]:[Hypoallergenic]])</f>
        <v>0</v>
      </c>
      <c r="AG45" s="28" t="s">
        <v>1454</v>
      </c>
    </row>
    <row r="46" spans="1:36">
      <c r="A46" t="b">
        <f>IF(Table29[[#This Row],[Column52]],Table29[[#This Row],[Products]])</f>
        <v>0</v>
      </c>
      <c r="B46" s="17"/>
      <c r="C46" s="17"/>
      <c r="D46" s="17"/>
      <c r="E46" s="17"/>
      <c r="F46" s="17"/>
      <c r="G46" s="20" t="b">
        <f>G42</f>
        <v>0</v>
      </c>
      <c r="H46" s="17"/>
      <c r="I46" s="17" t="b">
        <f>I2</f>
        <v>1</v>
      </c>
      <c r="J46" s="17"/>
      <c r="K46" s="17"/>
      <c r="L46" s="17"/>
      <c r="M46" s="17" t="b">
        <f>M2</f>
        <v>1</v>
      </c>
      <c r="N46" s="17"/>
      <c r="O46" s="17"/>
      <c r="P46" s="17" t="b">
        <f>P2</f>
        <v>1</v>
      </c>
      <c r="Q46" s="17" t="b">
        <f>Q2</f>
        <v>1</v>
      </c>
      <c r="R46" s="17"/>
      <c r="S46" s="20" t="b">
        <f>S3</f>
        <v>0</v>
      </c>
      <c r="T46" s="17" t="b">
        <f>T7</f>
        <v>1</v>
      </c>
      <c r="U46" s="17"/>
      <c r="V46" s="17"/>
      <c r="W46" s="17"/>
      <c r="X46" s="17"/>
      <c r="Y46" s="17"/>
      <c r="Z46" s="17" t="b">
        <f>Z2</f>
        <v>1</v>
      </c>
      <c r="AA46" s="17" t="b">
        <f>AA2</f>
        <v>1</v>
      </c>
      <c r="AB46" s="20" t="b">
        <f>AB22</f>
        <v>1</v>
      </c>
      <c r="AC46" s="17" t="b">
        <f>AC2</f>
        <v>1</v>
      </c>
      <c r="AD46" s="17" t="b">
        <f>AD2</f>
        <v>1</v>
      </c>
      <c r="AE46" s="17" t="b">
        <f>AE2</f>
        <v>1</v>
      </c>
      <c r="AF46" t="b">
        <f>AND(Table29[[#This Row],[Plaster]:[Hypoallergenic]])</f>
        <v>0</v>
      </c>
      <c r="AG46" s="28" t="s">
        <v>1456</v>
      </c>
    </row>
    <row r="47" spans="1:36">
      <c r="A47" t="b">
        <f>IF(Table29[[#This Row],[Column52]],Table29[[#This Row],[Products]])</f>
        <v>0</v>
      </c>
      <c r="B47" s="17"/>
      <c r="C47" s="17"/>
      <c r="D47" s="20" t="b">
        <f>AND('Bandage Product Criteria'!B23,'Bandage Product Criteria'!C21:C22,'Bandage Product Criteria'!C24:C27)</f>
        <v>0</v>
      </c>
      <c r="E47" s="17"/>
      <c r="F47" s="17"/>
      <c r="G47" s="17"/>
      <c r="H47" s="17"/>
      <c r="I47" s="17" t="b">
        <f>I2</f>
        <v>1</v>
      </c>
      <c r="J47" s="20" t="b">
        <f>J11</f>
        <v>0</v>
      </c>
      <c r="K47" s="17"/>
      <c r="L47" s="17"/>
      <c r="M47" s="17" t="b">
        <f>M2</f>
        <v>1</v>
      </c>
      <c r="N47" s="17"/>
      <c r="O47" s="20" t="b">
        <f>O7</f>
        <v>0</v>
      </c>
      <c r="P47" s="20" t="b">
        <f>P7</f>
        <v>1</v>
      </c>
      <c r="Q47" s="17" t="b">
        <f>Q2</f>
        <v>1</v>
      </c>
      <c r="R47" s="17"/>
      <c r="S47" s="20" t="b">
        <f>S3</f>
        <v>0</v>
      </c>
      <c r="T47" s="17" t="b">
        <f>T7</f>
        <v>1</v>
      </c>
      <c r="U47" s="17"/>
      <c r="V47" s="17"/>
      <c r="W47" s="20" t="b">
        <f>W9</f>
        <v>0</v>
      </c>
      <c r="X47" s="17"/>
      <c r="Y47" s="17"/>
      <c r="Z47" s="17" t="b">
        <f>Z2</f>
        <v>1</v>
      </c>
      <c r="AA47" s="17" t="b">
        <f>AA2</f>
        <v>1</v>
      </c>
      <c r="AB47" s="17" t="b">
        <f>AB2</f>
        <v>1</v>
      </c>
      <c r="AC47" s="17" t="b">
        <f>AC2</f>
        <v>1</v>
      </c>
      <c r="AD47" s="20" t="b">
        <f>OR('Bandage Product Criteria'!B18:C18)</f>
        <v>1</v>
      </c>
      <c r="AE47" s="17" t="b">
        <f>AE2</f>
        <v>1</v>
      </c>
      <c r="AF47" t="b">
        <f>AND(Table29[[#This Row],[Plaster]:[Hypoallergenic]])</f>
        <v>0</v>
      </c>
      <c r="AG47" s="28" t="s">
        <v>1457</v>
      </c>
    </row>
    <row r="48" spans="1:36">
      <c r="A48" t="b">
        <f>IF(Table29[[#This Row],[Column52]],Table29[[#This Row],[Products]])</f>
        <v>0</v>
      </c>
      <c r="B48" s="17"/>
      <c r="C48" s="17"/>
      <c r="D48" s="20" t="b">
        <f>D47</f>
        <v>0</v>
      </c>
      <c r="E48" s="17"/>
      <c r="F48" s="17"/>
      <c r="G48" s="17"/>
      <c r="H48" s="17"/>
      <c r="I48" s="17" t="b">
        <f>I2</f>
        <v>1</v>
      </c>
      <c r="J48" s="20" t="b">
        <f>J11</f>
        <v>0</v>
      </c>
      <c r="K48" s="17"/>
      <c r="L48" s="17"/>
      <c r="M48" s="17" t="b">
        <f>M2</f>
        <v>1</v>
      </c>
      <c r="N48" s="17"/>
      <c r="O48" s="20" t="b">
        <f>O7</f>
        <v>0</v>
      </c>
      <c r="P48" s="20" t="b">
        <f>P7</f>
        <v>1</v>
      </c>
      <c r="Q48" s="17" t="b">
        <f>Q2</f>
        <v>1</v>
      </c>
      <c r="R48" s="17"/>
      <c r="S48" s="20" t="b">
        <f>S3</f>
        <v>0</v>
      </c>
      <c r="T48" s="17" t="b">
        <f>T7</f>
        <v>1</v>
      </c>
      <c r="U48" s="17"/>
      <c r="V48" s="20" t="b">
        <f>V2</f>
        <v>0</v>
      </c>
      <c r="W48" s="17"/>
      <c r="X48" s="17"/>
      <c r="Y48" s="17"/>
      <c r="Z48" s="17" t="b">
        <f>Z2</f>
        <v>1</v>
      </c>
      <c r="AA48" s="17" t="b">
        <f>AA2</f>
        <v>1</v>
      </c>
      <c r="AB48" s="17" t="b">
        <f>AB2</f>
        <v>1</v>
      </c>
      <c r="AC48" s="17" t="b">
        <f>AC2</f>
        <v>1</v>
      </c>
      <c r="AD48" s="20" t="b">
        <f>AD47</f>
        <v>1</v>
      </c>
      <c r="AE48" s="17" t="b">
        <f>AE2</f>
        <v>1</v>
      </c>
      <c r="AF48" t="b">
        <f>AND(Table29[[#This Row],[Plaster]:[Hypoallergenic]])</f>
        <v>0</v>
      </c>
      <c r="AG48" s="28" t="s">
        <v>1458</v>
      </c>
    </row>
    <row r="49" spans="1:33">
      <c r="A49" t="b">
        <f>IF(Table29[[#This Row],[Column52]],Table29[[#This Row],[Products]])</f>
        <v>0</v>
      </c>
      <c r="B49" s="17"/>
      <c r="C49" s="17"/>
      <c r="D49" s="20" t="b">
        <f>D47</f>
        <v>0</v>
      </c>
      <c r="E49" s="17"/>
      <c r="F49" s="17"/>
      <c r="G49" s="17"/>
      <c r="H49" s="17"/>
      <c r="I49" s="17" t="b">
        <f>I2</f>
        <v>1</v>
      </c>
      <c r="J49" s="20" t="b">
        <f>J11</f>
        <v>0</v>
      </c>
      <c r="K49" s="17"/>
      <c r="L49" s="17"/>
      <c r="M49" s="17" t="b">
        <f>M2</f>
        <v>1</v>
      </c>
      <c r="N49" s="17"/>
      <c r="O49" s="20" t="b">
        <f>O7</f>
        <v>0</v>
      </c>
      <c r="P49" s="20" t="b">
        <f>P7</f>
        <v>1</v>
      </c>
      <c r="Q49" s="17" t="b">
        <f>Q2</f>
        <v>1</v>
      </c>
      <c r="R49" s="17"/>
      <c r="S49" s="20" t="b">
        <f>S3</f>
        <v>0</v>
      </c>
      <c r="T49" s="17" t="b">
        <f>T7</f>
        <v>1</v>
      </c>
      <c r="U49" s="17"/>
      <c r="V49" s="17"/>
      <c r="W49" s="20" t="b">
        <f>W9</f>
        <v>0</v>
      </c>
      <c r="X49" s="17"/>
      <c r="Y49" s="17"/>
      <c r="Z49" s="17" t="b">
        <f>Z2</f>
        <v>1</v>
      </c>
      <c r="AA49" s="17" t="b">
        <f>AA2</f>
        <v>1</v>
      </c>
      <c r="AB49" s="17" t="b">
        <f>AB2</f>
        <v>1</v>
      </c>
      <c r="AC49" s="17" t="b">
        <f>AC2</f>
        <v>1</v>
      </c>
      <c r="AD49" s="20" t="b">
        <f>AD47</f>
        <v>1</v>
      </c>
      <c r="AE49" s="17" t="b">
        <f>AE2</f>
        <v>1</v>
      </c>
      <c r="AF49" t="b">
        <f>AND(Table29[[#This Row],[Plaster]:[Hypoallergenic]])</f>
        <v>0</v>
      </c>
      <c r="AG49" s="28" t="s">
        <v>1459</v>
      </c>
    </row>
    <row r="50" spans="1:33">
      <c r="A50" t="b">
        <f>IF(Table29[[#This Row],[Column52]],Table29[[#This Row],[Products]])</f>
        <v>0</v>
      </c>
      <c r="B50" s="17"/>
      <c r="C50" s="17"/>
      <c r="D50" s="20" t="b">
        <f>D47</f>
        <v>0</v>
      </c>
      <c r="E50" s="17"/>
      <c r="F50" s="17"/>
      <c r="G50" s="17"/>
      <c r="H50" s="17"/>
      <c r="I50" s="17" t="b">
        <f>I2</f>
        <v>1</v>
      </c>
      <c r="J50" s="20" t="b">
        <f>J11</f>
        <v>0</v>
      </c>
      <c r="K50" s="17"/>
      <c r="L50" s="17"/>
      <c r="M50" s="17" t="b">
        <f>M2</f>
        <v>1</v>
      </c>
      <c r="N50" s="17"/>
      <c r="O50" s="20" t="b">
        <f>O7</f>
        <v>0</v>
      </c>
      <c r="P50" s="20" t="b">
        <f>P7</f>
        <v>1</v>
      </c>
      <c r="Q50" s="17" t="b">
        <f>Q2</f>
        <v>1</v>
      </c>
      <c r="R50" s="17"/>
      <c r="S50" s="20" t="b">
        <f>S3</f>
        <v>0</v>
      </c>
      <c r="T50" s="17" t="b">
        <f>T7</f>
        <v>1</v>
      </c>
      <c r="U50" s="17"/>
      <c r="V50" s="17"/>
      <c r="W50" s="17"/>
      <c r="X50" s="20" t="b">
        <f>X3</f>
        <v>0</v>
      </c>
      <c r="Y50" s="17"/>
      <c r="Z50" s="17" t="b">
        <f>Z2</f>
        <v>1</v>
      </c>
      <c r="AA50" s="17" t="b">
        <f>AA2</f>
        <v>1</v>
      </c>
      <c r="AB50" s="17" t="b">
        <f>AB2</f>
        <v>1</v>
      </c>
      <c r="AC50" s="17" t="b">
        <f>AC2</f>
        <v>1</v>
      </c>
      <c r="AD50" s="20" t="b">
        <f>AD47</f>
        <v>1</v>
      </c>
      <c r="AE50" s="17" t="b">
        <f>AE2</f>
        <v>1</v>
      </c>
      <c r="AF50" t="b">
        <f>AND(Table29[[#This Row],[Plaster]:[Hypoallergenic]])</f>
        <v>0</v>
      </c>
      <c r="AG50" s="28" t="s">
        <v>1460</v>
      </c>
    </row>
    <row r="51" spans="1:33">
      <c r="A51" t="b">
        <f>IF(Table29[[#This Row],[Column52]],Table29[[#This Row],[Products]])</f>
        <v>0</v>
      </c>
      <c r="B51" s="17"/>
      <c r="C51" s="17"/>
      <c r="D51" s="17"/>
      <c r="E51" s="20" t="b">
        <f>AND('Bandage Product Criteria'!B24,'Bandage Product Criteria'!C21:C23,'Bandage Product Criteria'!C25:C27)</f>
        <v>0</v>
      </c>
      <c r="F51" s="17"/>
      <c r="G51" s="17"/>
      <c r="H51" s="17"/>
      <c r="I51" s="17" t="b">
        <f>I2</f>
        <v>1</v>
      </c>
      <c r="J51" s="20" t="b">
        <f>J11</f>
        <v>0</v>
      </c>
      <c r="K51" s="17"/>
      <c r="L51" s="17"/>
      <c r="M51" s="17" t="b">
        <f>M2</f>
        <v>1</v>
      </c>
      <c r="N51" s="17"/>
      <c r="O51" s="20" t="b">
        <f>O7</f>
        <v>0</v>
      </c>
      <c r="P51" s="17" t="b">
        <f>P2</f>
        <v>1</v>
      </c>
      <c r="Q51" s="17" t="b">
        <f>Q2</f>
        <v>1</v>
      </c>
      <c r="R51" s="17"/>
      <c r="S51" s="20" t="b">
        <f>S3</f>
        <v>0</v>
      </c>
      <c r="T51" s="17" t="b">
        <f>T7</f>
        <v>1</v>
      </c>
      <c r="U51" s="17"/>
      <c r="V51" s="20" t="b">
        <f>V2</f>
        <v>0</v>
      </c>
      <c r="W51" s="17"/>
      <c r="X51" s="17"/>
      <c r="Y51" s="17"/>
      <c r="Z51" s="17" t="b">
        <f t="shared" ref="Z51:AE51" si="25">Z2</f>
        <v>1</v>
      </c>
      <c r="AA51" s="17" t="b">
        <f t="shared" si="25"/>
        <v>1</v>
      </c>
      <c r="AB51" s="17" t="b">
        <f t="shared" si="25"/>
        <v>1</v>
      </c>
      <c r="AC51" s="17" t="b">
        <f t="shared" si="25"/>
        <v>1</v>
      </c>
      <c r="AD51" s="17" t="b">
        <f t="shared" si="25"/>
        <v>1</v>
      </c>
      <c r="AE51" s="17" t="b">
        <f t="shared" si="25"/>
        <v>1</v>
      </c>
      <c r="AF51" t="b">
        <f>AND(Table29[[#This Row],[Plaster]:[Hypoallergenic]])</f>
        <v>0</v>
      </c>
      <c r="AG51" s="28" t="s">
        <v>1461</v>
      </c>
    </row>
    <row r="52" spans="1:33">
      <c r="A52" t="b">
        <f>IF(Table29[[#This Row],[Column52]],Table29[[#This Row],[Products]])</f>
        <v>0</v>
      </c>
      <c r="B52" s="17"/>
      <c r="C52" s="17"/>
      <c r="D52" s="17"/>
      <c r="E52" s="20" t="b">
        <f>E51</f>
        <v>0</v>
      </c>
      <c r="F52" s="17"/>
      <c r="G52" s="17"/>
      <c r="H52" s="17"/>
      <c r="I52" s="17" t="b">
        <f>I2</f>
        <v>1</v>
      </c>
      <c r="J52" s="20" t="b">
        <f>J11</f>
        <v>0</v>
      </c>
      <c r="K52" s="17"/>
      <c r="L52" s="17"/>
      <c r="M52" s="17" t="b">
        <f>M2</f>
        <v>1</v>
      </c>
      <c r="N52" s="17"/>
      <c r="O52" s="20" t="b">
        <f>O7</f>
        <v>0</v>
      </c>
      <c r="P52" s="17" t="b">
        <f>P2</f>
        <v>1</v>
      </c>
      <c r="Q52" s="17" t="b">
        <f>Q2</f>
        <v>1</v>
      </c>
      <c r="R52" s="17"/>
      <c r="S52" s="20" t="b">
        <f>S3</f>
        <v>0</v>
      </c>
      <c r="T52" s="17" t="b">
        <f>T7</f>
        <v>1</v>
      </c>
      <c r="U52" s="17"/>
      <c r="V52" s="20" t="b">
        <f>V2</f>
        <v>0</v>
      </c>
      <c r="W52" s="20" t="b">
        <f>W9</f>
        <v>0</v>
      </c>
      <c r="X52" s="17"/>
      <c r="Y52" s="17"/>
      <c r="Z52" s="17" t="b">
        <f t="shared" ref="Z52:AE52" si="26">Z2</f>
        <v>1</v>
      </c>
      <c r="AA52" s="17" t="b">
        <f t="shared" si="26"/>
        <v>1</v>
      </c>
      <c r="AB52" s="17" t="b">
        <f t="shared" si="26"/>
        <v>1</v>
      </c>
      <c r="AC52" s="17" t="b">
        <f t="shared" si="26"/>
        <v>1</v>
      </c>
      <c r="AD52" s="17" t="b">
        <f t="shared" si="26"/>
        <v>1</v>
      </c>
      <c r="AE52" s="17" t="b">
        <f t="shared" si="26"/>
        <v>1</v>
      </c>
      <c r="AF52" t="b">
        <f>AND(Table29[[#This Row],[Plaster]:[Hypoallergenic]])</f>
        <v>0</v>
      </c>
      <c r="AG52" s="28" t="s">
        <v>1462</v>
      </c>
    </row>
    <row r="53" spans="1:33">
      <c r="A53" t="b">
        <f>IF(Table29[[#This Row],[Column52]],Table29[[#This Row],[Products]])</f>
        <v>0</v>
      </c>
      <c r="B53" s="17"/>
      <c r="C53" s="17"/>
      <c r="D53" s="17"/>
      <c r="E53" s="20" t="b">
        <f>E51</f>
        <v>0</v>
      </c>
      <c r="F53" s="17"/>
      <c r="G53" s="17"/>
      <c r="H53" s="17"/>
      <c r="I53" s="17" t="b">
        <f>I2</f>
        <v>1</v>
      </c>
      <c r="J53" s="20" t="b">
        <f>J11</f>
        <v>0</v>
      </c>
      <c r="K53" s="17"/>
      <c r="L53" s="17"/>
      <c r="M53" s="17" t="b">
        <f>M2</f>
        <v>1</v>
      </c>
      <c r="N53" s="17"/>
      <c r="O53" s="20" t="b">
        <f>O7</f>
        <v>0</v>
      </c>
      <c r="P53" s="17" t="b">
        <f>P2</f>
        <v>1</v>
      </c>
      <c r="Q53" s="17" t="b">
        <f>Q2</f>
        <v>1</v>
      </c>
      <c r="R53" s="17"/>
      <c r="S53" s="20" t="b">
        <f>S3</f>
        <v>0</v>
      </c>
      <c r="T53" s="17" t="b">
        <f>T7</f>
        <v>1</v>
      </c>
      <c r="U53" s="17"/>
      <c r="V53" s="20" t="b">
        <f>V2</f>
        <v>0</v>
      </c>
      <c r="W53" s="17"/>
      <c r="X53" s="17"/>
      <c r="Y53" s="17"/>
      <c r="Z53" s="17" t="b">
        <f t="shared" ref="Z53:AE53" si="27">Z2</f>
        <v>1</v>
      </c>
      <c r="AA53" s="17" t="b">
        <f t="shared" si="27"/>
        <v>1</v>
      </c>
      <c r="AB53" s="17" t="b">
        <f t="shared" si="27"/>
        <v>1</v>
      </c>
      <c r="AC53" s="17" t="b">
        <f t="shared" si="27"/>
        <v>1</v>
      </c>
      <c r="AD53" s="17" t="b">
        <f t="shared" si="27"/>
        <v>1</v>
      </c>
      <c r="AE53" s="17" t="b">
        <f t="shared" si="27"/>
        <v>1</v>
      </c>
      <c r="AF53" t="b">
        <f>AND(Table29[[#This Row],[Plaster]:[Hypoallergenic]])</f>
        <v>0</v>
      </c>
      <c r="AG53" s="28" t="s">
        <v>1463</v>
      </c>
    </row>
    <row r="54" spans="1:33">
      <c r="A54" t="b">
        <f>IF(Table29[[#This Row],[Column52]],Table29[[#This Row],[Products]])</f>
        <v>0</v>
      </c>
      <c r="B54" s="17"/>
      <c r="C54" s="17"/>
      <c r="D54" s="17"/>
      <c r="E54" s="20" t="b">
        <f>E51</f>
        <v>0</v>
      </c>
      <c r="F54" s="17"/>
      <c r="G54" s="17"/>
      <c r="H54" s="17"/>
      <c r="I54" s="17" t="b">
        <f>I2</f>
        <v>1</v>
      </c>
      <c r="J54" s="20" t="b">
        <f>J11</f>
        <v>0</v>
      </c>
      <c r="K54" s="17"/>
      <c r="L54" s="17"/>
      <c r="M54" s="17" t="b">
        <f>M2</f>
        <v>1</v>
      </c>
      <c r="N54" s="17"/>
      <c r="O54" s="20" t="b">
        <f>O7</f>
        <v>0</v>
      </c>
      <c r="P54" s="17" t="b">
        <f>P2</f>
        <v>1</v>
      </c>
      <c r="Q54" s="17" t="b">
        <f>Q2</f>
        <v>1</v>
      </c>
      <c r="R54" s="17"/>
      <c r="S54" s="20" t="b">
        <f>S3</f>
        <v>0</v>
      </c>
      <c r="T54" s="17" t="b">
        <f>T7</f>
        <v>1</v>
      </c>
      <c r="U54" s="17"/>
      <c r="V54" s="17"/>
      <c r="W54" s="20" t="b">
        <f>W9</f>
        <v>0</v>
      </c>
      <c r="X54" s="17"/>
      <c r="Y54" s="17"/>
      <c r="Z54" s="17" t="b">
        <f t="shared" ref="Z54:AE54" si="28">Z2</f>
        <v>1</v>
      </c>
      <c r="AA54" s="17" t="b">
        <f t="shared" si="28"/>
        <v>1</v>
      </c>
      <c r="AB54" s="17" t="b">
        <f t="shared" si="28"/>
        <v>1</v>
      </c>
      <c r="AC54" s="17" t="b">
        <f t="shared" si="28"/>
        <v>1</v>
      </c>
      <c r="AD54" s="17" t="b">
        <f t="shared" si="28"/>
        <v>1</v>
      </c>
      <c r="AE54" s="17" t="b">
        <f t="shared" si="28"/>
        <v>1</v>
      </c>
      <c r="AF54" t="b">
        <f>AND(Table29[[#This Row],[Plaster]:[Hypoallergenic]])</f>
        <v>0</v>
      </c>
      <c r="AG54" s="28" t="s">
        <v>1464</v>
      </c>
    </row>
    <row r="55" spans="1:33">
      <c r="A55" t="b">
        <f>IF(Table29[[#This Row],[Column52]],Table29[[#This Row],[Products]])</f>
        <v>0</v>
      </c>
      <c r="B55" s="17"/>
      <c r="C55" s="17"/>
      <c r="D55" s="17"/>
      <c r="E55" s="20" t="b">
        <f>E51</f>
        <v>0</v>
      </c>
      <c r="F55" s="17"/>
      <c r="G55" s="17"/>
      <c r="H55" s="17"/>
      <c r="I55" s="17" t="b">
        <f>I2</f>
        <v>1</v>
      </c>
      <c r="J55" s="20" t="b">
        <f>J11</f>
        <v>0</v>
      </c>
      <c r="K55" s="17"/>
      <c r="L55" s="17"/>
      <c r="M55" s="17" t="b">
        <f>M2</f>
        <v>1</v>
      </c>
      <c r="N55" s="17"/>
      <c r="O55" s="20" t="b">
        <f>O7</f>
        <v>0</v>
      </c>
      <c r="P55" s="17" t="b">
        <f>P2</f>
        <v>1</v>
      </c>
      <c r="Q55" s="17" t="b">
        <f>Q2</f>
        <v>1</v>
      </c>
      <c r="R55" s="17"/>
      <c r="S55" s="20" t="b">
        <f>S3</f>
        <v>0</v>
      </c>
      <c r="T55" s="17" t="b">
        <f>T7</f>
        <v>1</v>
      </c>
      <c r="U55" s="17"/>
      <c r="V55" s="17"/>
      <c r="W55" s="17"/>
      <c r="X55" s="20" t="b">
        <f>X3</f>
        <v>0</v>
      </c>
      <c r="Y55" s="17"/>
      <c r="Z55" s="17" t="b">
        <f t="shared" ref="Z55:AE55" si="29">Z2</f>
        <v>1</v>
      </c>
      <c r="AA55" s="17" t="b">
        <f t="shared" si="29"/>
        <v>1</v>
      </c>
      <c r="AB55" s="17" t="b">
        <f t="shared" si="29"/>
        <v>1</v>
      </c>
      <c r="AC55" s="17" t="b">
        <f t="shared" si="29"/>
        <v>1</v>
      </c>
      <c r="AD55" s="17" t="b">
        <f t="shared" si="29"/>
        <v>1</v>
      </c>
      <c r="AE55" s="17" t="b">
        <f t="shared" si="29"/>
        <v>1</v>
      </c>
      <c r="AF55" t="b">
        <f>AND(Table29[[#This Row],[Plaster]:[Hypoallergenic]])</f>
        <v>0</v>
      </c>
      <c r="AG55" s="28" t="s">
        <v>1465</v>
      </c>
    </row>
    <row r="56" spans="1:33">
      <c r="A56" t="b">
        <f>IF(Table29[[#This Row],[Column52]],Table29[[#This Row],[Products]])</f>
        <v>0</v>
      </c>
      <c r="B56" s="17"/>
      <c r="C56" s="17"/>
      <c r="D56" s="17"/>
      <c r="E56" s="17"/>
      <c r="F56" s="20" t="b">
        <f>AND('Bandage Product Criteria'!B27,'Bandage Product Criteria'!C21:C26)</f>
        <v>0</v>
      </c>
      <c r="G56" s="17"/>
      <c r="H56" s="17"/>
      <c r="I56" s="17" t="b">
        <f>I2</f>
        <v>1</v>
      </c>
      <c r="J56" s="20" t="b">
        <f>J11</f>
        <v>0</v>
      </c>
      <c r="K56" s="17"/>
      <c r="L56" s="17"/>
      <c r="M56" s="20" t="b">
        <f>M7</f>
        <v>1</v>
      </c>
      <c r="N56" s="17"/>
      <c r="O56" s="20" t="b">
        <f>O7</f>
        <v>0</v>
      </c>
      <c r="P56" s="17" t="b">
        <f>P2</f>
        <v>1</v>
      </c>
      <c r="Q56" s="17" t="b">
        <f>Q2</f>
        <v>1</v>
      </c>
      <c r="R56" s="17"/>
      <c r="S56" s="20" t="b">
        <f>S3</f>
        <v>0</v>
      </c>
      <c r="T56" s="17" t="b">
        <f>T7</f>
        <v>1</v>
      </c>
      <c r="U56" s="17"/>
      <c r="V56" s="20" t="b">
        <f>V2</f>
        <v>0</v>
      </c>
      <c r="W56" s="17"/>
      <c r="X56" s="17"/>
      <c r="Y56" s="17"/>
      <c r="Z56" s="17" t="b">
        <f t="shared" ref="Z56:AE56" si="30">Z2</f>
        <v>1</v>
      </c>
      <c r="AA56" s="17" t="b">
        <f t="shared" si="30"/>
        <v>1</v>
      </c>
      <c r="AB56" s="17" t="b">
        <f t="shared" si="30"/>
        <v>1</v>
      </c>
      <c r="AC56" s="17" t="b">
        <f t="shared" si="30"/>
        <v>1</v>
      </c>
      <c r="AD56" s="17" t="b">
        <f t="shared" si="30"/>
        <v>1</v>
      </c>
      <c r="AE56" s="17" t="b">
        <f t="shared" si="30"/>
        <v>1</v>
      </c>
      <c r="AF56" t="b">
        <f>AND(Table29[[#This Row],[Plaster]:[Hypoallergenic]])</f>
        <v>0</v>
      </c>
      <c r="AG56" s="28" t="s">
        <v>1466</v>
      </c>
    </row>
    <row r="57" spans="1:33">
      <c r="A57" t="b">
        <f>IF(Table29[[#This Row],[Column52]],Table29[[#This Row],[Products]])</f>
        <v>0</v>
      </c>
      <c r="B57" s="17"/>
      <c r="C57" s="17"/>
      <c r="D57" s="17"/>
      <c r="E57" s="17"/>
      <c r="F57" s="20" t="b">
        <f>F56</f>
        <v>0</v>
      </c>
      <c r="G57" s="17"/>
      <c r="H57" s="17"/>
      <c r="I57" s="17" t="b">
        <f>I2</f>
        <v>1</v>
      </c>
      <c r="J57" s="20" t="b">
        <f>J11</f>
        <v>0</v>
      </c>
      <c r="K57" s="17"/>
      <c r="L57" s="17"/>
      <c r="M57" s="20" t="b">
        <f>M7</f>
        <v>1</v>
      </c>
      <c r="N57" s="17"/>
      <c r="O57" s="20" t="b">
        <f>O7</f>
        <v>0</v>
      </c>
      <c r="P57" s="17" t="b">
        <f>P2</f>
        <v>1</v>
      </c>
      <c r="Q57" s="17" t="b">
        <f>Q2</f>
        <v>1</v>
      </c>
      <c r="R57" s="17"/>
      <c r="S57" s="20" t="b">
        <f>S3</f>
        <v>0</v>
      </c>
      <c r="T57" s="17" t="b">
        <f>T7</f>
        <v>1</v>
      </c>
      <c r="U57" s="17"/>
      <c r="V57" s="17"/>
      <c r="W57" s="20" t="b">
        <f>W9</f>
        <v>0</v>
      </c>
      <c r="X57" s="17"/>
      <c r="Y57" s="17"/>
      <c r="Z57" s="17" t="b">
        <f t="shared" ref="Z57:AE57" si="31">Z2</f>
        <v>1</v>
      </c>
      <c r="AA57" s="17" t="b">
        <f t="shared" si="31"/>
        <v>1</v>
      </c>
      <c r="AB57" s="17" t="b">
        <f t="shared" si="31"/>
        <v>1</v>
      </c>
      <c r="AC57" s="17" t="b">
        <f t="shared" si="31"/>
        <v>1</v>
      </c>
      <c r="AD57" s="17" t="b">
        <f t="shared" si="31"/>
        <v>1</v>
      </c>
      <c r="AE57" s="17" t="b">
        <f t="shared" si="31"/>
        <v>1</v>
      </c>
      <c r="AF57" t="b">
        <f>AND(Table29[[#This Row],[Plaster]:[Hypoallergenic]])</f>
        <v>0</v>
      </c>
      <c r="AG57" s="28" t="s">
        <v>1467</v>
      </c>
    </row>
    <row r="58" spans="1:33">
      <c r="A58" t="b">
        <f>IF(Table29[[#This Row],[Column52]],Table29[[#This Row],[Products]])</f>
        <v>0</v>
      </c>
      <c r="B58" s="17"/>
      <c r="C58" s="17"/>
      <c r="D58" s="17"/>
      <c r="E58" s="17"/>
      <c r="F58" s="20" t="b">
        <f>F56</f>
        <v>0</v>
      </c>
      <c r="G58" s="17"/>
      <c r="H58" s="17"/>
      <c r="I58" s="17" t="b">
        <f>I2</f>
        <v>1</v>
      </c>
      <c r="J58" s="20" t="b">
        <f>J11</f>
        <v>0</v>
      </c>
      <c r="K58" s="17"/>
      <c r="L58" s="17"/>
      <c r="M58" s="20" t="b">
        <f>M7</f>
        <v>1</v>
      </c>
      <c r="N58" s="17"/>
      <c r="O58" s="20" t="b">
        <f>O7</f>
        <v>0</v>
      </c>
      <c r="P58" s="17" t="b">
        <f>P2</f>
        <v>1</v>
      </c>
      <c r="Q58" s="17" t="b">
        <f>Q2</f>
        <v>1</v>
      </c>
      <c r="R58" s="17"/>
      <c r="S58" s="20" t="b">
        <f>S3</f>
        <v>0</v>
      </c>
      <c r="T58" s="17" t="b">
        <f>T7</f>
        <v>1</v>
      </c>
      <c r="U58" s="17"/>
      <c r="V58" s="17"/>
      <c r="W58" s="17"/>
      <c r="X58" s="20" t="b">
        <f>X3</f>
        <v>0</v>
      </c>
      <c r="Y58" s="17"/>
      <c r="Z58" s="17" t="b">
        <f t="shared" ref="Z58:AE58" si="32">Z2</f>
        <v>1</v>
      </c>
      <c r="AA58" s="17" t="b">
        <f t="shared" si="32"/>
        <v>1</v>
      </c>
      <c r="AB58" s="17" t="b">
        <f t="shared" si="32"/>
        <v>1</v>
      </c>
      <c r="AC58" s="17" t="b">
        <f t="shared" si="32"/>
        <v>1</v>
      </c>
      <c r="AD58" s="17" t="b">
        <f t="shared" si="32"/>
        <v>1</v>
      </c>
      <c r="AE58" s="17" t="b">
        <f t="shared" si="32"/>
        <v>1</v>
      </c>
      <c r="AF58" t="b">
        <f>AND(Table29[[#This Row],[Plaster]:[Hypoallergenic]])</f>
        <v>0</v>
      </c>
      <c r="AG58" s="28" t="s">
        <v>1468</v>
      </c>
    </row>
    <row r="59" spans="1:33">
      <c r="A59" s="16" t="e">
        <f>IF(Table29[[#This Row],[Column52]],Table29[[#This Row],[Products]])</f>
        <v>#VALUE!</v>
      </c>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t="e">
        <f>AND(Table29[[#This Row],[Plaster]:[Hypoallergenic]])</f>
        <v>#VALUE!</v>
      </c>
      <c r="AG59" s="16"/>
    </row>
    <row r="60" spans="1:33">
      <c r="A60" t="b">
        <f>IF(Table29[[#This Row],[Column52]],Table29[[#This Row],[Products]])</f>
        <v>0</v>
      </c>
      <c r="B60" s="17"/>
      <c r="C60" s="20" t="b">
        <f>AND('Bandage Product Criteria'!B21,'Bandage Product Criteria'!C22:C27)</f>
        <v>0</v>
      </c>
      <c r="D60" s="17"/>
      <c r="E60" s="17"/>
      <c r="F60" s="17"/>
      <c r="G60" s="17"/>
      <c r="H60" s="17"/>
      <c r="I60" s="20" t="b">
        <f>I21</f>
        <v>1</v>
      </c>
      <c r="J60" s="17"/>
      <c r="K60" s="20" t="b">
        <f>K2</f>
        <v>0</v>
      </c>
      <c r="L60" s="17"/>
      <c r="M60" s="17" t="b">
        <f>M2</f>
        <v>1</v>
      </c>
      <c r="N60" s="17"/>
      <c r="O60" s="17"/>
      <c r="P60" s="20" t="b">
        <f>P7</f>
        <v>1</v>
      </c>
      <c r="Q60" s="17" t="b">
        <f>Q2</f>
        <v>1</v>
      </c>
      <c r="R60" s="17"/>
      <c r="S60" s="20" t="b">
        <f>S3</f>
        <v>0</v>
      </c>
      <c r="T60" s="17" t="b">
        <f>T7</f>
        <v>1</v>
      </c>
      <c r="U60" s="17"/>
      <c r="V60" s="20" t="b">
        <f>V2</f>
        <v>0</v>
      </c>
      <c r="W60" s="17"/>
      <c r="X60" s="17"/>
      <c r="Y60" s="17"/>
      <c r="Z60" s="17" t="b">
        <f t="shared" ref="Z60:AE60" si="33">Z2</f>
        <v>1</v>
      </c>
      <c r="AA60" s="17" t="b">
        <f t="shared" si="33"/>
        <v>1</v>
      </c>
      <c r="AB60" s="17" t="b">
        <f t="shared" si="33"/>
        <v>1</v>
      </c>
      <c r="AC60" s="17" t="b">
        <f t="shared" si="33"/>
        <v>1</v>
      </c>
      <c r="AD60" s="17" t="b">
        <f t="shared" si="33"/>
        <v>1</v>
      </c>
      <c r="AE60" s="17" t="b">
        <f t="shared" si="33"/>
        <v>1</v>
      </c>
      <c r="AF60" t="b">
        <f>AND(Table29[[#This Row],[Plaster]:[Hypoallergenic]])</f>
        <v>0</v>
      </c>
      <c r="AG60" s="11" t="s">
        <v>1469</v>
      </c>
    </row>
    <row r="61" spans="1:33">
      <c r="A61" t="b">
        <f>IF(Table29[[#This Row],[Column52]],Table29[[#This Row],[Products]])</f>
        <v>0</v>
      </c>
      <c r="B61" s="17"/>
      <c r="C61" s="20" t="b">
        <f>C60</f>
        <v>0</v>
      </c>
      <c r="D61" s="17"/>
      <c r="E61" s="17"/>
      <c r="F61" s="17"/>
      <c r="G61" s="17"/>
      <c r="H61" s="17"/>
      <c r="I61" s="20" t="b">
        <f>I21</f>
        <v>1</v>
      </c>
      <c r="J61" s="17"/>
      <c r="K61" s="20" t="b">
        <f>K2</f>
        <v>0</v>
      </c>
      <c r="L61" s="17"/>
      <c r="M61" s="17" t="b">
        <f>M2</f>
        <v>1</v>
      </c>
      <c r="N61" s="17"/>
      <c r="O61" s="17"/>
      <c r="P61" s="20" t="b">
        <f>P7</f>
        <v>1</v>
      </c>
      <c r="Q61" s="17" t="b">
        <f>Q2</f>
        <v>1</v>
      </c>
      <c r="R61" s="17"/>
      <c r="S61" s="20" t="b">
        <f>S3</f>
        <v>0</v>
      </c>
      <c r="T61" s="17" t="b">
        <f>T7</f>
        <v>1</v>
      </c>
      <c r="U61" s="17"/>
      <c r="V61" s="17"/>
      <c r="W61" s="17"/>
      <c r="X61" s="20" t="b">
        <f>X3</f>
        <v>0</v>
      </c>
      <c r="Y61" s="17"/>
      <c r="Z61" s="17" t="b">
        <f t="shared" ref="Z61:AE61" si="34">Z2</f>
        <v>1</v>
      </c>
      <c r="AA61" s="17" t="b">
        <f t="shared" si="34"/>
        <v>1</v>
      </c>
      <c r="AB61" s="17" t="b">
        <f t="shared" si="34"/>
        <v>1</v>
      </c>
      <c r="AC61" s="17" t="b">
        <f t="shared" si="34"/>
        <v>1</v>
      </c>
      <c r="AD61" s="17" t="b">
        <f t="shared" si="34"/>
        <v>1</v>
      </c>
      <c r="AE61" s="17" t="b">
        <f t="shared" si="34"/>
        <v>1</v>
      </c>
      <c r="AF61" t="b">
        <f>AND(Table29[[#This Row],[Plaster]:[Hypoallergenic]])</f>
        <v>0</v>
      </c>
      <c r="AG61" s="11" t="s">
        <v>1470</v>
      </c>
    </row>
    <row r="62" spans="1:33">
      <c r="A62" s="16" t="e">
        <f>IF(Table29[[#This Row],[Column52]],Table29[[#This Row],[Products]])</f>
        <v>#VALUE!</v>
      </c>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t="e">
        <f>AND(Table29[[#This Row],[Plaster]:[Hypoallergenic]])</f>
        <v>#VALUE!</v>
      </c>
      <c r="AG62" s="16"/>
    </row>
    <row r="63" spans="1:33">
      <c r="A63" t="b">
        <f>IF(Table29[[#This Row],[Column52]],Table29[[#This Row],[Products]])</f>
        <v>0</v>
      </c>
      <c r="B63" s="17"/>
      <c r="C63" s="17"/>
      <c r="D63" s="17"/>
      <c r="E63" s="17"/>
      <c r="F63" s="17"/>
      <c r="G63" s="17"/>
      <c r="H63" s="20" t="b">
        <f>AND('Bandage Product Criteria'!B25,'Bandage Product Criteria'!C21:C24,'Bandage Product Criteria'!C26:C27)</f>
        <v>0</v>
      </c>
      <c r="I63" s="17" t="b">
        <f>I2</f>
        <v>1</v>
      </c>
      <c r="J63" s="17"/>
      <c r="K63" s="17"/>
      <c r="L63" s="17"/>
      <c r="M63" s="17" t="b">
        <f>M2</f>
        <v>1</v>
      </c>
      <c r="N63" s="17"/>
      <c r="O63" s="17"/>
      <c r="P63" s="20" t="b">
        <f>P7</f>
        <v>1</v>
      </c>
      <c r="Q63" s="17" t="b">
        <f>Q2</f>
        <v>1</v>
      </c>
      <c r="R63" s="17"/>
      <c r="S63" s="20" t="b">
        <f>S3</f>
        <v>0</v>
      </c>
      <c r="T63" s="17" t="b">
        <f>T7</f>
        <v>1</v>
      </c>
      <c r="U63" s="17"/>
      <c r="V63" s="17"/>
      <c r="W63" s="17"/>
      <c r="X63" s="17"/>
      <c r="Y63" s="17"/>
      <c r="Z63" s="17" t="b">
        <f t="shared" ref="Z63:AE63" si="35">Z2</f>
        <v>1</v>
      </c>
      <c r="AA63" s="17" t="b">
        <f t="shared" si="35"/>
        <v>1</v>
      </c>
      <c r="AB63" s="17" t="b">
        <f t="shared" si="35"/>
        <v>1</v>
      </c>
      <c r="AC63" s="17" t="b">
        <f t="shared" si="35"/>
        <v>1</v>
      </c>
      <c r="AD63" s="17" t="b">
        <f t="shared" si="35"/>
        <v>1</v>
      </c>
      <c r="AE63" s="17" t="b">
        <f t="shared" si="35"/>
        <v>1</v>
      </c>
      <c r="AF63" t="b">
        <f>AND(Table29[[#This Row],[Plaster]:[Hypoallergenic]])</f>
        <v>0</v>
      </c>
      <c r="AG63" s="28" t="s">
        <v>1473</v>
      </c>
    </row>
    <row r="64" spans="1:33">
      <c r="A64" t="b">
        <f>IF(Table29[[#This Row],[Column52]],Table29[[#This Row],[Products]])</f>
        <v>0</v>
      </c>
      <c r="B64" s="17"/>
      <c r="C64" s="17"/>
      <c r="D64" s="17"/>
      <c r="E64" s="17"/>
      <c r="F64" s="17"/>
      <c r="G64" s="17"/>
      <c r="H64" s="20" t="b">
        <f>H63</f>
        <v>0</v>
      </c>
      <c r="I64" s="17" t="b">
        <f>I2</f>
        <v>1</v>
      </c>
      <c r="J64" s="17"/>
      <c r="K64" s="17"/>
      <c r="L64" s="17"/>
      <c r="M64" s="17" t="b">
        <f>M2</f>
        <v>1</v>
      </c>
      <c r="N64" s="17"/>
      <c r="O64" s="17"/>
      <c r="P64" s="20" t="b">
        <f>P7</f>
        <v>1</v>
      </c>
      <c r="Q64" s="17" t="b">
        <f>Q2</f>
        <v>1</v>
      </c>
      <c r="R64" s="17"/>
      <c r="S64" s="20" t="b">
        <f>S3</f>
        <v>0</v>
      </c>
      <c r="T64" s="17" t="b">
        <f>T7</f>
        <v>1</v>
      </c>
      <c r="U64" s="17"/>
      <c r="V64" s="17"/>
      <c r="W64" s="17"/>
      <c r="X64" s="17"/>
      <c r="Y64" s="17"/>
      <c r="Z64" s="17" t="b">
        <f t="shared" ref="Z64:AE64" si="36">Z2</f>
        <v>1</v>
      </c>
      <c r="AA64" s="17" t="b">
        <f t="shared" si="36"/>
        <v>1</v>
      </c>
      <c r="AB64" s="17" t="b">
        <f t="shared" si="36"/>
        <v>1</v>
      </c>
      <c r="AC64" s="17" t="b">
        <f t="shared" si="36"/>
        <v>1</v>
      </c>
      <c r="AD64" s="17" t="b">
        <f t="shared" si="36"/>
        <v>1</v>
      </c>
      <c r="AE64" s="17" t="b">
        <f t="shared" si="36"/>
        <v>1</v>
      </c>
      <c r="AF64" t="b">
        <f>AND(Table29[[#This Row],[Plaster]:[Hypoallergenic]])</f>
        <v>0</v>
      </c>
      <c r="AG64" s="28" t="s">
        <v>1472</v>
      </c>
    </row>
    <row r="65" spans="1:33">
      <c r="A65" t="b">
        <f>IF(Table29[[#This Row],[Column52]],Table29[[#This Row],[Products]])</f>
        <v>0</v>
      </c>
      <c r="B65" s="17"/>
      <c r="C65" s="17"/>
      <c r="D65" s="17"/>
      <c r="E65" s="17"/>
      <c r="F65" s="17"/>
      <c r="G65" s="17"/>
      <c r="H65" s="20" t="b">
        <f>H63</f>
        <v>0</v>
      </c>
      <c r="I65" s="17" t="b">
        <f>I2</f>
        <v>1</v>
      </c>
      <c r="J65" s="17"/>
      <c r="K65" s="17"/>
      <c r="L65" s="17"/>
      <c r="M65" s="17" t="b">
        <f>M2</f>
        <v>1</v>
      </c>
      <c r="N65" s="17"/>
      <c r="O65" s="17"/>
      <c r="P65" s="20" t="b">
        <f>P7</f>
        <v>1</v>
      </c>
      <c r="Q65" s="17" t="b">
        <f>Q2</f>
        <v>1</v>
      </c>
      <c r="R65" s="17"/>
      <c r="S65" s="20" t="b">
        <f>S3</f>
        <v>0</v>
      </c>
      <c r="T65" s="17" t="b">
        <f>T7</f>
        <v>1</v>
      </c>
      <c r="U65" s="17"/>
      <c r="V65" s="17"/>
      <c r="W65" s="17"/>
      <c r="X65" s="17"/>
      <c r="Y65" s="17"/>
      <c r="Z65" s="17" t="b">
        <f>Z2</f>
        <v>1</v>
      </c>
      <c r="AA65" s="17" t="b">
        <f>AA2</f>
        <v>1</v>
      </c>
      <c r="AB65" s="17" t="b">
        <f>AB2</f>
        <v>1</v>
      </c>
      <c r="AC65" s="17" t="b">
        <f>AC2</f>
        <v>1</v>
      </c>
      <c r="AD65" s="20" t="b">
        <f>AD47</f>
        <v>1</v>
      </c>
      <c r="AE65" s="17" t="b">
        <f>AE2</f>
        <v>1</v>
      </c>
      <c r="AF65" t="b">
        <f>AND(Table29[[#This Row],[Plaster]:[Hypoallergenic]])</f>
        <v>0</v>
      </c>
      <c r="AG65" s="28" t="s">
        <v>1474</v>
      </c>
    </row>
    <row r="66" spans="1:33">
      <c r="A66" t="b">
        <f>IF(Table29[[#This Row],[Column52]],Table29[[#This Row],[Products]])</f>
        <v>0</v>
      </c>
      <c r="B66" s="17"/>
      <c r="C66" s="17"/>
      <c r="D66" s="17"/>
      <c r="E66" s="17"/>
      <c r="F66" s="17"/>
      <c r="G66" s="17"/>
      <c r="H66" s="20" t="b">
        <f>H63</f>
        <v>0</v>
      </c>
      <c r="I66" s="17" t="b">
        <f>I2</f>
        <v>1</v>
      </c>
      <c r="J66" s="17"/>
      <c r="K66" s="17"/>
      <c r="L66" s="17"/>
      <c r="M66" s="17" t="b">
        <f>M2</f>
        <v>1</v>
      </c>
      <c r="N66" s="17"/>
      <c r="O66" s="17"/>
      <c r="P66" s="20" t="b">
        <f>P7</f>
        <v>1</v>
      </c>
      <c r="Q66" s="17" t="b">
        <f>Q2</f>
        <v>1</v>
      </c>
      <c r="R66" s="17"/>
      <c r="S66" s="20" t="b">
        <f>S3</f>
        <v>0</v>
      </c>
      <c r="T66" s="17" t="b">
        <f>T7</f>
        <v>1</v>
      </c>
      <c r="U66" s="17"/>
      <c r="V66" s="17"/>
      <c r="W66" s="17"/>
      <c r="X66" s="17"/>
      <c r="Y66" s="17"/>
      <c r="Z66" s="17" t="b">
        <f t="shared" ref="Z66:AE66" si="37">Z2</f>
        <v>1</v>
      </c>
      <c r="AA66" s="17" t="b">
        <f t="shared" si="37"/>
        <v>1</v>
      </c>
      <c r="AB66" s="17" t="b">
        <f t="shared" si="37"/>
        <v>1</v>
      </c>
      <c r="AC66" s="17" t="b">
        <f t="shared" si="37"/>
        <v>1</v>
      </c>
      <c r="AD66" s="17" t="b">
        <f t="shared" si="37"/>
        <v>1</v>
      </c>
      <c r="AE66" s="17" t="b">
        <f t="shared" si="37"/>
        <v>1</v>
      </c>
      <c r="AF66" t="b">
        <f>AND(Table29[[#This Row],[Plaster]:[Hypoallergenic]])</f>
        <v>0</v>
      </c>
      <c r="AG66" s="11" t="s">
        <v>1475</v>
      </c>
    </row>
    <row r="67" spans="1:33">
      <c r="A67" t="b">
        <f>IF(Table29[[#This Row],[Column52]],Table29[[#This Row],[Products]])</f>
        <v>0</v>
      </c>
      <c r="B67" s="17"/>
      <c r="C67" s="17"/>
      <c r="D67" s="17"/>
      <c r="E67" s="17"/>
      <c r="F67" s="17"/>
      <c r="G67" s="17"/>
      <c r="H67" s="20" t="b">
        <f>H63</f>
        <v>0</v>
      </c>
      <c r="I67" s="17" t="b">
        <f>I2</f>
        <v>1</v>
      </c>
      <c r="J67" s="17"/>
      <c r="K67" s="17"/>
      <c r="L67" s="17"/>
      <c r="M67" s="17" t="b">
        <f>M2</f>
        <v>1</v>
      </c>
      <c r="N67" s="20" t="b">
        <f>N2</f>
        <v>0</v>
      </c>
      <c r="O67" s="17"/>
      <c r="P67" s="20" t="b">
        <f>P7</f>
        <v>1</v>
      </c>
      <c r="Q67" s="17" t="b">
        <f>Q2</f>
        <v>1</v>
      </c>
      <c r="R67" s="17"/>
      <c r="S67" s="20" t="b">
        <f>S3</f>
        <v>0</v>
      </c>
      <c r="T67" s="17" t="b">
        <f>T7</f>
        <v>1</v>
      </c>
      <c r="U67" s="17"/>
      <c r="V67" s="17"/>
      <c r="W67" s="17"/>
      <c r="X67" s="17"/>
      <c r="Y67" s="17"/>
      <c r="Z67" s="17" t="b">
        <f t="shared" ref="Z67:AE67" si="38">Z2</f>
        <v>1</v>
      </c>
      <c r="AA67" s="17" t="b">
        <f t="shared" si="38"/>
        <v>1</v>
      </c>
      <c r="AB67" s="17" t="b">
        <f t="shared" si="38"/>
        <v>1</v>
      </c>
      <c r="AC67" s="17" t="b">
        <f t="shared" si="38"/>
        <v>1</v>
      </c>
      <c r="AD67" s="17" t="b">
        <f t="shared" si="38"/>
        <v>1</v>
      </c>
      <c r="AE67" s="17" t="b">
        <f t="shared" si="38"/>
        <v>1</v>
      </c>
      <c r="AF67" t="b">
        <f>AND(Table29[[#This Row],[Plaster]:[Hypoallergenic]])</f>
        <v>0</v>
      </c>
      <c r="AG67" s="11" t="s">
        <v>1476</v>
      </c>
    </row>
    <row r="68" spans="1:33">
      <c r="A68" t="b">
        <f>IF(Table29[[#This Row],[Column52]],Table29[[#This Row],[Products]])</f>
        <v>0</v>
      </c>
      <c r="B68" s="17"/>
      <c r="C68" s="17"/>
      <c r="D68" s="17"/>
      <c r="E68" s="17"/>
      <c r="F68" s="20" t="b">
        <f>F56</f>
        <v>0</v>
      </c>
      <c r="G68" s="17"/>
      <c r="H68" s="17"/>
      <c r="I68" s="17" t="b">
        <f>I2</f>
        <v>1</v>
      </c>
      <c r="J68" s="20" t="b">
        <f>J11</f>
        <v>0</v>
      </c>
      <c r="K68" s="17"/>
      <c r="L68" s="17"/>
      <c r="M68" s="20" t="b">
        <f>M7</f>
        <v>1</v>
      </c>
      <c r="N68" s="17"/>
      <c r="O68" s="20" t="b">
        <f>O7</f>
        <v>0</v>
      </c>
      <c r="P68" s="20" t="b">
        <f>P7</f>
        <v>1</v>
      </c>
      <c r="Q68" s="17" t="b">
        <f>Q2</f>
        <v>1</v>
      </c>
      <c r="R68" s="17"/>
      <c r="S68" s="20" t="b">
        <f>S3</f>
        <v>0</v>
      </c>
      <c r="T68" s="17" t="b">
        <f>T7</f>
        <v>1</v>
      </c>
      <c r="U68" s="17"/>
      <c r="V68" s="17"/>
      <c r="W68" s="17"/>
      <c r="X68" s="20" t="b">
        <f>X3</f>
        <v>0</v>
      </c>
      <c r="Y68" s="17"/>
      <c r="Z68" s="17" t="b">
        <f t="shared" ref="Z68:AE68" si="39">Z2</f>
        <v>1</v>
      </c>
      <c r="AA68" s="17" t="b">
        <f t="shared" si="39"/>
        <v>1</v>
      </c>
      <c r="AB68" s="17" t="b">
        <f t="shared" si="39"/>
        <v>1</v>
      </c>
      <c r="AC68" s="17" t="b">
        <f t="shared" si="39"/>
        <v>1</v>
      </c>
      <c r="AD68" s="17" t="b">
        <f t="shared" si="39"/>
        <v>1</v>
      </c>
      <c r="AE68" s="17" t="b">
        <f t="shared" si="39"/>
        <v>1</v>
      </c>
      <c r="AF68" t="b">
        <f>AND(Table29[[#This Row],[Plaster]:[Hypoallergenic]])</f>
        <v>0</v>
      </c>
      <c r="AG68" s="11" t="s">
        <v>1477</v>
      </c>
    </row>
    <row r="69" spans="1:33">
      <c r="A69" t="b">
        <f>IF(Table29[[#This Row],[Column52]],Table29[[#This Row],[Products]])</f>
        <v>0</v>
      </c>
      <c r="B69" s="20" t="b">
        <f>B2</f>
        <v>0</v>
      </c>
      <c r="C69" s="17"/>
      <c r="D69" s="17"/>
      <c r="E69" s="17"/>
      <c r="F69" s="17"/>
      <c r="G69" s="17"/>
      <c r="H69" s="17"/>
      <c r="I69" s="17" t="b">
        <f>I2</f>
        <v>1</v>
      </c>
      <c r="J69" s="20" t="b">
        <f>J11</f>
        <v>0</v>
      </c>
      <c r="K69" s="17"/>
      <c r="L69" s="17"/>
      <c r="M69" s="17" t="b">
        <f>M2</f>
        <v>1</v>
      </c>
      <c r="N69" s="20" t="b">
        <f>N2</f>
        <v>0</v>
      </c>
      <c r="O69" s="17"/>
      <c r="P69" s="17" t="b">
        <f>P2</f>
        <v>1</v>
      </c>
      <c r="Q69" s="17" t="b">
        <f>Q2</f>
        <v>1</v>
      </c>
      <c r="R69" s="20" t="b">
        <f>R2</f>
        <v>0</v>
      </c>
      <c r="S69" s="17"/>
      <c r="T69" s="20" t="b">
        <f>T2</f>
        <v>1</v>
      </c>
      <c r="U69" s="17"/>
      <c r="V69" s="20" t="b">
        <f>V2</f>
        <v>0</v>
      </c>
      <c r="W69" s="17"/>
      <c r="X69" s="17"/>
      <c r="Y69" s="17"/>
      <c r="Z69" s="17" t="b">
        <f t="shared" ref="Z69:AE69" si="40">Z2</f>
        <v>1</v>
      </c>
      <c r="AA69" s="17" t="b">
        <f t="shared" si="40"/>
        <v>1</v>
      </c>
      <c r="AB69" s="17" t="b">
        <f t="shared" si="40"/>
        <v>1</v>
      </c>
      <c r="AC69" s="17" t="b">
        <f t="shared" si="40"/>
        <v>1</v>
      </c>
      <c r="AD69" s="17" t="b">
        <f t="shared" si="40"/>
        <v>1</v>
      </c>
      <c r="AE69" s="17" t="b">
        <f t="shared" si="40"/>
        <v>1</v>
      </c>
      <c r="AF69" t="b">
        <f>AND(Table29[[#This Row],[Plaster]:[Hypoallergenic]])</f>
        <v>0</v>
      </c>
      <c r="AG69" s="11" t="s">
        <v>1478</v>
      </c>
    </row>
    <row r="70" spans="1:33">
      <c r="A70" t="b">
        <f>IF(Table29[[#This Row],[Column52]],Table29[[#This Row],[Products]])</f>
        <v>0</v>
      </c>
      <c r="B70" s="20" t="b">
        <f>B2</f>
        <v>0</v>
      </c>
      <c r="C70" s="17"/>
      <c r="D70" s="17"/>
      <c r="E70" s="17"/>
      <c r="F70" s="17"/>
      <c r="G70" s="17"/>
      <c r="H70" s="17"/>
      <c r="I70" s="17" t="b">
        <f>I2</f>
        <v>1</v>
      </c>
      <c r="J70" s="20" t="b">
        <f>J11</f>
        <v>0</v>
      </c>
      <c r="K70" s="17"/>
      <c r="L70" s="17"/>
      <c r="M70" s="17" t="b">
        <f>M2</f>
        <v>1</v>
      </c>
      <c r="N70" s="20" t="b">
        <f>N2</f>
        <v>0</v>
      </c>
      <c r="O70" s="17"/>
      <c r="P70" s="17" t="b">
        <f>P2</f>
        <v>1</v>
      </c>
      <c r="Q70" s="17" t="b">
        <f>Q2</f>
        <v>1</v>
      </c>
      <c r="R70" s="20" t="b">
        <f>R2</f>
        <v>0</v>
      </c>
      <c r="S70" s="17"/>
      <c r="T70" s="20" t="b">
        <f>T2</f>
        <v>1</v>
      </c>
      <c r="U70" s="20" t="b">
        <f>U8</f>
        <v>0</v>
      </c>
      <c r="V70" s="17"/>
      <c r="W70" s="17"/>
      <c r="X70" s="17"/>
      <c r="Y70" s="17"/>
      <c r="Z70" s="20" t="b">
        <f>Z30</f>
        <v>1</v>
      </c>
      <c r="AA70" s="17" t="b">
        <f>AA2</f>
        <v>1</v>
      </c>
      <c r="AB70" s="17" t="b">
        <f>AB2</f>
        <v>1</v>
      </c>
      <c r="AC70" s="17" t="b">
        <f>AC2</f>
        <v>1</v>
      </c>
      <c r="AD70" s="17" t="b">
        <f>AD2</f>
        <v>1</v>
      </c>
      <c r="AE70" s="17" t="b">
        <f>AE2</f>
        <v>1</v>
      </c>
      <c r="AF70" t="b">
        <f>AND(Table29[[#This Row],[Plaster]:[Hypoallergenic]])</f>
        <v>0</v>
      </c>
      <c r="AG70" s="11" t="s">
        <v>1479</v>
      </c>
    </row>
    <row r="71" spans="1:33">
      <c r="A71" t="b">
        <f>IF(Table29[[#This Row],[Column52]],Table29[[#This Row],[Products]])</f>
        <v>0</v>
      </c>
      <c r="B71" s="20" t="b">
        <f>B2</f>
        <v>0</v>
      </c>
      <c r="C71" s="17"/>
      <c r="D71" s="17"/>
      <c r="E71" s="17"/>
      <c r="F71" s="17"/>
      <c r="G71" s="17"/>
      <c r="H71" s="17"/>
      <c r="I71" s="17" t="b">
        <f>I2</f>
        <v>1</v>
      </c>
      <c r="J71" s="20" t="b">
        <f>J11</f>
        <v>0</v>
      </c>
      <c r="K71" s="17"/>
      <c r="L71" s="17"/>
      <c r="M71" s="17" t="b">
        <f>M2</f>
        <v>1</v>
      </c>
      <c r="N71" s="20" t="b">
        <f>N2</f>
        <v>0</v>
      </c>
      <c r="O71" s="17"/>
      <c r="P71" s="17" t="b">
        <f>P2</f>
        <v>1</v>
      </c>
      <c r="Q71" s="17" t="b">
        <f>Q2</f>
        <v>1</v>
      </c>
      <c r="R71" s="20" t="b">
        <f>R2</f>
        <v>0</v>
      </c>
      <c r="S71" s="17"/>
      <c r="T71" s="20" t="b">
        <f>T2</f>
        <v>1</v>
      </c>
      <c r="U71" s="17"/>
      <c r="V71" s="17"/>
      <c r="W71" s="17"/>
      <c r="X71" s="20" t="b">
        <f>X3</f>
        <v>0</v>
      </c>
      <c r="Y71" s="17"/>
      <c r="Z71" s="17" t="b">
        <f t="shared" ref="Z71:AE71" si="41">Z2</f>
        <v>1</v>
      </c>
      <c r="AA71" s="17" t="b">
        <f t="shared" si="41"/>
        <v>1</v>
      </c>
      <c r="AB71" s="17" t="b">
        <f t="shared" si="41"/>
        <v>1</v>
      </c>
      <c r="AC71" s="17" t="b">
        <f t="shared" si="41"/>
        <v>1</v>
      </c>
      <c r="AD71" s="17" t="b">
        <f t="shared" si="41"/>
        <v>1</v>
      </c>
      <c r="AE71" s="17" t="b">
        <f t="shared" si="41"/>
        <v>1</v>
      </c>
      <c r="AF71" t="b">
        <f>AND(Table29[[#This Row],[Plaster]:[Hypoallergenic]])</f>
        <v>0</v>
      </c>
      <c r="AG71" s="11" t="s">
        <v>1480</v>
      </c>
    </row>
    <row r="72" spans="1:33">
      <c r="A72" t="b">
        <f>IF(Table29[[#This Row],[Column52]],Table29[[#This Row],[Products]])</f>
        <v>0</v>
      </c>
      <c r="B72" s="20" t="b">
        <f>B2</f>
        <v>0</v>
      </c>
      <c r="C72" s="17"/>
      <c r="D72" s="17"/>
      <c r="E72" s="17"/>
      <c r="F72" s="17"/>
      <c r="G72" s="17"/>
      <c r="H72" s="17"/>
      <c r="I72" s="17" t="b">
        <f>I2</f>
        <v>1</v>
      </c>
      <c r="J72" s="20" t="b">
        <f>J11</f>
        <v>0</v>
      </c>
      <c r="K72" s="17"/>
      <c r="L72" s="17"/>
      <c r="M72" s="17" t="b">
        <f>M2</f>
        <v>1</v>
      </c>
      <c r="N72" s="20" t="b">
        <f>N2</f>
        <v>0</v>
      </c>
      <c r="O72" s="17"/>
      <c r="P72" s="17" t="b">
        <f>P2</f>
        <v>1</v>
      </c>
      <c r="Q72" s="17" t="b">
        <f>Q2</f>
        <v>1</v>
      </c>
      <c r="R72" s="20" t="b">
        <f>R2</f>
        <v>0</v>
      </c>
      <c r="S72" s="17"/>
      <c r="T72" s="20" t="b">
        <f>T2</f>
        <v>1</v>
      </c>
      <c r="U72" s="17"/>
      <c r="V72" s="17"/>
      <c r="W72" s="17"/>
      <c r="X72" s="17"/>
      <c r="Y72" s="20" t="b">
        <f>Y4</f>
        <v>0</v>
      </c>
      <c r="Z72" s="17" t="b">
        <f t="shared" ref="Z72:AE72" si="42">Z2</f>
        <v>1</v>
      </c>
      <c r="AA72" s="17" t="b">
        <f t="shared" si="42"/>
        <v>1</v>
      </c>
      <c r="AB72" s="17" t="b">
        <f t="shared" si="42"/>
        <v>1</v>
      </c>
      <c r="AC72" s="17" t="b">
        <f t="shared" si="42"/>
        <v>1</v>
      </c>
      <c r="AD72" s="17" t="b">
        <f t="shared" si="42"/>
        <v>1</v>
      </c>
      <c r="AE72" s="17" t="b">
        <f t="shared" si="42"/>
        <v>1</v>
      </c>
      <c r="AF72" t="b">
        <f>AND(Table29[[#This Row],[Plaster]:[Hypoallergenic]])</f>
        <v>0</v>
      </c>
      <c r="AG72" s="11" t="s">
        <v>1481</v>
      </c>
    </row>
    <row r="73" spans="1:33">
      <c r="A73" t="b">
        <f>IF(Table29[[#This Row],[Column52]],Table29[[#This Row],[Products]])</f>
        <v>0</v>
      </c>
      <c r="B73" s="20" t="b">
        <f>B2</f>
        <v>0</v>
      </c>
      <c r="C73" s="17"/>
      <c r="D73" s="17"/>
      <c r="E73" s="17"/>
      <c r="F73" s="17"/>
      <c r="G73" s="17"/>
      <c r="H73" s="17"/>
      <c r="I73" s="17" t="b">
        <f>I2</f>
        <v>1</v>
      </c>
      <c r="J73" s="20" t="b">
        <f>J11</f>
        <v>0</v>
      </c>
      <c r="K73" s="17"/>
      <c r="L73" s="17"/>
      <c r="M73" s="17" t="b">
        <f>M2</f>
        <v>1</v>
      </c>
      <c r="N73" s="17"/>
      <c r="O73" s="20" t="b">
        <f>O7</f>
        <v>0</v>
      </c>
      <c r="P73" s="17" t="b">
        <f>P2</f>
        <v>1</v>
      </c>
      <c r="Q73" s="17" t="b">
        <f>Q2</f>
        <v>1</v>
      </c>
      <c r="R73" s="17"/>
      <c r="S73" s="20" t="b">
        <f>S3</f>
        <v>0</v>
      </c>
      <c r="T73" s="17" t="b">
        <f>T7</f>
        <v>1</v>
      </c>
      <c r="U73" s="20" t="b">
        <f>U8</f>
        <v>0</v>
      </c>
      <c r="V73" s="17"/>
      <c r="W73" s="17"/>
      <c r="X73" s="17"/>
      <c r="Y73" s="17"/>
      <c r="Z73" s="17" t="b">
        <f>Z2</f>
        <v>1</v>
      </c>
      <c r="AA73" s="17" t="b">
        <f>AA2</f>
        <v>1</v>
      </c>
      <c r="AB73" s="20" t="b">
        <f>AB22</f>
        <v>1</v>
      </c>
      <c r="AC73" s="17" t="b">
        <f>AC2</f>
        <v>1</v>
      </c>
      <c r="AD73" s="17" t="b">
        <f>AD2</f>
        <v>1</v>
      </c>
      <c r="AE73" s="20" t="b">
        <f>OR('Bandage Product Criteria'!B19:C19)</f>
        <v>1</v>
      </c>
      <c r="AF73" t="b">
        <f>AND(Table29[[#This Row],[Plaster]:[Hypoallergenic]])</f>
        <v>0</v>
      </c>
      <c r="AG73" s="11" t="s">
        <v>1482</v>
      </c>
    </row>
    <row r="74" spans="1:33">
      <c r="A74" t="b">
        <f>IF(Table29[[#This Row],[Column52]],Table29[[#This Row],[Products]])</f>
        <v>0</v>
      </c>
      <c r="B74" s="17"/>
      <c r="C74" s="20" t="b">
        <f>C60</f>
        <v>0</v>
      </c>
      <c r="D74" s="17"/>
      <c r="E74" s="17"/>
      <c r="F74" s="17"/>
      <c r="G74" s="17"/>
      <c r="H74" s="17"/>
      <c r="I74" s="17" t="b">
        <f>I2</f>
        <v>1</v>
      </c>
      <c r="J74" s="17"/>
      <c r="K74" s="20" t="b">
        <f>K2</f>
        <v>0</v>
      </c>
      <c r="L74" s="17"/>
      <c r="M74" s="17" t="b">
        <f>M2</f>
        <v>1</v>
      </c>
      <c r="N74" s="20" t="b">
        <f>N2</f>
        <v>0</v>
      </c>
      <c r="O74" s="17"/>
      <c r="P74" s="20" t="b">
        <f>P7</f>
        <v>1</v>
      </c>
      <c r="Q74" s="17" t="b">
        <f>Q2</f>
        <v>1</v>
      </c>
      <c r="R74" s="17"/>
      <c r="S74" s="20" t="b">
        <f>S3</f>
        <v>0</v>
      </c>
      <c r="T74" s="17" t="b">
        <f>T7</f>
        <v>1</v>
      </c>
      <c r="U74" s="17"/>
      <c r="V74" s="17"/>
      <c r="W74" s="17"/>
      <c r="X74" s="17"/>
      <c r="Y74" s="17"/>
      <c r="Z74" s="17" t="b">
        <f t="shared" ref="Z74:AE74" si="43">Z2</f>
        <v>1</v>
      </c>
      <c r="AA74" s="17" t="b">
        <f t="shared" si="43"/>
        <v>1</v>
      </c>
      <c r="AB74" s="17" t="b">
        <f t="shared" si="43"/>
        <v>1</v>
      </c>
      <c r="AC74" s="17" t="b">
        <f t="shared" si="43"/>
        <v>1</v>
      </c>
      <c r="AD74" s="17" t="b">
        <f t="shared" si="43"/>
        <v>1</v>
      </c>
      <c r="AE74" s="17" t="b">
        <f t="shared" si="43"/>
        <v>1</v>
      </c>
      <c r="AF74" t="b">
        <f>AND(Table29[[#This Row],[Plaster]:[Hypoallergenic]])</f>
        <v>0</v>
      </c>
      <c r="AG74" s="29" t="s">
        <v>1483</v>
      </c>
    </row>
    <row r="75" spans="1:33">
      <c r="A75" t="b">
        <f>IF(Table29[[#This Row],[Column52]],Table29[[#This Row],[Products]])</f>
        <v>0</v>
      </c>
      <c r="B75" s="20" t="b">
        <f>B2</f>
        <v>0</v>
      </c>
      <c r="C75" s="17"/>
      <c r="D75" s="17"/>
      <c r="E75" s="17"/>
      <c r="F75" s="17"/>
      <c r="G75" s="17"/>
      <c r="H75" s="17"/>
      <c r="I75" s="17" t="b">
        <f>I2</f>
        <v>1</v>
      </c>
      <c r="J75" s="17"/>
      <c r="K75" s="17"/>
      <c r="L75" s="20" t="b">
        <f>L7</f>
        <v>0</v>
      </c>
      <c r="M75" s="17" t="b">
        <f>M2</f>
        <v>1</v>
      </c>
      <c r="N75" s="17"/>
      <c r="O75" s="20" t="b">
        <f>O7</f>
        <v>0</v>
      </c>
      <c r="P75" s="17" t="b">
        <f>P2</f>
        <v>1</v>
      </c>
      <c r="Q75" s="17" t="b">
        <f>Q2</f>
        <v>1</v>
      </c>
      <c r="R75" s="17"/>
      <c r="S75" s="20" t="b">
        <f>S3</f>
        <v>0</v>
      </c>
      <c r="T75" s="17" t="b">
        <f>T7</f>
        <v>1</v>
      </c>
      <c r="U75" s="17"/>
      <c r="V75" s="17"/>
      <c r="W75" s="20" t="b">
        <f>W9</f>
        <v>0</v>
      </c>
      <c r="X75" s="17"/>
      <c r="Y75" s="17"/>
      <c r="Z75" s="17" t="b">
        <f>Z2</f>
        <v>1</v>
      </c>
      <c r="AA75" s="20" t="b">
        <f>AA31</f>
        <v>1</v>
      </c>
      <c r="AB75" s="20" t="b">
        <f>AB22</f>
        <v>1</v>
      </c>
      <c r="AC75" s="17" t="b">
        <f>AC2</f>
        <v>1</v>
      </c>
      <c r="AD75" s="17" t="b">
        <f>AD2</f>
        <v>1</v>
      </c>
      <c r="AE75" s="17" t="b">
        <f>AE2</f>
        <v>1</v>
      </c>
      <c r="AF75" t="b">
        <f>AND(Table29[[#This Row],[Plaster]:[Hypoallergenic]])</f>
        <v>0</v>
      </c>
      <c r="AG75" s="29" t="s">
        <v>1484</v>
      </c>
    </row>
    <row r="76" spans="1:33">
      <c r="A76" t="b">
        <f>IF(Table29[[#This Row],[Column52]],Table29[[#This Row],[Products]])</f>
        <v>0</v>
      </c>
      <c r="B76" s="20" t="b">
        <f>B2</f>
        <v>0</v>
      </c>
      <c r="C76" s="17"/>
      <c r="D76" s="17"/>
      <c r="E76" s="17"/>
      <c r="F76" s="17"/>
      <c r="G76" s="17"/>
      <c r="H76" s="17"/>
      <c r="I76" s="17" t="b">
        <f>I2</f>
        <v>1</v>
      </c>
      <c r="J76" s="20" t="b">
        <f>J11</f>
        <v>0</v>
      </c>
      <c r="K76" s="17"/>
      <c r="L76" s="17"/>
      <c r="M76" s="20" t="b">
        <f>M7</f>
        <v>1</v>
      </c>
      <c r="N76" s="17"/>
      <c r="O76" s="20" t="b">
        <f>O7</f>
        <v>0</v>
      </c>
      <c r="P76" s="17" t="b">
        <f>P2</f>
        <v>1</v>
      </c>
      <c r="Q76" s="17" t="b">
        <f>Q2</f>
        <v>1</v>
      </c>
      <c r="R76" s="17"/>
      <c r="S76" s="20" t="b">
        <f>S3</f>
        <v>0</v>
      </c>
      <c r="T76" s="17" t="b">
        <f>T7</f>
        <v>1</v>
      </c>
      <c r="U76" s="20" t="b">
        <f>U8</f>
        <v>0</v>
      </c>
      <c r="V76" s="17"/>
      <c r="W76" s="17"/>
      <c r="X76" s="17"/>
      <c r="Y76" s="17"/>
      <c r="Z76" s="17" t="b">
        <f>Z2</f>
        <v>1</v>
      </c>
      <c r="AA76" s="20" t="b">
        <f>AA31</f>
        <v>1</v>
      </c>
      <c r="AB76" s="20" t="b">
        <f>AB22</f>
        <v>1</v>
      </c>
      <c r="AC76" s="17" t="b">
        <f>AC2</f>
        <v>1</v>
      </c>
      <c r="AD76" s="17" t="b">
        <f>AD2</f>
        <v>1</v>
      </c>
      <c r="AE76" s="17" t="b">
        <f>AE2</f>
        <v>1</v>
      </c>
      <c r="AF76" t="b">
        <f>AND(Table29[[#This Row],[Plaster]:[Hypoallergenic]])</f>
        <v>0</v>
      </c>
      <c r="AG76" s="11" t="s">
        <v>1485</v>
      </c>
    </row>
    <row r="77" spans="1:33">
      <c r="A77" t="b">
        <f>IF(Table29[[#This Row],[Column52]],Table29[[#This Row],[Products]])</f>
        <v>0</v>
      </c>
      <c r="B77" s="20" t="b">
        <f>B2</f>
        <v>0</v>
      </c>
      <c r="C77" s="17"/>
      <c r="D77" s="17"/>
      <c r="E77" s="17"/>
      <c r="F77" s="17"/>
      <c r="G77" s="17"/>
      <c r="H77" s="17"/>
      <c r="I77" s="17" t="b">
        <f>I2</f>
        <v>1</v>
      </c>
      <c r="J77" s="17"/>
      <c r="K77" s="17"/>
      <c r="L77" s="20" t="b">
        <f>L7</f>
        <v>0</v>
      </c>
      <c r="M77" s="17" t="b">
        <f>M2</f>
        <v>1</v>
      </c>
      <c r="N77" s="17"/>
      <c r="O77" s="20" t="b">
        <f>O7</f>
        <v>0</v>
      </c>
      <c r="P77" s="17" t="b">
        <f>P2</f>
        <v>1</v>
      </c>
      <c r="Q77" s="17" t="b">
        <f>Q2</f>
        <v>1</v>
      </c>
      <c r="R77" s="17"/>
      <c r="S77" s="20" t="b">
        <f>S3</f>
        <v>0</v>
      </c>
      <c r="T77" s="17" t="b">
        <f>T7</f>
        <v>1</v>
      </c>
      <c r="U77" s="17"/>
      <c r="V77" s="20" t="b">
        <f>V2</f>
        <v>0</v>
      </c>
      <c r="W77" s="17"/>
      <c r="X77" s="17"/>
      <c r="Y77" s="17"/>
      <c r="Z77" s="17" t="b">
        <f>Z2</f>
        <v>1</v>
      </c>
      <c r="AA77" s="17" t="b">
        <f>AA2</f>
        <v>1</v>
      </c>
      <c r="AB77" s="17" t="b">
        <f>AB2</f>
        <v>1</v>
      </c>
      <c r="AC77" s="17" t="b">
        <f>AC2</f>
        <v>1</v>
      </c>
      <c r="AD77" s="17" t="b">
        <f>AD2</f>
        <v>1</v>
      </c>
      <c r="AE77" s="20" t="b">
        <f>AE73</f>
        <v>1</v>
      </c>
      <c r="AF77" t="b">
        <f>AND(Table29[[#This Row],[Plaster]:[Hypoallergenic]])</f>
        <v>0</v>
      </c>
      <c r="AG77" s="11" t="s">
        <v>1486</v>
      </c>
    </row>
    <row r="78" spans="1:33">
      <c r="A78" t="b">
        <f>IF(Table29[[#This Row],[Column52]],Table29[[#This Row],[Products]])</f>
        <v>0</v>
      </c>
      <c r="B78" s="20" t="b">
        <f>B2</f>
        <v>0</v>
      </c>
      <c r="C78" s="17"/>
      <c r="D78" s="17"/>
      <c r="E78" s="17"/>
      <c r="F78" s="17"/>
      <c r="G78" s="17"/>
      <c r="H78" s="17"/>
      <c r="I78" s="17" t="b">
        <f>I2</f>
        <v>1</v>
      </c>
      <c r="J78" s="17"/>
      <c r="K78" s="17"/>
      <c r="L78" s="20" t="b">
        <f>L7</f>
        <v>0</v>
      </c>
      <c r="M78" s="17" t="b">
        <f>M2</f>
        <v>1</v>
      </c>
      <c r="N78" s="17"/>
      <c r="O78" s="20" t="b">
        <f>O7</f>
        <v>0</v>
      </c>
      <c r="P78" s="17" t="b">
        <f>P2</f>
        <v>1</v>
      </c>
      <c r="Q78" s="17" t="b">
        <f>Q2</f>
        <v>1</v>
      </c>
      <c r="R78" s="17"/>
      <c r="S78" s="17"/>
      <c r="T78" s="17" t="b">
        <f>T7</f>
        <v>1</v>
      </c>
      <c r="U78" s="20" t="b">
        <f>U8</f>
        <v>0</v>
      </c>
      <c r="V78" s="17"/>
      <c r="W78" s="17"/>
      <c r="X78" s="17"/>
      <c r="Y78" s="17"/>
      <c r="Z78" s="20" t="b">
        <f>Z30</f>
        <v>1</v>
      </c>
      <c r="AA78" s="17" t="b">
        <f>AA2</f>
        <v>1</v>
      </c>
      <c r="AB78" s="17" t="b">
        <f>AB2</f>
        <v>1</v>
      </c>
      <c r="AC78" s="17" t="b">
        <f>AC2</f>
        <v>1</v>
      </c>
      <c r="AD78" s="17" t="b">
        <f>AD2</f>
        <v>1</v>
      </c>
      <c r="AE78" s="17" t="b">
        <f>AE2</f>
        <v>1</v>
      </c>
      <c r="AF78" t="b">
        <f>AND(Table29[[#This Row],[Plaster]:[Hypoallergenic]])</f>
        <v>0</v>
      </c>
      <c r="AG78" s="11" t="s">
        <v>1487</v>
      </c>
    </row>
    <row r="79" spans="1:33">
      <c r="A79" t="b">
        <f>IF(Table29[[#This Row],[Column52]],Table29[[#This Row],[Products]])</f>
        <v>0</v>
      </c>
      <c r="B79" s="20" t="b">
        <f>B2</f>
        <v>0</v>
      </c>
      <c r="C79" s="17"/>
      <c r="D79" s="17"/>
      <c r="E79" s="17"/>
      <c r="F79" s="17"/>
      <c r="G79" s="17"/>
      <c r="H79" s="17"/>
      <c r="I79" s="17" t="b">
        <f>I2</f>
        <v>1</v>
      </c>
      <c r="J79" s="17"/>
      <c r="K79" s="17"/>
      <c r="L79" s="20" t="b">
        <f>L7</f>
        <v>0</v>
      </c>
      <c r="M79" s="20" t="b">
        <f>M7</f>
        <v>1</v>
      </c>
      <c r="N79" s="17"/>
      <c r="O79" s="20" t="b">
        <f>O7</f>
        <v>0</v>
      </c>
      <c r="P79" s="17" t="b">
        <f>P2</f>
        <v>1</v>
      </c>
      <c r="Q79" s="17" t="b">
        <f>Q2</f>
        <v>1</v>
      </c>
      <c r="R79" s="17"/>
      <c r="S79" s="20" t="b">
        <f>S3</f>
        <v>0</v>
      </c>
      <c r="T79" s="17" t="b">
        <f>T7</f>
        <v>1</v>
      </c>
      <c r="U79" s="20" t="b">
        <f>U8</f>
        <v>0</v>
      </c>
      <c r="V79" s="17"/>
      <c r="W79" s="17"/>
      <c r="X79" s="17"/>
      <c r="Y79" s="17"/>
      <c r="Z79" s="17" t="b">
        <f t="shared" ref="Z79:AE79" si="44">Z2</f>
        <v>1</v>
      </c>
      <c r="AA79" s="17" t="b">
        <f t="shared" si="44"/>
        <v>1</v>
      </c>
      <c r="AB79" s="17" t="b">
        <f t="shared" si="44"/>
        <v>1</v>
      </c>
      <c r="AC79" s="17" t="b">
        <f t="shared" si="44"/>
        <v>1</v>
      </c>
      <c r="AD79" s="17" t="b">
        <f t="shared" si="44"/>
        <v>1</v>
      </c>
      <c r="AE79" s="17" t="b">
        <f t="shared" si="44"/>
        <v>1</v>
      </c>
      <c r="AF79" t="b">
        <f>AND(Table29[[#This Row],[Plaster]:[Hypoallergenic]])</f>
        <v>0</v>
      </c>
      <c r="AG79" s="11" t="s">
        <v>1488</v>
      </c>
    </row>
    <row r="80" spans="1:33">
      <c r="A80" t="b">
        <f>IF(Table29[[#This Row],[Column52]],Table29[[#This Row],[Products]])</f>
        <v>0</v>
      </c>
      <c r="B80" s="20" t="b">
        <f>B2</f>
        <v>0</v>
      </c>
      <c r="C80" s="17"/>
      <c r="D80" s="17"/>
      <c r="E80" s="17"/>
      <c r="F80" s="17"/>
      <c r="G80" s="17"/>
      <c r="H80" s="17"/>
      <c r="I80" s="20" t="b">
        <f>I21</f>
        <v>1</v>
      </c>
      <c r="J80" s="20" t="b">
        <f>J11</f>
        <v>0</v>
      </c>
      <c r="K80" s="17"/>
      <c r="L80" s="17"/>
      <c r="M80" s="17" t="b">
        <f>M2</f>
        <v>1</v>
      </c>
      <c r="N80" s="17"/>
      <c r="O80" s="20" t="b">
        <f>O7</f>
        <v>0</v>
      </c>
      <c r="P80" s="20" t="b">
        <f>P7</f>
        <v>1</v>
      </c>
      <c r="Q80" s="17" t="b">
        <f>Q2</f>
        <v>1</v>
      </c>
      <c r="R80" s="17"/>
      <c r="S80" s="20" t="b">
        <f>S3</f>
        <v>0</v>
      </c>
      <c r="T80" s="17" t="b">
        <f>T7</f>
        <v>1</v>
      </c>
      <c r="U80" s="20" t="b">
        <f>U8</f>
        <v>0</v>
      </c>
      <c r="V80" s="17"/>
      <c r="W80" s="17"/>
      <c r="X80" s="17"/>
      <c r="Y80" s="17"/>
      <c r="Z80" s="17" t="b">
        <f t="shared" ref="Z80:AE80" si="45">Z2</f>
        <v>1</v>
      </c>
      <c r="AA80" s="17" t="b">
        <f t="shared" si="45"/>
        <v>1</v>
      </c>
      <c r="AB80" s="17" t="b">
        <f t="shared" si="45"/>
        <v>1</v>
      </c>
      <c r="AC80" s="17" t="b">
        <f t="shared" si="45"/>
        <v>1</v>
      </c>
      <c r="AD80" s="17" t="b">
        <f t="shared" si="45"/>
        <v>1</v>
      </c>
      <c r="AE80" s="17" t="b">
        <f t="shared" si="45"/>
        <v>1</v>
      </c>
      <c r="AF80" t="b">
        <f>AND(Table29[[#This Row],[Plaster]:[Hypoallergenic]])</f>
        <v>0</v>
      </c>
      <c r="AG80" s="11" t="s">
        <v>1489</v>
      </c>
    </row>
    <row r="81" spans="1:33">
      <c r="A81" t="b">
        <f>IF(Table29[[#This Row],[Column52]],Table29[[#This Row],[Products]])</f>
        <v>0</v>
      </c>
      <c r="B81" s="20" t="b">
        <f>B2</f>
        <v>0</v>
      </c>
      <c r="C81" s="17"/>
      <c r="D81" s="17"/>
      <c r="E81" s="17"/>
      <c r="F81" s="17"/>
      <c r="G81" s="17"/>
      <c r="H81" s="17"/>
      <c r="I81" s="20" t="b">
        <f>I21</f>
        <v>1</v>
      </c>
      <c r="J81" s="20" t="b">
        <f>J11</f>
        <v>0</v>
      </c>
      <c r="K81" s="17"/>
      <c r="L81" s="17"/>
      <c r="M81" s="17" t="b">
        <f>M2</f>
        <v>1</v>
      </c>
      <c r="N81" s="17"/>
      <c r="O81" s="20" t="b">
        <f>O7</f>
        <v>0</v>
      </c>
      <c r="P81" s="20" t="b">
        <f>P7</f>
        <v>1</v>
      </c>
      <c r="Q81" s="17" t="b">
        <f>Q2</f>
        <v>1</v>
      </c>
      <c r="R81" s="17"/>
      <c r="S81" s="20" t="b">
        <f>S3</f>
        <v>0</v>
      </c>
      <c r="T81" s="17" t="b">
        <f>T7</f>
        <v>1</v>
      </c>
      <c r="U81" s="17"/>
      <c r="V81" s="17"/>
      <c r="W81" s="17"/>
      <c r="X81" s="20" t="b">
        <f>X3</f>
        <v>0</v>
      </c>
      <c r="Y81" s="17"/>
      <c r="Z81" s="17" t="b">
        <f>Z2</f>
        <v>1</v>
      </c>
      <c r="AA81" s="17" t="b">
        <f>AA2</f>
        <v>1</v>
      </c>
      <c r="AB81" s="17" t="b">
        <f>AB2</f>
        <v>1</v>
      </c>
      <c r="AC81" s="17" t="b">
        <f>AC2</f>
        <v>1</v>
      </c>
      <c r="AD81" s="17" t="b">
        <f>AD2</f>
        <v>1</v>
      </c>
      <c r="AE81" s="20" t="b">
        <f>AE73</f>
        <v>1</v>
      </c>
      <c r="AF81" t="b">
        <f>AND(Table29[[#This Row],[Plaster]:[Hypoallergenic]])</f>
        <v>0</v>
      </c>
      <c r="AG81" s="11" t="s">
        <v>1490</v>
      </c>
    </row>
    <row r="82" spans="1:33">
      <c r="A82" t="b">
        <f>IF(Table29[[#This Row],[Column52]],Table29[[#This Row],[Products]])</f>
        <v>0</v>
      </c>
      <c r="B82" s="20" t="b">
        <f>B2</f>
        <v>0</v>
      </c>
      <c r="C82" s="17"/>
      <c r="D82" s="17"/>
      <c r="E82" s="17"/>
      <c r="F82" s="17"/>
      <c r="G82" s="17"/>
      <c r="H82" s="17"/>
      <c r="I82" s="20" t="b">
        <f>I21</f>
        <v>1</v>
      </c>
      <c r="J82" s="17"/>
      <c r="K82" s="20" t="b">
        <f>K2</f>
        <v>0</v>
      </c>
      <c r="L82" s="17"/>
      <c r="M82" s="20" t="b">
        <f>M7</f>
        <v>1</v>
      </c>
      <c r="N82" s="17"/>
      <c r="O82" s="20" t="b">
        <f>O7</f>
        <v>0</v>
      </c>
      <c r="P82" s="17" t="b">
        <f>P2</f>
        <v>1</v>
      </c>
      <c r="Q82" s="17" t="b">
        <f>Q2</f>
        <v>1</v>
      </c>
      <c r="R82" s="17"/>
      <c r="S82" s="20" t="b">
        <f>S3</f>
        <v>0</v>
      </c>
      <c r="T82" s="17" t="b">
        <f>T7</f>
        <v>1</v>
      </c>
      <c r="U82" s="17"/>
      <c r="V82" s="17"/>
      <c r="W82" s="17"/>
      <c r="X82" s="20" t="b">
        <f>X3</f>
        <v>0</v>
      </c>
      <c r="Y82" s="17"/>
      <c r="Z82" s="17" t="b">
        <f t="shared" ref="Z82:AE82" si="46">Z2</f>
        <v>1</v>
      </c>
      <c r="AA82" s="17" t="b">
        <f t="shared" si="46"/>
        <v>1</v>
      </c>
      <c r="AB82" s="17" t="b">
        <f t="shared" si="46"/>
        <v>1</v>
      </c>
      <c r="AC82" s="17" t="b">
        <f t="shared" si="46"/>
        <v>1</v>
      </c>
      <c r="AD82" s="17" t="b">
        <f t="shared" si="46"/>
        <v>1</v>
      </c>
      <c r="AE82" s="17" t="b">
        <f t="shared" si="46"/>
        <v>1</v>
      </c>
      <c r="AF82" t="b">
        <f>AND(Table29[[#This Row],[Plaster]:[Hypoallergenic]])</f>
        <v>0</v>
      </c>
      <c r="AG82" s="11" t="s">
        <v>1491</v>
      </c>
    </row>
    <row r="83" spans="1:33">
      <c r="A83" t="b">
        <f>IF(Table29[[#This Row],[Column52]],Table29[[#This Row],[Products]])</f>
        <v>0</v>
      </c>
      <c r="B83" s="20" t="b">
        <f>B2</f>
        <v>0</v>
      </c>
      <c r="C83" s="17"/>
      <c r="D83" s="17"/>
      <c r="E83" s="17"/>
      <c r="F83" s="17"/>
      <c r="G83" s="17"/>
      <c r="H83" s="17"/>
      <c r="I83" s="17" t="b">
        <f>I2</f>
        <v>1</v>
      </c>
      <c r="J83" s="17"/>
      <c r="K83" s="20" t="b">
        <f>K2</f>
        <v>0</v>
      </c>
      <c r="L83" s="17"/>
      <c r="M83" s="20" t="b">
        <f>M7</f>
        <v>1</v>
      </c>
      <c r="N83" s="17"/>
      <c r="O83" s="20" t="b">
        <f>O7</f>
        <v>0</v>
      </c>
      <c r="P83" s="20" t="b">
        <f>P7</f>
        <v>1</v>
      </c>
      <c r="Q83" s="17" t="b">
        <f>Q2</f>
        <v>1</v>
      </c>
      <c r="R83" s="17"/>
      <c r="S83" s="20" t="b">
        <f>S3</f>
        <v>0</v>
      </c>
      <c r="T83" s="17" t="b">
        <f>T7</f>
        <v>1</v>
      </c>
      <c r="U83" s="17"/>
      <c r="V83" s="17"/>
      <c r="W83" s="20" t="b">
        <f>W9</f>
        <v>0</v>
      </c>
      <c r="X83" s="17"/>
      <c r="Y83" s="17"/>
      <c r="Z83" s="17" t="b">
        <f t="shared" ref="Z83:AE83" si="47">Z2</f>
        <v>1</v>
      </c>
      <c r="AA83" s="17" t="b">
        <f t="shared" si="47"/>
        <v>1</v>
      </c>
      <c r="AB83" s="17" t="b">
        <f t="shared" si="47"/>
        <v>1</v>
      </c>
      <c r="AC83" s="17" t="b">
        <f t="shared" si="47"/>
        <v>1</v>
      </c>
      <c r="AD83" s="17" t="b">
        <f t="shared" si="47"/>
        <v>1</v>
      </c>
      <c r="AE83" s="17" t="b">
        <f t="shared" si="47"/>
        <v>1</v>
      </c>
      <c r="AF83" t="b">
        <f>AND(Table29[[#This Row],[Plaster]:[Hypoallergenic]])</f>
        <v>0</v>
      </c>
      <c r="AG83" s="11" t="s">
        <v>1492</v>
      </c>
    </row>
    <row r="84" spans="1:33">
      <c r="A84" t="b">
        <f>IF(Table29[[#This Row],[Column52]],Table29[[#This Row],[Products]])</f>
        <v>0</v>
      </c>
      <c r="B84" s="20" t="b">
        <f>B2</f>
        <v>0</v>
      </c>
      <c r="C84" s="17"/>
      <c r="D84" s="17"/>
      <c r="E84" s="17"/>
      <c r="F84" s="17"/>
      <c r="G84" s="17"/>
      <c r="H84" s="17"/>
      <c r="I84" s="17" t="b">
        <f>I2</f>
        <v>1</v>
      </c>
      <c r="J84" s="17"/>
      <c r="K84" s="20" t="b">
        <f>K2</f>
        <v>0</v>
      </c>
      <c r="L84" s="17"/>
      <c r="M84" s="20" t="b">
        <f>M7</f>
        <v>1</v>
      </c>
      <c r="N84" s="17"/>
      <c r="O84" s="20" t="b">
        <f>O7</f>
        <v>0</v>
      </c>
      <c r="P84" s="20" t="b">
        <f>P7</f>
        <v>1</v>
      </c>
      <c r="Q84" s="17" t="b">
        <f>Q2</f>
        <v>1</v>
      </c>
      <c r="R84" s="17"/>
      <c r="S84" s="20" t="b">
        <f>S3</f>
        <v>0</v>
      </c>
      <c r="T84" s="17" t="b">
        <f>T7</f>
        <v>1</v>
      </c>
      <c r="U84" s="17"/>
      <c r="V84" s="17"/>
      <c r="W84" s="17"/>
      <c r="X84" s="17"/>
      <c r="Y84" s="20" t="b">
        <f>Y4</f>
        <v>0</v>
      </c>
      <c r="Z84" s="17" t="b">
        <f t="shared" ref="Z84:AE84" si="48">Z2</f>
        <v>1</v>
      </c>
      <c r="AA84" s="17" t="b">
        <f t="shared" si="48"/>
        <v>1</v>
      </c>
      <c r="AB84" s="17" t="b">
        <f t="shared" si="48"/>
        <v>1</v>
      </c>
      <c r="AC84" s="17" t="b">
        <f t="shared" si="48"/>
        <v>1</v>
      </c>
      <c r="AD84" s="17" t="b">
        <f t="shared" si="48"/>
        <v>1</v>
      </c>
      <c r="AE84" s="17" t="b">
        <f t="shared" si="48"/>
        <v>1</v>
      </c>
      <c r="AF84" t="b">
        <f>AND(Table29[[#This Row],[Plaster]:[Hypoallergenic]])</f>
        <v>0</v>
      </c>
      <c r="AG84" s="11" t="s">
        <v>1493</v>
      </c>
    </row>
    <row r="85" spans="1:33">
      <c r="A85" t="b">
        <f>IF(Table29[[#This Row],[Column52]],Table29[[#This Row],[Products]])</f>
        <v>0</v>
      </c>
      <c r="B85" s="20" t="b">
        <f>B2</f>
        <v>0</v>
      </c>
      <c r="C85" s="17"/>
      <c r="D85" s="17"/>
      <c r="E85" s="17"/>
      <c r="F85" s="17"/>
      <c r="G85" s="17"/>
      <c r="H85" s="17"/>
      <c r="I85" s="17" t="b">
        <f>I2</f>
        <v>1</v>
      </c>
      <c r="J85" s="17"/>
      <c r="K85" s="20" t="b">
        <f>K2</f>
        <v>0</v>
      </c>
      <c r="L85" s="17"/>
      <c r="M85" s="17" t="b">
        <f>M2</f>
        <v>1</v>
      </c>
      <c r="N85" s="17"/>
      <c r="O85" s="20" t="b">
        <f>O7</f>
        <v>0</v>
      </c>
      <c r="P85" s="20" t="b">
        <f>P7</f>
        <v>1</v>
      </c>
      <c r="Q85" s="17" t="b">
        <f>Q2</f>
        <v>1</v>
      </c>
      <c r="R85" s="20" t="b">
        <f>R2</f>
        <v>0</v>
      </c>
      <c r="S85" s="20" t="b">
        <f>S3</f>
        <v>0</v>
      </c>
      <c r="T85" s="17" t="b">
        <f>T7</f>
        <v>1</v>
      </c>
      <c r="U85" s="20" t="b">
        <f>U8</f>
        <v>0</v>
      </c>
      <c r="V85" s="17"/>
      <c r="W85" s="17"/>
      <c r="X85" s="17"/>
      <c r="Y85" s="17"/>
      <c r="Z85" s="17" t="b">
        <f t="shared" ref="Z85:AE85" si="49">Z2</f>
        <v>1</v>
      </c>
      <c r="AA85" s="17" t="b">
        <f t="shared" si="49"/>
        <v>1</v>
      </c>
      <c r="AB85" s="17" t="b">
        <f t="shared" si="49"/>
        <v>1</v>
      </c>
      <c r="AC85" s="17" t="b">
        <f t="shared" si="49"/>
        <v>1</v>
      </c>
      <c r="AD85" s="17" t="b">
        <f t="shared" si="49"/>
        <v>1</v>
      </c>
      <c r="AE85" s="17" t="b">
        <f t="shared" si="49"/>
        <v>1</v>
      </c>
      <c r="AF85" t="b">
        <f>AND(Table29[[#This Row],[Plaster]:[Hypoallergenic]])</f>
        <v>0</v>
      </c>
      <c r="AG85" s="11" t="s">
        <v>1494</v>
      </c>
    </row>
    <row r="86" spans="1:33">
      <c r="A86" t="b">
        <f>IF(Table29[[#This Row],[Column52]],Table29[[#This Row],[Products]])</f>
        <v>0</v>
      </c>
      <c r="B86" s="20" t="b">
        <f>B2</f>
        <v>0</v>
      </c>
      <c r="C86" s="17"/>
      <c r="D86" s="17"/>
      <c r="E86" s="17"/>
      <c r="F86" s="17"/>
      <c r="G86" s="17"/>
      <c r="H86" s="17"/>
      <c r="I86" s="17" t="b">
        <f>I2</f>
        <v>1</v>
      </c>
      <c r="J86" s="20" t="b">
        <f>J11</f>
        <v>0</v>
      </c>
      <c r="K86" s="17"/>
      <c r="L86" s="17"/>
      <c r="M86" s="20" t="b">
        <f>M7</f>
        <v>1</v>
      </c>
      <c r="N86" s="17"/>
      <c r="O86" s="20" t="b">
        <f>O7</f>
        <v>0</v>
      </c>
      <c r="P86" s="20" t="b">
        <f>P7</f>
        <v>1</v>
      </c>
      <c r="Q86" s="17" t="b">
        <f>Q2</f>
        <v>1</v>
      </c>
      <c r="R86" s="17"/>
      <c r="S86" s="20" t="b">
        <f>S3</f>
        <v>0</v>
      </c>
      <c r="T86" s="17" t="b">
        <f>T7</f>
        <v>1</v>
      </c>
      <c r="U86" s="20" t="b">
        <f>U8</f>
        <v>0</v>
      </c>
      <c r="V86" s="17"/>
      <c r="W86" s="17"/>
      <c r="X86" s="17"/>
      <c r="Y86" s="17"/>
      <c r="Z86" s="17" t="b">
        <f t="shared" ref="Z86:AE86" si="50">Z2</f>
        <v>1</v>
      </c>
      <c r="AA86" s="17" t="b">
        <f t="shared" si="50"/>
        <v>1</v>
      </c>
      <c r="AB86" s="17" t="b">
        <f t="shared" si="50"/>
        <v>1</v>
      </c>
      <c r="AC86" s="17" t="b">
        <f t="shared" si="50"/>
        <v>1</v>
      </c>
      <c r="AD86" s="17" t="b">
        <f t="shared" si="50"/>
        <v>1</v>
      </c>
      <c r="AE86" s="17" t="b">
        <f t="shared" si="50"/>
        <v>1</v>
      </c>
      <c r="AF86" t="b">
        <f>AND(Table29[[#This Row],[Plaster]:[Hypoallergenic]])</f>
        <v>0</v>
      </c>
      <c r="AG86" s="11" t="s">
        <v>1495</v>
      </c>
    </row>
    <row r="87" spans="1:33">
      <c r="A87" t="b">
        <f>IF(Table29[[#This Row],[Column52]],Table29[[#This Row],[Products]])</f>
        <v>0</v>
      </c>
      <c r="B87" s="20" t="b">
        <f>B2</f>
        <v>0</v>
      </c>
      <c r="C87" s="17"/>
      <c r="D87" s="17"/>
      <c r="E87" s="17"/>
      <c r="F87" s="17"/>
      <c r="G87" s="17"/>
      <c r="H87" s="17"/>
      <c r="I87" s="17" t="b">
        <f>I2</f>
        <v>1</v>
      </c>
      <c r="J87" s="20" t="b">
        <f>J11</f>
        <v>0</v>
      </c>
      <c r="K87" s="17"/>
      <c r="L87" s="17"/>
      <c r="M87" s="20" t="b">
        <f>M7</f>
        <v>1</v>
      </c>
      <c r="N87" s="17"/>
      <c r="O87" s="20" t="b">
        <f>O7</f>
        <v>0</v>
      </c>
      <c r="P87" s="20" t="b">
        <f>P7</f>
        <v>1</v>
      </c>
      <c r="Q87" s="17" t="b">
        <f>Q2</f>
        <v>1</v>
      </c>
      <c r="R87" s="20" t="b">
        <f>R2</f>
        <v>0</v>
      </c>
      <c r="S87" s="17"/>
      <c r="T87" s="17" t="b">
        <f>T7</f>
        <v>1</v>
      </c>
      <c r="U87" s="17"/>
      <c r="V87" s="17"/>
      <c r="W87" s="20" t="b">
        <f>W9</f>
        <v>0</v>
      </c>
      <c r="X87" s="17"/>
      <c r="Y87" s="17"/>
      <c r="Z87" s="17" t="b">
        <f t="shared" ref="Z87:AE87" si="51">Z2</f>
        <v>1</v>
      </c>
      <c r="AA87" s="17" t="b">
        <f t="shared" si="51"/>
        <v>1</v>
      </c>
      <c r="AB87" s="17" t="b">
        <f t="shared" si="51"/>
        <v>1</v>
      </c>
      <c r="AC87" s="17" t="b">
        <f t="shared" si="51"/>
        <v>1</v>
      </c>
      <c r="AD87" s="17" t="b">
        <f t="shared" si="51"/>
        <v>1</v>
      </c>
      <c r="AE87" s="17" t="b">
        <f t="shared" si="51"/>
        <v>1</v>
      </c>
      <c r="AF87" t="b">
        <f>AND(Table29[[#This Row],[Plaster]:[Hypoallergenic]])</f>
        <v>0</v>
      </c>
      <c r="AG87" s="11" t="s">
        <v>1496</v>
      </c>
    </row>
    <row r="88" spans="1:33">
      <c r="A88" t="b">
        <f>IF(Table29[[#This Row],[Column52]],Table29[[#This Row],[Products]])</f>
        <v>0</v>
      </c>
      <c r="B88" s="17"/>
      <c r="C88" s="17"/>
      <c r="D88" s="17"/>
      <c r="E88" s="17"/>
      <c r="F88" s="17"/>
      <c r="G88" s="20" t="b">
        <f>G42</f>
        <v>0</v>
      </c>
      <c r="H88" s="17"/>
      <c r="I88" s="17" t="b">
        <f>I2</f>
        <v>1</v>
      </c>
      <c r="J88" s="20" t="b">
        <f>J11</f>
        <v>0</v>
      </c>
      <c r="K88" s="17"/>
      <c r="L88" s="17"/>
      <c r="M88" s="17" t="b">
        <f>M2</f>
        <v>1</v>
      </c>
      <c r="N88" s="17"/>
      <c r="O88" s="17"/>
      <c r="P88" s="17" t="b">
        <f>P2</f>
        <v>1</v>
      </c>
      <c r="Q88" s="17" t="b">
        <f>Q2</f>
        <v>1</v>
      </c>
      <c r="R88" s="17"/>
      <c r="S88" s="17"/>
      <c r="T88" s="17" t="b">
        <f>T7</f>
        <v>1</v>
      </c>
      <c r="U88" s="17"/>
      <c r="V88" s="17"/>
      <c r="W88" s="17"/>
      <c r="X88" s="17"/>
      <c r="Y88" s="17"/>
      <c r="Z88" s="17" t="b">
        <f t="shared" ref="Z88:AE88" si="52">Z2</f>
        <v>1</v>
      </c>
      <c r="AA88" s="17" t="b">
        <f t="shared" si="52"/>
        <v>1</v>
      </c>
      <c r="AB88" s="17" t="b">
        <f t="shared" si="52"/>
        <v>1</v>
      </c>
      <c r="AC88" s="17" t="b">
        <f t="shared" si="52"/>
        <v>1</v>
      </c>
      <c r="AD88" s="17" t="b">
        <f t="shared" si="52"/>
        <v>1</v>
      </c>
      <c r="AE88" s="17" t="b">
        <f t="shared" si="52"/>
        <v>1</v>
      </c>
      <c r="AF88" t="b">
        <f>AND(Table29[[#This Row],[Plaster]:[Hypoallergenic]])</f>
        <v>0</v>
      </c>
      <c r="AG88" s="11" t="s">
        <v>1497</v>
      </c>
    </row>
    <row r="89" spans="1:33">
      <c r="A89" s="16" t="e">
        <f>IF(Table29[[#This Row],[Column52]],Table29[[#This Row],[Products]])</f>
        <v>#VALUE!</v>
      </c>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t="e">
        <f>AND(Table29[[#This Row],[Plaster]:[Hypoallergenic]])</f>
        <v>#VALUE!</v>
      </c>
      <c r="AG89" s="16"/>
    </row>
    <row r="90" spans="1:33">
      <c r="A90" t="b">
        <f>IF(Table29[[#This Row],[Column52]],Table29[[#This Row],[Products]])</f>
        <v>0</v>
      </c>
      <c r="B90" s="17"/>
      <c r="C90" s="17"/>
      <c r="D90" s="17"/>
      <c r="E90" s="17"/>
      <c r="F90" s="17"/>
      <c r="G90" s="20" t="b">
        <f>G42</f>
        <v>0</v>
      </c>
      <c r="H90" s="17"/>
      <c r="I90" s="17" t="b">
        <f>I2</f>
        <v>1</v>
      </c>
      <c r="J90" s="17"/>
      <c r="K90" s="17"/>
      <c r="L90" s="20" t="b">
        <f>L7</f>
        <v>0</v>
      </c>
      <c r="M90" s="17" t="b">
        <f>M2</f>
        <v>1</v>
      </c>
      <c r="N90" s="17"/>
      <c r="O90" s="17"/>
      <c r="P90" s="20" t="b">
        <f>P7</f>
        <v>1</v>
      </c>
      <c r="Q90" s="17" t="b">
        <f>Q2</f>
        <v>1</v>
      </c>
      <c r="R90" s="20" t="b">
        <f>R2</f>
        <v>0</v>
      </c>
      <c r="S90" s="17"/>
      <c r="T90" s="17" t="b">
        <f>T7</f>
        <v>1</v>
      </c>
      <c r="U90" s="17"/>
      <c r="V90" s="17"/>
      <c r="W90" s="17"/>
      <c r="X90" s="17"/>
      <c r="Y90" s="17"/>
      <c r="Z90" s="17" t="b">
        <f t="shared" ref="Z90:AE90" si="53">Z2</f>
        <v>1</v>
      </c>
      <c r="AA90" s="17" t="b">
        <f t="shared" si="53"/>
        <v>1</v>
      </c>
      <c r="AB90" s="17" t="b">
        <f t="shared" si="53"/>
        <v>1</v>
      </c>
      <c r="AC90" s="17" t="b">
        <f t="shared" si="53"/>
        <v>1</v>
      </c>
      <c r="AD90" s="17" t="b">
        <f t="shared" si="53"/>
        <v>1</v>
      </c>
      <c r="AE90" s="17" t="b">
        <f t="shared" si="53"/>
        <v>1</v>
      </c>
      <c r="AF90" t="b">
        <f>AND(Table29[[#This Row],[Plaster]:[Hypoallergenic]])</f>
        <v>0</v>
      </c>
      <c r="AG90" s="11" t="s">
        <v>1507</v>
      </c>
    </row>
    <row r="91" spans="1:33">
      <c r="A91" t="b">
        <f>IF(Table29[[#This Row],[Column52]],Table29[[#This Row],[Products]])</f>
        <v>0</v>
      </c>
      <c r="B91" s="20" t="b">
        <f>B2</f>
        <v>0</v>
      </c>
      <c r="C91" s="17"/>
      <c r="D91" s="17"/>
      <c r="E91" s="17"/>
      <c r="F91" s="17"/>
      <c r="G91" s="17"/>
      <c r="H91" s="17"/>
      <c r="I91" s="17" t="b">
        <f>I2</f>
        <v>1</v>
      </c>
      <c r="J91" s="17"/>
      <c r="K91" s="20" t="b">
        <f>K2</f>
        <v>0</v>
      </c>
      <c r="L91" s="17"/>
      <c r="M91" s="17" t="b">
        <f>M2</f>
        <v>1</v>
      </c>
      <c r="N91" s="20" t="b">
        <f>N2</f>
        <v>0</v>
      </c>
      <c r="O91" s="17"/>
      <c r="P91" s="17" t="b">
        <f>P2</f>
        <v>1</v>
      </c>
      <c r="Q91" s="17" t="b">
        <f>Q2</f>
        <v>1</v>
      </c>
      <c r="R91" s="20" t="b">
        <f>R2</f>
        <v>0</v>
      </c>
      <c r="S91" s="17"/>
      <c r="T91" s="20" t="b">
        <f>T2</f>
        <v>1</v>
      </c>
      <c r="U91" s="17"/>
      <c r="V91" s="17"/>
      <c r="W91" s="17"/>
      <c r="X91" s="17"/>
      <c r="Y91" s="17"/>
      <c r="Z91" s="17" t="b">
        <f>Z2</f>
        <v>1</v>
      </c>
      <c r="AA91" s="17" t="b">
        <f>AA2</f>
        <v>1</v>
      </c>
      <c r="AB91" s="17" t="b">
        <f>AB2</f>
        <v>1</v>
      </c>
      <c r="AC91" s="17" t="b">
        <f>AC2</f>
        <v>1</v>
      </c>
      <c r="AD91" s="17" t="b">
        <f>AD2</f>
        <v>1</v>
      </c>
      <c r="AE91" s="20" t="b">
        <f>AE73</f>
        <v>1</v>
      </c>
      <c r="AF91" t="b">
        <f>AND(Table29[[#This Row],[Plaster]:[Hypoallergenic]])</f>
        <v>0</v>
      </c>
      <c r="AG91" s="29" t="s">
        <v>1508</v>
      </c>
    </row>
    <row r="92" spans="1:33">
      <c r="A92" t="b">
        <f>IF(Table29[[#This Row],[Column52]],Table29[[#This Row],[Products]])</f>
        <v>0</v>
      </c>
      <c r="B92" s="20" t="b">
        <f>B2</f>
        <v>0</v>
      </c>
      <c r="C92" s="17"/>
      <c r="D92" s="17"/>
      <c r="E92" s="17"/>
      <c r="F92" s="17"/>
      <c r="G92" s="17"/>
      <c r="H92" s="17"/>
      <c r="I92" s="17" t="b">
        <f>I2</f>
        <v>1</v>
      </c>
      <c r="J92" s="17"/>
      <c r="K92" s="20" t="b">
        <f>K2</f>
        <v>0</v>
      </c>
      <c r="L92" s="17"/>
      <c r="M92" s="17" t="b">
        <f>M2</f>
        <v>1</v>
      </c>
      <c r="N92" s="20" t="b">
        <f>N2</f>
        <v>0</v>
      </c>
      <c r="O92" s="17"/>
      <c r="P92" s="17" t="b">
        <f>P2</f>
        <v>1</v>
      </c>
      <c r="Q92" s="17" t="b">
        <f>Q2</f>
        <v>1</v>
      </c>
      <c r="R92" s="20" t="b">
        <f>R2</f>
        <v>0</v>
      </c>
      <c r="S92" s="17"/>
      <c r="T92" s="20" t="b">
        <f>T2</f>
        <v>1</v>
      </c>
      <c r="U92" s="17"/>
      <c r="V92" s="17"/>
      <c r="W92" s="17"/>
      <c r="X92" s="17"/>
      <c r="Y92" s="17"/>
      <c r="Z92" s="17" t="b">
        <f>Z2</f>
        <v>1</v>
      </c>
      <c r="AA92" s="17" t="b">
        <f>AA2</f>
        <v>1</v>
      </c>
      <c r="AB92" s="17" t="b">
        <f>AB2</f>
        <v>1</v>
      </c>
      <c r="AC92" s="17" t="b">
        <f>AC2</f>
        <v>1</v>
      </c>
      <c r="AD92" s="17" t="b">
        <f>AD2</f>
        <v>1</v>
      </c>
      <c r="AE92" s="20" t="b">
        <f>AE73</f>
        <v>1</v>
      </c>
      <c r="AF92" t="b">
        <f>AND(Table29[[#This Row],[Plaster]:[Hypoallergenic]])</f>
        <v>0</v>
      </c>
      <c r="AG92" s="29" t="s">
        <v>1509</v>
      </c>
    </row>
    <row r="93" spans="1:33">
      <c r="A93" t="b">
        <f>IF(Table29[[#This Row],[Column52]],Table29[[#This Row],[Products]])</f>
        <v>0</v>
      </c>
      <c r="B93" s="20" t="b">
        <f>B2</f>
        <v>0</v>
      </c>
      <c r="C93" s="17"/>
      <c r="D93" s="17"/>
      <c r="E93" s="17"/>
      <c r="F93" s="17"/>
      <c r="G93" s="17"/>
      <c r="H93" s="17"/>
      <c r="I93" s="17" t="b">
        <f>I2</f>
        <v>1</v>
      </c>
      <c r="J93" s="17"/>
      <c r="K93" s="17"/>
      <c r="L93" s="20" t="b">
        <f>L7</f>
        <v>0</v>
      </c>
      <c r="M93" s="20" t="b">
        <f>M7</f>
        <v>1</v>
      </c>
      <c r="N93" s="20" t="b">
        <f>N2</f>
        <v>0</v>
      </c>
      <c r="O93" s="17"/>
      <c r="P93" s="20" t="b">
        <f>P7</f>
        <v>1</v>
      </c>
      <c r="Q93" s="17" t="b">
        <f>Q2</f>
        <v>1</v>
      </c>
      <c r="R93" s="17"/>
      <c r="S93" s="20" t="b">
        <f>S3</f>
        <v>0</v>
      </c>
      <c r="T93" s="17" t="b">
        <f>T7</f>
        <v>1</v>
      </c>
      <c r="U93" s="17"/>
      <c r="V93" s="17"/>
      <c r="W93" s="17"/>
      <c r="X93" s="20" t="b">
        <f>X3</f>
        <v>0</v>
      </c>
      <c r="Y93" s="17"/>
      <c r="Z93" s="17" t="b">
        <f t="shared" ref="Z93:AE93" si="54">Z2</f>
        <v>1</v>
      </c>
      <c r="AA93" s="17" t="b">
        <f t="shared" si="54"/>
        <v>1</v>
      </c>
      <c r="AB93" s="17" t="b">
        <f t="shared" si="54"/>
        <v>1</v>
      </c>
      <c r="AC93" s="17" t="b">
        <f t="shared" si="54"/>
        <v>1</v>
      </c>
      <c r="AD93" s="17" t="b">
        <f t="shared" si="54"/>
        <v>1</v>
      </c>
      <c r="AE93" s="17" t="b">
        <f t="shared" si="54"/>
        <v>1</v>
      </c>
      <c r="AF93" t="b">
        <f>AND(Table29[[#This Row],[Plaster]:[Hypoallergenic]])</f>
        <v>0</v>
      </c>
      <c r="AG93" s="29" t="s">
        <v>1510</v>
      </c>
    </row>
    <row r="94" spans="1:33">
      <c r="A94" t="b">
        <f>IF(Table29[[#This Row],[Column52]],Table29[[#This Row],[Products]])</f>
        <v>0</v>
      </c>
      <c r="B94" s="20" t="b">
        <f>B2</f>
        <v>0</v>
      </c>
      <c r="C94" s="17"/>
      <c r="D94" s="17"/>
      <c r="E94" s="17"/>
      <c r="F94" s="17"/>
      <c r="G94" s="17"/>
      <c r="H94" s="17"/>
      <c r="I94" s="17" t="b">
        <f>I2</f>
        <v>1</v>
      </c>
      <c r="J94" s="17"/>
      <c r="K94" s="20" t="b">
        <f>K2</f>
        <v>0</v>
      </c>
      <c r="L94" s="17"/>
      <c r="M94" s="20" t="b">
        <f>M7</f>
        <v>1</v>
      </c>
      <c r="N94" s="20" t="b">
        <f>N2</f>
        <v>0</v>
      </c>
      <c r="O94" s="17"/>
      <c r="P94" s="20" t="b">
        <f>P7</f>
        <v>1</v>
      </c>
      <c r="Q94" s="17" t="b">
        <f>Q2</f>
        <v>1</v>
      </c>
      <c r="R94" s="17"/>
      <c r="S94" s="20" t="b">
        <f>S3</f>
        <v>0</v>
      </c>
      <c r="T94" s="17" t="b">
        <f>T7</f>
        <v>1</v>
      </c>
      <c r="U94" s="17"/>
      <c r="V94" s="17"/>
      <c r="W94" s="17"/>
      <c r="X94" s="20" t="b">
        <f>X3</f>
        <v>0</v>
      </c>
      <c r="Y94" s="17"/>
      <c r="Z94" s="17" t="b">
        <f>Z2</f>
        <v>1</v>
      </c>
      <c r="AA94" s="17" t="b">
        <f>AA2</f>
        <v>1</v>
      </c>
      <c r="AB94" s="20" t="b">
        <f>AB22</f>
        <v>1</v>
      </c>
      <c r="AC94" s="17" t="b">
        <f>AC2</f>
        <v>1</v>
      </c>
      <c r="AD94" s="17" t="b">
        <f>AD2</f>
        <v>1</v>
      </c>
      <c r="AE94" s="20" t="b">
        <f>AE73</f>
        <v>1</v>
      </c>
      <c r="AF94" t="b">
        <f>AND(Table29[[#This Row],[Plaster]:[Hypoallergenic]])</f>
        <v>0</v>
      </c>
      <c r="AG94" s="29" t="s">
        <v>1511</v>
      </c>
    </row>
    <row r="95" spans="1:33">
      <c r="A95" t="b">
        <f>IF(Table29[[#This Row],[Column52]],Table29[[#This Row],[Products]])</f>
        <v>0</v>
      </c>
      <c r="B95" s="20" t="b">
        <f>B2</f>
        <v>0</v>
      </c>
      <c r="C95" s="17"/>
      <c r="D95" s="17"/>
      <c r="E95" s="17"/>
      <c r="F95" s="17"/>
      <c r="G95" s="17"/>
      <c r="H95" s="17"/>
      <c r="I95" s="17" t="b">
        <f>I2</f>
        <v>1</v>
      </c>
      <c r="J95" s="17"/>
      <c r="K95" s="20" t="b">
        <f>K2</f>
        <v>0</v>
      </c>
      <c r="L95" s="17"/>
      <c r="M95" s="20" t="b">
        <f>M7</f>
        <v>1</v>
      </c>
      <c r="N95" s="20" t="b">
        <f>N2</f>
        <v>0</v>
      </c>
      <c r="O95" s="17"/>
      <c r="P95" s="20" t="b">
        <f>P7</f>
        <v>1</v>
      </c>
      <c r="Q95" s="17" t="b">
        <f>Q2</f>
        <v>1</v>
      </c>
      <c r="R95" s="17"/>
      <c r="S95" s="20" t="b">
        <f>S3</f>
        <v>0</v>
      </c>
      <c r="T95" s="17" t="b">
        <f>T7</f>
        <v>1</v>
      </c>
      <c r="U95" s="17"/>
      <c r="V95" s="17"/>
      <c r="W95" s="17"/>
      <c r="X95" s="20" t="b">
        <f>X3</f>
        <v>0</v>
      </c>
      <c r="Y95" s="17"/>
      <c r="Z95" s="17" t="b">
        <f t="shared" ref="Z95:AE95" si="55">Z2</f>
        <v>1</v>
      </c>
      <c r="AA95" s="17" t="b">
        <f t="shared" si="55"/>
        <v>1</v>
      </c>
      <c r="AB95" s="17" t="b">
        <f t="shared" si="55"/>
        <v>1</v>
      </c>
      <c r="AC95" s="17" t="b">
        <f t="shared" si="55"/>
        <v>1</v>
      </c>
      <c r="AD95" s="17" t="b">
        <f t="shared" si="55"/>
        <v>1</v>
      </c>
      <c r="AE95" s="17" t="b">
        <f t="shared" si="55"/>
        <v>1</v>
      </c>
      <c r="AF95" t="b">
        <f>AND(Table29[[#This Row],[Plaster]:[Hypoallergenic]])</f>
        <v>0</v>
      </c>
      <c r="AG95" s="29" t="s">
        <v>1512</v>
      </c>
    </row>
    <row r="96" spans="1:33">
      <c r="A96" t="b">
        <f>IF(Table29[[#This Row],[Column52]],Table29[[#This Row],[Products]])</f>
        <v>0</v>
      </c>
      <c r="B96" s="20" t="b">
        <f>B2</f>
        <v>0</v>
      </c>
      <c r="C96" s="17"/>
      <c r="D96" s="17"/>
      <c r="E96" s="17"/>
      <c r="F96" s="17"/>
      <c r="G96" s="17"/>
      <c r="H96" s="17"/>
      <c r="I96" s="17" t="b">
        <f>I2</f>
        <v>1</v>
      </c>
      <c r="J96" s="17"/>
      <c r="K96" s="20" t="b">
        <f>K2</f>
        <v>0</v>
      </c>
      <c r="L96" s="17"/>
      <c r="M96" s="17" t="b">
        <f>M2</f>
        <v>1</v>
      </c>
      <c r="N96" s="20" t="b">
        <f>N2</f>
        <v>0</v>
      </c>
      <c r="O96" s="17"/>
      <c r="P96" s="20" t="b">
        <f>P7</f>
        <v>1</v>
      </c>
      <c r="Q96" s="17" t="b">
        <f>Q2</f>
        <v>1</v>
      </c>
      <c r="R96" s="17"/>
      <c r="S96" s="20" t="b">
        <f>S3</f>
        <v>0</v>
      </c>
      <c r="T96" s="20" t="b">
        <f>T2</f>
        <v>1</v>
      </c>
      <c r="U96" s="17"/>
      <c r="V96" s="17"/>
      <c r="W96" s="17"/>
      <c r="X96" s="20" t="b">
        <f>X3</f>
        <v>0</v>
      </c>
      <c r="Y96" s="17"/>
      <c r="Z96" s="17" t="b">
        <f t="shared" ref="Z96:AE96" si="56">Z2</f>
        <v>1</v>
      </c>
      <c r="AA96" s="17" t="b">
        <f t="shared" si="56"/>
        <v>1</v>
      </c>
      <c r="AB96" s="17" t="b">
        <f t="shared" si="56"/>
        <v>1</v>
      </c>
      <c r="AC96" s="17" t="b">
        <f t="shared" si="56"/>
        <v>1</v>
      </c>
      <c r="AD96" s="17" t="b">
        <f t="shared" si="56"/>
        <v>1</v>
      </c>
      <c r="AE96" s="17" t="b">
        <f t="shared" si="56"/>
        <v>1</v>
      </c>
      <c r="AF96" t="b">
        <f>AND(Table29[[#This Row],[Plaster]:[Hypoallergenic]])</f>
        <v>0</v>
      </c>
      <c r="AG96" s="29" t="s">
        <v>1513</v>
      </c>
    </row>
    <row r="97" spans="1:34">
      <c r="A97" t="b">
        <f>IF(Table29[[#This Row],[Column52]],Table29[[#This Row],[Products]])</f>
        <v>0</v>
      </c>
      <c r="B97" s="20" t="b">
        <f>B2</f>
        <v>0</v>
      </c>
      <c r="C97" s="17"/>
      <c r="D97" s="17"/>
      <c r="E97" s="17"/>
      <c r="F97" s="17"/>
      <c r="G97" s="17"/>
      <c r="H97" s="17"/>
      <c r="I97" s="17" t="b">
        <f>I2</f>
        <v>1</v>
      </c>
      <c r="J97" s="17"/>
      <c r="K97" s="17"/>
      <c r="L97" s="20" t="b">
        <f>L7</f>
        <v>0</v>
      </c>
      <c r="M97" s="17" t="b">
        <f>M2</f>
        <v>1</v>
      </c>
      <c r="N97" s="20" t="b">
        <f>N2</f>
        <v>0</v>
      </c>
      <c r="O97" s="17"/>
      <c r="P97" s="20" t="b">
        <f>P7</f>
        <v>1</v>
      </c>
      <c r="Q97" s="17" t="b">
        <f>Q2</f>
        <v>1</v>
      </c>
      <c r="R97" s="17"/>
      <c r="S97" s="20" t="b">
        <f>S3</f>
        <v>0</v>
      </c>
      <c r="T97" s="17" t="b">
        <f>T7</f>
        <v>1</v>
      </c>
      <c r="U97" s="17"/>
      <c r="V97" s="17"/>
      <c r="W97" s="17"/>
      <c r="X97" s="20" t="b">
        <f>X3</f>
        <v>0</v>
      </c>
      <c r="Y97" s="17"/>
      <c r="Z97" s="17" t="b">
        <f>Z2</f>
        <v>1</v>
      </c>
      <c r="AA97" s="17" t="b">
        <f>AA2</f>
        <v>1</v>
      </c>
      <c r="AB97" s="20" t="b">
        <f>AB22</f>
        <v>1</v>
      </c>
      <c r="AC97" s="17" t="b">
        <f>AC2</f>
        <v>1</v>
      </c>
      <c r="AD97" s="17" t="b">
        <f>AD2</f>
        <v>1</v>
      </c>
      <c r="AE97" s="20" t="b">
        <f>AE73</f>
        <v>1</v>
      </c>
      <c r="AF97" t="b">
        <f>AND(Table29[[#This Row],[Plaster]:[Hypoallergenic]])</f>
        <v>0</v>
      </c>
      <c r="AG97" s="29" t="s">
        <v>1514</v>
      </c>
    </row>
    <row r="98" spans="1:34">
      <c r="A98" t="b">
        <f>IF(Table29[[#This Row],[Column52]],Table29[[#This Row],[Products]])</f>
        <v>0</v>
      </c>
      <c r="B98" s="20" t="b">
        <f>B2</f>
        <v>0</v>
      </c>
      <c r="C98" s="17"/>
      <c r="D98" s="17"/>
      <c r="E98" s="17"/>
      <c r="F98" s="17"/>
      <c r="G98" s="17"/>
      <c r="H98" s="17"/>
      <c r="I98" s="17" t="b">
        <f>I2</f>
        <v>1</v>
      </c>
      <c r="J98" s="17"/>
      <c r="K98" s="20" t="b">
        <f>K2</f>
        <v>0</v>
      </c>
      <c r="L98" s="17"/>
      <c r="M98" s="17" t="b">
        <f>M2</f>
        <v>1</v>
      </c>
      <c r="N98" s="20" t="b">
        <f>N2</f>
        <v>0</v>
      </c>
      <c r="O98" s="17"/>
      <c r="P98" s="20" t="b">
        <f>P7</f>
        <v>1</v>
      </c>
      <c r="Q98" s="17" t="b">
        <f>Q2</f>
        <v>1</v>
      </c>
      <c r="R98" s="17"/>
      <c r="S98" s="20" t="b">
        <f>S3</f>
        <v>0</v>
      </c>
      <c r="T98" s="17" t="b">
        <f>T7</f>
        <v>1</v>
      </c>
      <c r="U98" s="17"/>
      <c r="V98" s="17"/>
      <c r="W98" s="17"/>
      <c r="X98" s="20" t="b">
        <f>X3</f>
        <v>0</v>
      </c>
      <c r="Y98" s="17"/>
      <c r="Z98" s="17" t="b">
        <f>Z2</f>
        <v>1</v>
      </c>
      <c r="AA98" s="17" t="b">
        <f>AA2</f>
        <v>1</v>
      </c>
      <c r="AB98" s="20" t="b">
        <f>AB22</f>
        <v>1</v>
      </c>
      <c r="AC98" s="17" t="b">
        <f>AC2</f>
        <v>1</v>
      </c>
      <c r="AD98" s="17" t="b">
        <f>AD2</f>
        <v>1</v>
      </c>
      <c r="AE98" s="20" t="b">
        <f>AE73</f>
        <v>1</v>
      </c>
      <c r="AF98" t="b">
        <f>AND(Table29[[#This Row],[Plaster]:[Hypoallergenic]])</f>
        <v>0</v>
      </c>
      <c r="AG98" s="29" t="s">
        <v>1515</v>
      </c>
    </row>
    <row r="99" spans="1:34">
      <c r="A99" t="b">
        <f>IF(Table29[[#This Row],[Column52]],Table29[[#This Row],[Products]])</f>
        <v>0</v>
      </c>
      <c r="B99" s="20" t="b">
        <f>B2</f>
        <v>0</v>
      </c>
      <c r="C99" s="17"/>
      <c r="D99" s="17"/>
      <c r="E99" s="17"/>
      <c r="F99" s="17"/>
      <c r="G99" s="17"/>
      <c r="H99" s="17"/>
      <c r="I99" s="17" t="b">
        <f>I2</f>
        <v>1</v>
      </c>
      <c r="J99" s="20" t="b">
        <f>J11</f>
        <v>0</v>
      </c>
      <c r="K99" s="17"/>
      <c r="L99" s="17"/>
      <c r="M99" s="17" t="b">
        <f>M2</f>
        <v>1</v>
      </c>
      <c r="N99" s="20" t="b">
        <f>N2</f>
        <v>0</v>
      </c>
      <c r="O99" s="17"/>
      <c r="P99" s="20" t="b">
        <f>P7</f>
        <v>1</v>
      </c>
      <c r="Q99" s="17" t="b">
        <f>Q2</f>
        <v>1</v>
      </c>
      <c r="R99" s="17"/>
      <c r="S99" s="20" t="b">
        <f>S3</f>
        <v>0</v>
      </c>
      <c r="T99" s="17" t="b">
        <f>T7</f>
        <v>1</v>
      </c>
      <c r="U99" s="17"/>
      <c r="V99" s="17"/>
      <c r="W99" s="17"/>
      <c r="X99" s="20" t="b">
        <f>X3</f>
        <v>0</v>
      </c>
      <c r="Y99" s="17"/>
      <c r="Z99" s="17" t="b">
        <f>Z2</f>
        <v>1</v>
      </c>
      <c r="AA99" s="17" t="b">
        <f>AA2</f>
        <v>1</v>
      </c>
      <c r="AB99" s="20" t="b">
        <f>AB22</f>
        <v>1</v>
      </c>
      <c r="AC99" s="17" t="b">
        <f>AC2</f>
        <v>1</v>
      </c>
      <c r="AD99" s="17" t="b">
        <f>AD2</f>
        <v>1</v>
      </c>
      <c r="AE99" s="20" t="b">
        <f>AE73</f>
        <v>1</v>
      </c>
      <c r="AF99" t="b">
        <f>AND(Table29[[#This Row],[Plaster]:[Hypoallergenic]])</f>
        <v>0</v>
      </c>
      <c r="AG99" s="29" t="s">
        <v>1516</v>
      </c>
    </row>
    <row r="100" spans="1:34">
      <c r="A100" t="b">
        <f>IF(Table29[[#This Row],[Column52]],Table29[[#This Row],[Products]])</f>
        <v>0</v>
      </c>
      <c r="B100" s="20" t="b">
        <f>B2</f>
        <v>0</v>
      </c>
      <c r="C100" s="17"/>
      <c r="D100" s="17"/>
      <c r="E100" s="17"/>
      <c r="F100" s="17"/>
      <c r="G100" s="17"/>
      <c r="H100" s="17"/>
      <c r="I100" s="17" t="b">
        <f>I2</f>
        <v>1</v>
      </c>
      <c r="J100" s="20" t="b">
        <f>J11</f>
        <v>0</v>
      </c>
      <c r="K100" s="17"/>
      <c r="L100" s="17"/>
      <c r="M100" s="17" t="b">
        <f>M2</f>
        <v>1</v>
      </c>
      <c r="N100" s="17"/>
      <c r="O100" s="20" t="b">
        <f>O7</f>
        <v>0</v>
      </c>
      <c r="P100" s="20" t="b">
        <f>P7</f>
        <v>1</v>
      </c>
      <c r="Q100" s="20" t="b">
        <f>Q11</f>
        <v>1</v>
      </c>
      <c r="R100" s="20" t="b">
        <f>R2</f>
        <v>0</v>
      </c>
      <c r="S100" s="17"/>
      <c r="T100" s="17" t="b">
        <f>T7</f>
        <v>1</v>
      </c>
      <c r="U100" s="20" t="b">
        <f>U8</f>
        <v>0</v>
      </c>
      <c r="V100" s="17"/>
      <c r="W100" s="17"/>
      <c r="X100" s="17"/>
      <c r="Y100" s="17"/>
      <c r="Z100" s="17" t="b">
        <f t="shared" ref="Z100:AE100" si="57">Z2</f>
        <v>1</v>
      </c>
      <c r="AA100" s="17" t="b">
        <f t="shared" si="57"/>
        <v>1</v>
      </c>
      <c r="AB100" s="17" t="b">
        <f t="shared" si="57"/>
        <v>1</v>
      </c>
      <c r="AC100" s="17" t="b">
        <f t="shared" si="57"/>
        <v>1</v>
      </c>
      <c r="AD100" s="17" t="b">
        <f t="shared" si="57"/>
        <v>1</v>
      </c>
      <c r="AE100" s="17" t="b">
        <f t="shared" si="57"/>
        <v>1</v>
      </c>
      <c r="AF100" t="b">
        <f>AND(Table29[[#This Row],[Plaster]:[Hypoallergenic]])</f>
        <v>0</v>
      </c>
      <c r="AG100" s="29" t="s">
        <v>1517</v>
      </c>
    </row>
    <row r="101" spans="1:34">
      <c r="A101" t="b">
        <f>IF(Table29[[#This Row],[Column52]],Table29[[#This Row],[Products]])</f>
        <v>0</v>
      </c>
      <c r="B101" s="20" t="b">
        <f>B2</f>
        <v>0</v>
      </c>
      <c r="C101" s="17"/>
      <c r="D101" s="17"/>
      <c r="E101" s="17"/>
      <c r="F101" s="17"/>
      <c r="G101" s="17"/>
      <c r="H101" s="17"/>
      <c r="I101" s="17" t="b">
        <f>I2</f>
        <v>1</v>
      </c>
      <c r="J101" s="17"/>
      <c r="K101" s="17"/>
      <c r="L101" s="20" t="b">
        <f>L7</f>
        <v>0</v>
      </c>
      <c r="M101" s="17" t="b">
        <f>M2</f>
        <v>1</v>
      </c>
      <c r="N101" s="17"/>
      <c r="O101" s="20" t="b">
        <f>O7</f>
        <v>0</v>
      </c>
      <c r="P101" s="20" t="b">
        <f>P7</f>
        <v>1</v>
      </c>
      <c r="Q101" s="17" t="b">
        <f>Q2</f>
        <v>1</v>
      </c>
      <c r="R101" s="17"/>
      <c r="S101" s="20" t="b">
        <f>S3</f>
        <v>0</v>
      </c>
      <c r="T101" s="17" t="b">
        <f>T7</f>
        <v>1</v>
      </c>
      <c r="U101" s="17"/>
      <c r="V101" s="17"/>
      <c r="W101" s="20" t="b">
        <f>W9</f>
        <v>0</v>
      </c>
      <c r="X101" s="17"/>
      <c r="Y101" s="17"/>
      <c r="Z101" s="17" t="b">
        <f t="shared" ref="Z101:AE101" si="58">Z2</f>
        <v>1</v>
      </c>
      <c r="AA101" s="17" t="b">
        <f t="shared" si="58"/>
        <v>1</v>
      </c>
      <c r="AB101" s="17" t="b">
        <f t="shared" si="58"/>
        <v>1</v>
      </c>
      <c r="AC101" s="17" t="b">
        <f t="shared" si="58"/>
        <v>1</v>
      </c>
      <c r="AD101" s="17" t="b">
        <f t="shared" si="58"/>
        <v>1</v>
      </c>
      <c r="AE101" s="17" t="b">
        <f t="shared" si="58"/>
        <v>1</v>
      </c>
      <c r="AF101" t="b">
        <f>AND(Table29[[#This Row],[Plaster]:[Hypoallergenic]])</f>
        <v>0</v>
      </c>
      <c r="AG101" s="29" t="s">
        <v>1518</v>
      </c>
    </row>
    <row r="102" spans="1:34">
      <c r="A102" t="b">
        <f>IF(Table29[[#This Row],[Column52]],Table29[[#This Row],[Products]])</f>
        <v>0</v>
      </c>
      <c r="B102" s="20" t="b">
        <f>B2</f>
        <v>0</v>
      </c>
      <c r="C102" s="17"/>
      <c r="D102" s="17"/>
      <c r="E102" s="17"/>
      <c r="F102" s="17"/>
      <c r="G102" s="17"/>
      <c r="H102" s="17"/>
      <c r="I102" s="17" t="b">
        <f>I2</f>
        <v>1</v>
      </c>
      <c r="J102" s="17"/>
      <c r="K102" s="20" t="b">
        <f>K2</f>
        <v>0</v>
      </c>
      <c r="L102" s="17"/>
      <c r="M102" s="17" t="b">
        <f>M2</f>
        <v>1</v>
      </c>
      <c r="N102" s="17"/>
      <c r="O102" s="20" t="b">
        <f>O7</f>
        <v>0</v>
      </c>
      <c r="P102" s="17" t="b">
        <f>P2</f>
        <v>1</v>
      </c>
      <c r="Q102" s="17" t="b">
        <f>Q2</f>
        <v>1</v>
      </c>
      <c r="R102" s="17"/>
      <c r="S102" s="20" t="b">
        <f>S3</f>
        <v>0</v>
      </c>
      <c r="T102" s="17" t="b">
        <f>T7</f>
        <v>1</v>
      </c>
      <c r="U102" s="20" t="b">
        <f>U8</f>
        <v>0</v>
      </c>
      <c r="V102" s="17"/>
      <c r="W102" s="17"/>
      <c r="X102" s="17"/>
      <c r="Y102" s="17"/>
      <c r="Z102" s="17" t="b">
        <f t="shared" ref="Z102:AE102" si="59">Z2</f>
        <v>1</v>
      </c>
      <c r="AA102" s="17" t="b">
        <f t="shared" si="59"/>
        <v>1</v>
      </c>
      <c r="AB102" s="17" t="b">
        <f t="shared" si="59"/>
        <v>1</v>
      </c>
      <c r="AC102" s="17" t="b">
        <f t="shared" si="59"/>
        <v>1</v>
      </c>
      <c r="AD102" s="17" t="b">
        <f t="shared" si="59"/>
        <v>1</v>
      </c>
      <c r="AE102" s="17" t="b">
        <f t="shared" si="59"/>
        <v>1</v>
      </c>
      <c r="AF102" t="b">
        <f>AND(Table29[[#This Row],[Plaster]:[Hypoallergenic]])</f>
        <v>0</v>
      </c>
      <c r="AG102" s="29" t="s">
        <v>1519</v>
      </c>
    </row>
    <row r="103" spans="1:34">
      <c r="A103" t="b">
        <f>IF(Table29[[#This Row],[Column52]],Table29[[#This Row],[Products]])</f>
        <v>0</v>
      </c>
      <c r="B103" s="17"/>
      <c r="C103" s="20" t="b">
        <f>C60</f>
        <v>0</v>
      </c>
      <c r="D103" s="17"/>
      <c r="E103" s="17"/>
      <c r="F103" s="17"/>
      <c r="G103" s="17"/>
      <c r="H103" s="17"/>
      <c r="I103" s="17" t="b">
        <f>I2</f>
        <v>1</v>
      </c>
      <c r="J103" s="17"/>
      <c r="K103" s="20" t="b">
        <f>K2</f>
        <v>0</v>
      </c>
      <c r="L103" s="17"/>
      <c r="M103" s="17" t="b">
        <f>M2</f>
        <v>1</v>
      </c>
      <c r="N103" s="17"/>
      <c r="O103" s="17"/>
      <c r="P103" s="17" t="b">
        <f>P2</f>
        <v>1</v>
      </c>
      <c r="Q103" s="17" t="b">
        <f>Q2</f>
        <v>1</v>
      </c>
      <c r="R103" s="17"/>
      <c r="S103" s="17"/>
      <c r="T103" s="17" t="b">
        <f>T7</f>
        <v>1</v>
      </c>
      <c r="U103" s="17"/>
      <c r="V103" s="17"/>
      <c r="W103" s="17"/>
      <c r="X103" s="17"/>
      <c r="Y103" s="17"/>
      <c r="Z103" s="17" t="b">
        <f t="shared" ref="Z103:AE103" si="60">Z2</f>
        <v>1</v>
      </c>
      <c r="AA103" s="17" t="b">
        <f t="shared" si="60"/>
        <v>1</v>
      </c>
      <c r="AB103" s="17" t="b">
        <f t="shared" si="60"/>
        <v>1</v>
      </c>
      <c r="AC103" s="17" t="b">
        <f t="shared" si="60"/>
        <v>1</v>
      </c>
      <c r="AD103" s="17" t="b">
        <f t="shared" si="60"/>
        <v>1</v>
      </c>
      <c r="AE103" s="17" t="b">
        <f t="shared" si="60"/>
        <v>1</v>
      </c>
      <c r="AF103" t="b">
        <f>AND(Table29[[#This Row],[Plaster]:[Hypoallergenic]])</f>
        <v>0</v>
      </c>
      <c r="AG103" s="29" t="s">
        <v>1520</v>
      </c>
      <c r="AH103" t="s">
        <v>1521</v>
      </c>
    </row>
    <row r="104" spans="1:34">
      <c r="A104" t="b">
        <f>IF(Table29[[#This Row],[Column52]],Table29[[#This Row],[Products]])</f>
        <v>0</v>
      </c>
      <c r="B104" s="20" t="b">
        <f>B2</f>
        <v>0</v>
      </c>
      <c r="C104" s="17"/>
      <c r="D104" s="17"/>
      <c r="E104" s="17"/>
      <c r="F104" s="17"/>
      <c r="G104" s="17"/>
      <c r="H104" s="17"/>
      <c r="I104" s="17" t="b">
        <f>I2</f>
        <v>1</v>
      </c>
      <c r="J104" s="17"/>
      <c r="K104" s="20" t="b">
        <f>K2</f>
        <v>0</v>
      </c>
      <c r="L104" s="17"/>
      <c r="M104" s="17" t="b">
        <f>M2</f>
        <v>1</v>
      </c>
      <c r="N104" s="17"/>
      <c r="O104" s="20" t="b">
        <f>O7</f>
        <v>0</v>
      </c>
      <c r="P104" s="17" t="b">
        <f>P2</f>
        <v>1</v>
      </c>
      <c r="Q104" s="17" t="b">
        <f>Q2</f>
        <v>1</v>
      </c>
      <c r="R104" s="20" t="b">
        <f>R2</f>
        <v>0</v>
      </c>
      <c r="S104" s="17"/>
      <c r="T104" s="17" t="b">
        <f>T7</f>
        <v>1</v>
      </c>
      <c r="U104" s="17"/>
      <c r="V104" s="17"/>
      <c r="W104" s="20" t="b">
        <f>W9</f>
        <v>0</v>
      </c>
      <c r="X104" s="17"/>
      <c r="Y104" s="17"/>
      <c r="Z104" s="17" t="b">
        <f t="shared" ref="Z104:AE104" si="61">Z2</f>
        <v>1</v>
      </c>
      <c r="AA104" s="17" t="b">
        <f t="shared" si="61"/>
        <v>1</v>
      </c>
      <c r="AB104" s="17" t="b">
        <f t="shared" si="61"/>
        <v>1</v>
      </c>
      <c r="AC104" s="17" t="b">
        <f t="shared" si="61"/>
        <v>1</v>
      </c>
      <c r="AD104" s="17" t="b">
        <f t="shared" si="61"/>
        <v>1</v>
      </c>
      <c r="AE104" s="17" t="b">
        <f t="shared" si="61"/>
        <v>1</v>
      </c>
      <c r="AF104" t="b">
        <f>AND(Table29[[#This Row],[Plaster]:[Hypoallergenic]])</f>
        <v>0</v>
      </c>
      <c r="AG104" s="29" t="s">
        <v>1522</v>
      </c>
    </row>
    <row r="105" spans="1:34">
      <c r="A105" t="b">
        <f>IF(Table29[[#This Row],[Column52]],Table29[[#This Row],[Products]])</f>
        <v>0</v>
      </c>
      <c r="B105" s="20" t="b">
        <f>B2</f>
        <v>0</v>
      </c>
      <c r="C105" s="17"/>
      <c r="D105" s="17"/>
      <c r="E105" s="17"/>
      <c r="F105" s="17"/>
      <c r="G105" s="17"/>
      <c r="H105" s="17"/>
      <c r="I105" s="17" t="b">
        <f>I2</f>
        <v>1</v>
      </c>
      <c r="J105" s="17"/>
      <c r="K105" s="20" t="b">
        <f>K2</f>
        <v>0</v>
      </c>
      <c r="L105" s="17"/>
      <c r="M105" s="17" t="b">
        <f>M2</f>
        <v>1</v>
      </c>
      <c r="N105" s="20" t="b">
        <f>N2</f>
        <v>0</v>
      </c>
      <c r="O105" s="17"/>
      <c r="P105" s="20" t="b">
        <f>P7</f>
        <v>1</v>
      </c>
      <c r="Q105" s="20" t="b">
        <f>Q11</f>
        <v>1</v>
      </c>
      <c r="R105" s="17"/>
      <c r="S105" s="20" t="b">
        <f>S3</f>
        <v>0</v>
      </c>
      <c r="T105" s="17" t="b">
        <f>T7</f>
        <v>1</v>
      </c>
      <c r="U105" s="20" t="b">
        <f>U8</f>
        <v>0</v>
      </c>
      <c r="V105" s="17"/>
      <c r="W105" s="17"/>
      <c r="X105" s="17"/>
      <c r="Y105" s="17"/>
      <c r="Z105" s="20" t="b">
        <f>Z30</f>
        <v>1</v>
      </c>
      <c r="AA105" s="17" t="b">
        <f>AA2</f>
        <v>1</v>
      </c>
      <c r="AB105" s="17" t="b">
        <f>AB2</f>
        <v>1</v>
      </c>
      <c r="AC105" s="17" t="b">
        <f>AC2</f>
        <v>1</v>
      </c>
      <c r="AD105" s="17" t="b">
        <f>AD2</f>
        <v>1</v>
      </c>
      <c r="AE105" s="17" t="b">
        <f>AE2</f>
        <v>1</v>
      </c>
      <c r="AF105" t="b">
        <f>AND(Table29[[#This Row],[Plaster]:[Hypoallergenic]])</f>
        <v>0</v>
      </c>
      <c r="AG105" s="29" t="s">
        <v>1523</v>
      </c>
    </row>
    <row r="106" spans="1:34">
      <c r="A106" t="b">
        <f>IF(Table29[[#This Row],[Column52]],Table29[[#This Row],[Products]])</f>
        <v>0</v>
      </c>
      <c r="B106" s="20" t="b">
        <f>B2</f>
        <v>0</v>
      </c>
      <c r="C106" s="17"/>
      <c r="D106" s="17"/>
      <c r="E106" s="17"/>
      <c r="F106" s="17"/>
      <c r="G106" s="17"/>
      <c r="H106" s="17"/>
      <c r="I106" s="17" t="b">
        <f>I2</f>
        <v>1</v>
      </c>
      <c r="J106" s="17"/>
      <c r="K106" s="20" t="b">
        <f>K2</f>
        <v>0</v>
      </c>
      <c r="L106" s="17"/>
      <c r="M106" s="17" t="b">
        <f>M2</f>
        <v>1</v>
      </c>
      <c r="N106" s="17"/>
      <c r="O106" s="20" t="b">
        <f>O7</f>
        <v>0</v>
      </c>
      <c r="P106" s="17" t="b">
        <f>P2</f>
        <v>1</v>
      </c>
      <c r="Q106" s="17" t="b">
        <f>Q2</f>
        <v>1</v>
      </c>
      <c r="R106" s="17"/>
      <c r="S106" s="20" t="b">
        <f>S3</f>
        <v>0</v>
      </c>
      <c r="T106" s="17" t="b">
        <f>T7</f>
        <v>1</v>
      </c>
      <c r="U106" s="17"/>
      <c r="V106" s="17"/>
      <c r="W106" s="20" t="b">
        <f>W9</f>
        <v>0</v>
      </c>
      <c r="X106" s="17"/>
      <c r="Y106" s="17"/>
      <c r="Z106" s="17" t="b">
        <f>Z2</f>
        <v>1</v>
      </c>
      <c r="AA106" s="20" t="b">
        <f>AA31</f>
        <v>1</v>
      </c>
      <c r="AB106" s="17" t="b">
        <f>AB2</f>
        <v>1</v>
      </c>
      <c r="AC106" s="17" t="b">
        <f>AC2</f>
        <v>1</v>
      </c>
      <c r="AD106" s="17" t="b">
        <f>AD2</f>
        <v>1</v>
      </c>
      <c r="AE106" s="17" t="b">
        <f>AE2</f>
        <v>1</v>
      </c>
      <c r="AF106" t="b">
        <f>AND(Table29[[#This Row],[Plaster]:[Hypoallergenic]])</f>
        <v>0</v>
      </c>
      <c r="AG106" s="29" t="s">
        <v>1524</v>
      </c>
    </row>
    <row r="107" spans="1:34">
      <c r="A107" s="16" t="e">
        <f>IF(Table29[[#This Row],[Column52]],Table29[[#This Row],[Products]])</f>
        <v>#VALUE!</v>
      </c>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t="e">
        <f>AND(Table29[[#This Row],[Plaster]:[Hypoallergenic]])</f>
        <v>#VALUE!</v>
      </c>
      <c r="AG107" s="16"/>
    </row>
    <row r="108" spans="1:34">
      <c r="A108" t="e">
        <f>IF(Table29[[#This Row],[Column52]],Table29[[#This Row],[Products]])</f>
        <v>#VALUE!</v>
      </c>
      <c r="AF108" t="e">
        <f>AND(Table29[[#This Row],[Plaster]:[Hypoallergenic]])</f>
        <v>#VALUE!</v>
      </c>
    </row>
    <row r="109" spans="1:34">
      <c r="A109" t="e">
        <f>IF(Table29[[#This Row],[Column52]],Table29[[#This Row],[Products]])</f>
        <v>#VALUE!</v>
      </c>
      <c r="AF109" t="e">
        <f>AND(Table29[[#This Row],[Plaster]:[Hypoallergenic]])</f>
        <v>#VALUE!</v>
      </c>
    </row>
  </sheetData>
  <hyperlinks>
    <hyperlink ref="AG2" r:id="rId1" display="https://www.bandaid.ca/products/hydro-seal/blister-cushions-6-bandages" xr:uid="{00000000-0004-0000-2C00-000000000000}"/>
    <hyperlink ref="AG3" r:id="rId2" display="https://www.bandaid.ca/products/hydro-seal/cuts-scrapes-large-6-bandages" xr:uid="{00000000-0004-0000-2C00-000001000000}"/>
    <hyperlink ref="AG4" r:id="rId3" display="https://www.bandaid.ca/products/hydro-seal/extra-large-bandages-3ct" xr:uid="{00000000-0004-0000-2C00-000002000000}"/>
    <hyperlink ref="AG5" r:id="rId4" display="https://www.bandaid.ca/products/hydro-seal/blister-cushions-fingers-and-toes-8-bandages" xr:uid="{00000000-0004-0000-2C00-000003000000}"/>
    <hyperlink ref="AG6" r:id="rId5" display="https://www.bandaid.ca/products/hydro-seal/finger-bandages-10ct" xr:uid="{00000000-0004-0000-2C00-000004000000}"/>
    <hyperlink ref="AG7" r:id="rId6" display="https://www.bandaid.ca/products/skin-flex/skin-flex-extra-large-7ct" xr:uid="{00000000-0004-0000-2C00-000005000000}"/>
    <hyperlink ref="AG8" r:id="rId7" display="https://www.bandaid.ca/products/skin-flex/skin-flex-assorted-60ct" xr:uid="{00000000-0004-0000-2C00-000006000000}"/>
    <hyperlink ref="AG9" r:id="rId8" display="https://www.bandaid.ca/products/skin-flex/skin-flex-all-one-size-25ct" xr:uid="{00000000-0004-0000-2C00-000007000000}"/>
    <hyperlink ref="AG10" r:id="rId9" display="https://www.bandaid.ca/products/skin-flex/skin-flex-assorted-20ct" xr:uid="{00000000-0004-0000-2C00-000008000000}"/>
    <hyperlink ref="AG11" r:id="rId10" display="https://www.bandaid.ca/products/tough-strips-all-one-size-60-count" xr:uid="{00000000-0004-0000-2C00-000009000000}"/>
    <hyperlink ref="AG12" r:id="rId11" display="https://www.bandaid.ca/products/tough-strips-bandages/all-one-size-20-bandages" xr:uid="{00000000-0004-0000-2C00-00000A000000}"/>
    <hyperlink ref="AG13" r:id="rId12" display="https://www.bandaid.ca/products/tough-strips-bandages/finger-care-15-bandages" xr:uid="{00000000-0004-0000-2C00-00000B000000}"/>
    <hyperlink ref="AG14" r:id="rId13" display="https://www.bandaid.ca/products/tough-strips-bandages/extra-large-10-bandages" xr:uid="{00000000-0004-0000-2C00-00000C000000}"/>
    <hyperlink ref="AG15" r:id="rId14" display="https://www.bandaid.ca/products/tough-strips-waterproof-bandages/all-one-size-20-bandages" xr:uid="{00000000-0004-0000-2C00-00000D000000}"/>
    <hyperlink ref="AG16" r:id="rId15" display="https://www.bandaid.ca/products/tough-strips-waterproof-bandages/extra-large-10-bandages" xr:uid="{00000000-0004-0000-2C00-00000E000000}"/>
    <hyperlink ref="AG17" r:id="rId16" display="https://www.bandaid.ca/products/wet-flex-bandages/assorted-value-pack-60-bandages" xr:uid="{00000000-0004-0000-2C00-00000F000000}"/>
    <hyperlink ref="AG18" r:id="rId17" display="https://www.bandaid.ca/products/waterproof-bandages/clear-assorted-30-bandages" xr:uid="{00000000-0004-0000-2C00-000010000000}"/>
    <hyperlink ref="AG19" r:id="rId18" display="https://www.bandaid.ca/products/waterproof-bandages/water-block-plus-finger-care-20-bandages" xr:uid="{00000000-0004-0000-2C00-000011000000}"/>
    <hyperlink ref="AG20" r:id="rId19" display="https://www.bandaid.ca/products/waterproof-bandages/10-bandages" xr:uid="{00000000-0004-0000-2C00-000012000000}"/>
    <hyperlink ref="AG21" r:id="rId20" display="https://www.bandaid.ca/products/plusantibiotic/assorted-20-bandages" xr:uid="{00000000-0004-0000-2C00-000013000000}"/>
    <hyperlink ref="AG22" r:id="rId21" display="https://www.bandaid.ca/products/fabric-bandages/assorted-value-pack-80-bandages" xr:uid="{00000000-0004-0000-2C00-000014000000}"/>
    <hyperlink ref="AG23" r:id="rId22" display="https://www.bandaid.ca/products/fabric-bandages/assorted-family-pack-50-bandages" xr:uid="{00000000-0004-0000-2C00-000015000000}"/>
    <hyperlink ref="AG24" r:id="rId23" display="https://www.bandaid.ca/products/fabric-bandages/knuckle-and-fingertip-20-bandages" xr:uid="{00000000-0004-0000-2C00-000016000000}"/>
    <hyperlink ref="AG25" r:id="rId24" display="https://www.bandaid.ca/products/fabric-bandages/extra-large-10-bandages" xr:uid="{00000000-0004-0000-2C00-000017000000}"/>
    <hyperlink ref="AG26" r:id="rId25" display="https://www.bandaid.ca/products/fabric-bandages/travel-pack-8-bandages" xr:uid="{00000000-0004-0000-2C00-000018000000}"/>
    <hyperlink ref="AG27" r:id="rId26" display="https://www.bandaid.ca/products/plastic-bandages/assorted-value-pack-80-bandages" xr:uid="{00000000-0004-0000-2C00-000019000000}"/>
    <hyperlink ref="AG28" r:id="rId27" display="https://www.bandaid.ca/products/plastic-bandages/assorted-strips-family-pack-60-bandages" xr:uid="{00000000-0004-0000-2C00-00001A000000}"/>
    <hyperlink ref="AG29" r:id="rId28" display="https://www.bandaid.ca/products/plastic-bandages/clear-all-one-size-bandages" xr:uid="{00000000-0004-0000-2C00-00001B000000}"/>
    <hyperlink ref="AG30" r:id="rId29" display="https://www.bandaid.ca/products/variety-pack-bandages/variety-pack-assorted-30-bandages" xr:uid="{00000000-0004-0000-2C00-00001C000000}"/>
    <hyperlink ref="AG31" r:id="rId30" xr:uid="{00000000-0004-0000-2C00-00001D000000}"/>
    <hyperlink ref="AG32" r:id="rId31" xr:uid="{00000000-0004-0000-2C00-00001E000000}"/>
    <hyperlink ref="AG33" r:id="rId32" xr:uid="{00000000-0004-0000-2C00-00001F000000}"/>
    <hyperlink ref="AG34" r:id="rId33" xr:uid="{00000000-0004-0000-2C00-000020000000}"/>
    <hyperlink ref="AG35" r:id="rId34" xr:uid="{00000000-0004-0000-2C00-000021000000}"/>
    <hyperlink ref="AG36" r:id="rId35" xr:uid="{00000000-0004-0000-2C00-000022000000}"/>
    <hyperlink ref="AG37" r:id="rId36" xr:uid="{00000000-0004-0000-2C00-000023000000}"/>
    <hyperlink ref="AG38" r:id="rId37" xr:uid="{00000000-0004-0000-2C00-000024000000}"/>
    <hyperlink ref="AG39" r:id="rId38" xr:uid="{00000000-0004-0000-2C00-000025000000}"/>
    <hyperlink ref="AG40" r:id="rId39" xr:uid="{00000000-0004-0000-2C00-000026000000}"/>
    <hyperlink ref="AG41" r:id="rId40" xr:uid="{00000000-0004-0000-2C00-000027000000}"/>
    <hyperlink ref="AG42" r:id="rId41" display="https://www.bandaid.ca/products/waterproof-tape/waterproof-tape-12-cm-91-m" xr:uid="{00000000-0004-0000-2C00-000028000000}"/>
    <hyperlink ref="AG43" r:id="rId42" xr:uid="{00000000-0004-0000-2C00-000029000000}"/>
    <hyperlink ref="AG44" r:id="rId43" xr:uid="{00000000-0004-0000-2C00-00002A000000}"/>
    <hyperlink ref="AG45" r:id="rId44" xr:uid="{00000000-0004-0000-2C00-00002B000000}"/>
    <hyperlink ref="AG46" r:id="rId45" xr:uid="{00000000-0004-0000-2C00-00002C000000}"/>
    <hyperlink ref="AG47" r:id="rId46" xr:uid="{00000000-0004-0000-2C00-00002D000000}"/>
    <hyperlink ref="AG48" r:id="rId47" xr:uid="{00000000-0004-0000-2C00-00002E000000}"/>
    <hyperlink ref="AG49" r:id="rId48" xr:uid="{00000000-0004-0000-2C00-00002F000000}"/>
    <hyperlink ref="AG50" r:id="rId49" xr:uid="{00000000-0004-0000-2C00-000030000000}"/>
    <hyperlink ref="AG51" r:id="rId50" xr:uid="{00000000-0004-0000-2C00-000031000000}"/>
    <hyperlink ref="AG52" r:id="rId51" xr:uid="{00000000-0004-0000-2C00-000032000000}"/>
    <hyperlink ref="AG53" r:id="rId52" xr:uid="{00000000-0004-0000-2C00-000033000000}"/>
    <hyperlink ref="AG54" r:id="rId53" xr:uid="{00000000-0004-0000-2C00-000034000000}"/>
    <hyperlink ref="AG55" r:id="rId54" xr:uid="{00000000-0004-0000-2C00-000035000000}"/>
    <hyperlink ref="AG56" r:id="rId55" xr:uid="{00000000-0004-0000-2C00-000036000000}"/>
    <hyperlink ref="AG57" r:id="rId56" xr:uid="{00000000-0004-0000-2C00-000037000000}"/>
    <hyperlink ref="AG58" r:id="rId57" xr:uid="{00000000-0004-0000-2C00-000038000000}"/>
    <hyperlink ref="AG60" r:id="rId58" xr:uid="{00000000-0004-0000-2C00-000039000000}"/>
    <hyperlink ref="AG61" r:id="rId59" xr:uid="{00000000-0004-0000-2C00-00003A000000}"/>
    <hyperlink ref="AG63" r:id="rId60" display="Elastic Tubular Support Bandage" xr:uid="{00000000-0004-0000-2C00-00003B000000}"/>
    <hyperlink ref="AG64" r:id="rId61" display="Hi-Stretch Support and Compression Bandages" xr:uid="{00000000-0004-0000-2C00-00003C000000}"/>
    <hyperlink ref="AG65" r:id="rId62" location="application" xr:uid="{00000000-0004-0000-2C00-00003D000000}"/>
    <hyperlink ref="AG66" r:id="rId63" xr:uid="{00000000-0004-0000-2C00-00003E000000}"/>
    <hyperlink ref="AG67" r:id="rId64" location="details" xr:uid="{00000000-0004-0000-2C00-00003F000000}"/>
    <hyperlink ref="AG68" r:id="rId65" xr:uid="{00000000-0004-0000-2C00-000040000000}"/>
    <hyperlink ref="AG69" r:id="rId66" xr:uid="{00000000-0004-0000-2C00-000041000000}"/>
    <hyperlink ref="AG70" r:id="rId67" xr:uid="{00000000-0004-0000-2C00-000042000000}"/>
    <hyperlink ref="AG71" r:id="rId68" xr:uid="{00000000-0004-0000-2C00-000043000000}"/>
    <hyperlink ref="AG72" r:id="rId69" xr:uid="{00000000-0004-0000-2C00-000044000000}"/>
    <hyperlink ref="AG73" r:id="rId70" xr:uid="{00000000-0004-0000-2C00-000045000000}"/>
    <hyperlink ref="AG74" r:id="rId71" xr:uid="{00000000-0004-0000-2C00-000046000000}"/>
    <hyperlink ref="AG75" r:id="rId72" xr:uid="{00000000-0004-0000-2C00-000047000000}"/>
    <hyperlink ref="AG76" r:id="rId73" xr:uid="{00000000-0004-0000-2C00-000048000000}"/>
    <hyperlink ref="AG77" r:id="rId74" xr:uid="{00000000-0004-0000-2C00-000049000000}"/>
    <hyperlink ref="AG78" r:id="rId75" xr:uid="{00000000-0004-0000-2C00-00004A000000}"/>
    <hyperlink ref="AG79" r:id="rId76" xr:uid="{00000000-0004-0000-2C00-00004B000000}"/>
    <hyperlink ref="AG80" r:id="rId77" xr:uid="{00000000-0004-0000-2C00-00004C000000}"/>
    <hyperlink ref="AG81" r:id="rId78" xr:uid="{00000000-0004-0000-2C00-00004D000000}"/>
    <hyperlink ref="AG82" r:id="rId79" xr:uid="{00000000-0004-0000-2C00-00004E000000}"/>
    <hyperlink ref="AG83" r:id="rId80" xr:uid="{00000000-0004-0000-2C00-00004F000000}"/>
    <hyperlink ref="AG84" r:id="rId81" xr:uid="{00000000-0004-0000-2C00-000050000000}"/>
    <hyperlink ref="AG85" r:id="rId82" xr:uid="{00000000-0004-0000-2C00-000051000000}"/>
    <hyperlink ref="AG86" r:id="rId83" xr:uid="{00000000-0004-0000-2C00-000052000000}"/>
    <hyperlink ref="AG87" r:id="rId84" xr:uid="{00000000-0004-0000-2C00-000053000000}"/>
    <hyperlink ref="AG88" r:id="rId85" location="details" xr:uid="{00000000-0004-0000-2C00-000054000000}"/>
    <hyperlink ref="AG90" r:id="rId86" xr:uid="{00000000-0004-0000-2C00-000055000000}"/>
    <hyperlink ref="AG91" r:id="rId87" xr:uid="{00000000-0004-0000-2C00-000056000000}"/>
    <hyperlink ref="AG92" r:id="rId88" xr:uid="{00000000-0004-0000-2C00-000057000000}"/>
    <hyperlink ref="AG93" r:id="rId89" xr:uid="{00000000-0004-0000-2C00-000058000000}"/>
    <hyperlink ref="AG94" r:id="rId90" xr:uid="{00000000-0004-0000-2C00-000059000000}"/>
    <hyperlink ref="AG95" r:id="rId91" display="Nexcare™ Cushioned Adhesive Pad AWP-34-CA, Waterproof, 3 in x 4 in (76.2 mm x 101 mm), 4/Pack" xr:uid="{00000000-0004-0000-2C00-00005A000000}"/>
    <hyperlink ref="AG96" r:id="rId92" xr:uid="{00000000-0004-0000-2C00-00005B000000}"/>
    <hyperlink ref="AG97" r:id="rId93" xr:uid="{00000000-0004-0000-2C00-00005C000000}"/>
    <hyperlink ref="AG98" r:id="rId94" xr:uid="{00000000-0004-0000-2C00-00005D000000}"/>
    <hyperlink ref="AG99" r:id="rId95" xr:uid="{00000000-0004-0000-2C00-00005E000000}"/>
    <hyperlink ref="AG100" r:id="rId96" xr:uid="{00000000-0004-0000-2C00-00005F000000}"/>
    <hyperlink ref="AG101" r:id="rId97" xr:uid="{00000000-0004-0000-2C00-000060000000}"/>
    <hyperlink ref="AG102" r:id="rId98" xr:uid="{00000000-0004-0000-2C00-000061000000}"/>
    <hyperlink ref="AG103" r:id="rId99" xr:uid="{00000000-0004-0000-2C00-000062000000}"/>
    <hyperlink ref="AG104" r:id="rId100" xr:uid="{00000000-0004-0000-2C00-000063000000}"/>
    <hyperlink ref="AG105" r:id="rId101" xr:uid="{00000000-0004-0000-2C00-000064000000}"/>
    <hyperlink ref="AG106" r:id="rId102" xr:uid="{00000000-0004-0000-2C00-000065000000}"/>
  </hyperlinks>
  <pageMargins left="0.7" right="0.7" top="0.75" bottom="0.75" header="0.3" footer="0.3"/>
  <pageSetup orientation="portrait" r:id="rId103"/>
  <tableParts count="1">
    <tablePart r:id="rId104"/>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C26"/>
  <sheetViews>
    <sheetView workbookViewId="0">
      <selection activeCell="C31" sqref="C31"/>
    </sheetView>
  </sheetViews>
  <sheetFormatPr defaultRowHeight="15"/>
  <cols>
    <col min="1" max="1" width="54.140625" customWidth="1"/>
  </cols>
  <sheetData>
    <row r="1" spans="1:3" ht="15.75" thickTop="1">
      <c r="A1" s="3" t="s">
        <v>15</v>
      </c>
      <c r="B1" s="7" t="s">
        <v>18</v>
      </c>
    </row>
    <row r="2" spans="1:3" ht="15.75" thickBot="1">
      <c r="B2" s="4"/>
    </row>
    <row r="3" spans="1:3" ht="15.75" thickBot="1">
      <c r="A3" s="1" t="s">
        <v>1888</v>
      </c>
      <c r="B3" s="33" t="b">
        <v>0</v>
      </c>
      <c r="C3" t="b">
        <f>NOT(B3)</f>
        <v>1</v>
      </c>
    </row>
    <row r="4" spans="1:3" ht="15.75" thickBot="1">
      <c r="A4" s="1" t="s">
        <v>1687</v>
      </c>
      <c r="B4" s="33" t="b">
        <v>0</v>
      </c>
      <c r="C4" t="b">
        <f t="shared" ref="C4:C6" si="0">NOT(B4)</f>
        <v>1</v>
      </c>
    </row>
    <row r="5" spans="1:3" ht="15.75" thickBot="1">
      <c r="A5" s="1" t="s">
        <v>1688</v>
      </c>
      <c r="B5" s="33" t="b">
        <v>0</v>
      </c>
      <c r="C5" t="b">
        <f t="shared" si="0"/>
        <v>1</v>
      </c>
    </row>
    <row r="6" spans="1:3" ht="15.75" thickBot="1">
      <c r="A6" s="174" t="s">
        <v>2021</v>
      </c>
      <c r="B6" s="214" t="b">
        <v>0</v>
      </c>
      <c r="C6" t="b">
        <f t="shared" si="0"/>
        <v>1</v>
      </c>
    </row>
    <row r="7" spans="1:3" ht="15.75" thickBot="1">
      <c r="A7" s="162" t="s">
        <v>1711</v>
      </c>
      <c r="B7" s="183" t="b">
        <v>0</v>
      </c>
      <c r="C7" t="b">
        <f>NOT(B7)</f>
        <v>1</v>
      </c>
    </row>
    <row r="8" spans="1:3" ht="15.75" thickBot="1">
      <c r="A8" s="174" t="s">
        <v>2020</v>
      </c>
      <c r="B8" s="214" t="b">
        <v>0</v>
      </c>
      <c r="C8" t="b">
        <f>NOT(B8)</f>
        <v>1</v>
      </c>
    </row>
    <row r="9" spans="1:3" ht="15.75" thickBot="1">
      <c r="A9" s="161" t="s">
        <v>1689</v>
      </c>
      <c r="B9" s="181" t="b">
        <v>0</v>
      </c>
      <c r="C9" t="b">
        <f>NOT(B9)</f>
        <v>1</v>
      </c>
    </row>
    <row r="10" spans="1:3" ht="15.75" thickBot="1">
      <c r="A10" s="161" t="s">
        <v>1686</v>
      </c>
      <c r="B10" s="181" t="b">
        <v>0</v>
      </c>
      <c r="C10" t="b">
        <f t="shared" ref="C10" si="1">NOT(B10)</f>
        <v>1</v>
      </c>
    </row>
    <row r="11" spans="1:3" ht="15.75" thickBot="1">
      <c r="A11" s="162" t="s">
        <v>1969</v>
      </c>
      <c r="B11" s="183" t="b">
        <v>0</v>
      </c>
      <c r="C11" t="b">
        <f>NOT(B11)</f>
        <v>1</v>
      </c>
    </row>
    <row r="12" spans="1:3" ht="15.75" thickBot="1">
      <c r="A12" s="1" t="s">
        <v>1690</v>
      </c>
      <c r="B12" s="33" t="b">
        <v>0</v>
      </c>
      <c r="C12" t="b">
        <f t="shared" ref="C12:C13" si="2">NOT(B12)</f>
        <v>1</v>
      </c>
    </row>
    <row r="13" spans="1:3" ht="15.75" thickBot="1">
      <c r="A13" s="174" t="s">
        <v>1691</v>
      </c>
      <c r="B13" s="214" t="b">
        <v>0</v>
      </c>
      <c r="C13" t="b">
        <f t="shared" si="2"/>
        <v>1</v>
      </c>
    </row>
    <row r="14" spans="1:3" ht="15.75" thickBot="1">
      <c r="A14" s="55" t="s">
        <v>1692</v>
      </c>
      <c r="B14" s="147" t="b">
        <v>0</v>
      </c>
      <c r="C14" t="b">
        <f>NOT(B14)</f>
        <v>1</v>
      </c>
    </row>
    <row r="15" spans="1:3" ht="15.75" thickBot="1">
      <c r="A15" s="55" t="s">
        <v>1693</v>
      </c>
      <c r="B15" s="147" t="b">
        <v>0</v>
      </c>
      <c r="C15" t="b">
        <f>NOT(B15)</f>
        <v>1</v>
      </c>
    </row>
    <row r="16" spans="1:3" ht="15.75" thickBot="1">
      <c r="A16" s="161" t="s">
        <v>1694</v>
      </c>
      <c r="B16" s="181" t="b">
        <v>0</v>
      </c>
      <c r="C16" t="b">
        <f t="shared" ref="C16:C18" si="3">NOT(B16)</f>
        <v>1</v>
      </c>
    </row>
    <row r="17" spans="1:3" ht="15.75" thickBot="1">
      <c r="A17" s="1" t="s">
        <v>1695</v>
      </c>
      <c r="B17" s="33" t="b">
        <v>0</v>
      </c>
      <c r="C17" t="b">
        <f t="shared" si="3"/>
        <v>1</v>
      </c>
    </row>
    <row r="18" spans="1:3" ht="15.75" thickBot="1">
      <c r="A18" s="1" t="s">
        <v>1696</v>
      </c>
      <c r="B18" s="33" t="b">
        <v>0</v>
      </c>
      <c r="C18" t="b">
        <f t="shared" si="3"/>
        <v>1</v>
      </c>
    </row>
    <row r="19" spans="1:3" ht="15.75" thickBot="1">
      <c r="A19" s="186" t="s">
        <v>1889</v>
      </c>
      <c r="B19" s="187" t="b">
        <v>0</v>
      </c>
      <c r="C19" t="b">
        <f>NOT(B19)</f>
        <v>1</v>
      </c>
    </row>
    <row r="20" spans="1:3" ht="15.75" thickBot="1">
      <c r="A20" s="186" t="s">
        <v>1890</v>
      </c>
      <c r="B20" s="187" t="b">
        <v>0</v>
      </c>
      <c r="C20" t="b">
        <f t="shared" ref="C20:C21" si="4">NOT(B20)</f>
        <v>1</v>
      </c>
    </row>
    <row r="21" spans="1:3" ht="15.75" thickBot="1">
      <c r="A21" s="186" t="s">
        <v>1891</v>
      </c>
      <c r="B21" s="187" t="b">
        <v>0</v>
      </c>
      <c r="C21" t="b">
        <f t="shared" si="4"/>
        <v>1</v>
      </c>
    </row>
    <row r="22" spans="1:3" ht="15.75" thickBot="1">
      <c r="A22" s="188" t="s">
        <v>1697</v>
      </c>
      <c r="B22" s="189" t="b">
        <v>0</v>
      </c>
      <c r="C22" t="b">
        <f>NOT(B22)</f>
        <v>1</v>
      </c>
    </row>
    <row r="23" spans="1:3" ht="15.75" thickBot="1">
      <c r="A23" s="188" t="s">
        <v>1698</v>
      </c>
      <c r="B23" s="189" t="b">
        <v>0</v>
      </c>
      <c r="C23" t="b">
        <f t="shared" ref="C23:C26" si="5">NOT(B23)</f>
        <v>1</v>
      </c>
    </row>
    <row r="24" spans="1:3" ht="15.75" thickBot="1">
      <c r="A24" s="188" t="s">
        <v>1699</v>
      </c>
      <c r="B24" s="189" t="b">
        <v>0</v>
      </c>
      <c r="C24" t="b">
        <f t="shared" si="5"/>
        <v>1</v>
      </c>
    </row>
    <row r="25" spans="1:3" ht="15.75" thickBot="1">
      <c r="A25" s="1" t="s">
        <v>1700</v>
      </c>
      <c r="B25" s="33" t="b">
        <v>0</v>
      </c>
      <c r="C25" t="b">
        <f t="shared" si="5"/>
        <v>1</v>
      </c>
    </row>
    <row r="26" spans="1:3" ht="15.75" thickBot="1">
      <c r="A26" s="1" t="s">
        <v>1701</v>
      </c>
      <c r="B26" s="33" t="b">
        <v>0</v>
      </c>
      <c r="C26" t="b">
        <f t="shared" si="5"/>
        <v>1</v>
      </c>
    </row>
  </sheetData>
  <dataValidations count="1">
    <dataValidation allowBlank="1" showInputMessage="1" showErrorMessage="1" prompt="Consult your pharmacist if unsure" sqref="A3:A26" xr:uid="{00000000-0002-0000-2D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4">
        <x14:dataValidation type="list" showInputMessage="1" showErrorMessage="1" error="Please answer as Yes or No" prompt="Some products have ingredients to support immune health of the developing child, protect against harmful bacteria or feed good bacteria in the baby'gut." xr:uid="{00000000-0002-0000-2D00-000001000000}">
          <x14:formula1>
            <xm:f>random!$A$2:$A$3</xm:f>
          </x14:formula1>
          <xm:sqref>B3</xm:sqref>
        </x14:dataValidation>
        <x14:dataValidation type="list" showInputMessage="1" showErrorMessage="1" error="Please answer as Yes or No" prompt="Omega fatty acids such as DHA help support the development of the baby’s brain and eyes." xr:uid="{00000000-0002-0000-2D00-000002000000}">
          <x14:formula1>
            <xm:f>random!$A$2:$A$3</xm:f>
          </x14:formula1>
          <xm:sqref>B4</xm:sqref>
        </x14:dataValidation>
        <x14:dataValidation type="list" showInputMessage="1" showErrorMessage="1" error="Please answer as Yes or No" prompt="Lutein is an antioxidant found in solid foods like leafy greens, corn, and eggs. Antoixidants including lutein and vitamin E help protect fatty acids from oxidation." xr:uid="{00000000-0002-0000-2D00-000003000000}">
          <x14:formula1>
            <xm:f>random!$A$2:$A$3</xm:f>
          </x14:formula1>
          <xm:sqref>B12</xm:sqref>
        </x14:dataValidation>
        <x14:dataValidation type="list" showInputMessage="1" showErrorMessage="1" error="Please answer as Yes or No" prompt="Vitamin E is an antioxidant foud in solid foods like dark leafy greens, eggs, fish, nuts, and seeds. Antoixidants including lutein and vitamin E help protect fatty acids from oxidation. Similac and Nestle products generally contain vitamin E." xr:uid="{00000000-0002-0000-2D00-000004000000}">
          <x14:formula1>
            <xm:f>random!$A$2:$A$3</xm:f>
          </x14:formula1>
          <xm:sqref>B13</xm:sqref>
        </x14:dataValidation>
        <x14:dataValidation type="list" showInputMessage="1" showErrorMessage="1" error="Please answer as Yes or No" prompt="Some products contain dietary fiber which help regulate baby's bowel movements and soften stools." xr:uid="{00000000-0002-0000-2D00-000005000000}">
          <x14:formula1>
            <xm:f>random!$A$2:$A$3</xm:f>
          </x14:formula1>
          <xm:sqref>B5</xm:sqref>
        </x14:dataValidation>
        <x14:dataValidation type="list" showInputMessage="1" showErrorMessage="1" error="Please answer as Yes or No" prompt="GMO-free products are made without genetic engineering and not derived from GMOs. Products are compliant with Non-GMO standard which includes stringent provisions for testing, traceability, and segregation. Generally, Similac and Nestle brands are non-GMO" xr:uid="{00000000-0002-0000-2D00-000006000000}">
          <x14:formula1>
            <xm:f>random!$A$2:$A$3</xm:f>
          </x14:formula1>
          <xm:sqref>B6</xm:sqref>
        </x14:dataValidation>
        <x14:dataValidation type="list" showInputMessage="1" showErrorMessage="1" error="Please answer as Yes or No" prompt="Some products contain both milk and soy products or derivatives as essential ingredients. " xr:uid="{00000000-0002-0000-2D00-000007000000}">
          <x14:formula1>
            <xm:f>random!$A$2:$A$3</xm:f>
          </x14:formula1>
          <xm:sqref>B7</xm:sqref>
        </x14:dataValidation>
        <x14:dataValidation type="list" showInputMessage="1" showErrorMessage="1" error="Please answer as Yes or No" prompt="Some products contain soy products or derivatives as an essential ingredient and contain no milk. Can be used for babies with milk protein sensitivities. Ideal for those who wish to avoid milk for health, culturla or religious reasons. " xr:uid="{00000000-0002-0000-2D00-000008000000}">
          <x14:formula1>
            <xm:f>random!$A$2:$A$3</xm:f>
          </x14:formula1>
          <xm:sqref>B11</xm:sqref>
        </x14:dataValidation>
        <x14:dataValidation type="list" showInputMessage="1" showErrorMessage="1" error="Please answer as Yes or No" prompt="Some products are made with milk from cows not treated with artificial growth hormones. The Similac line of products is generally made with milk from cows not treated with hormones." xr:uid="{00000000-0002-0000-2D00-000009000000}">
          <x14:formula1>
            <xm:f>random!$A$2:$A$3</xm:f>
          </x14:formula1>
          <xm:sqref>B8</xm:sqref>
        </x14:dataValidation>
        <x14:dataValidation type="list" showInputMessage="1" showErrorMessage="1" error="Please answer as Yes or No" prompt="Some products are formulated to qualify as kosher or halal and meet the food preparation requirements of the Jewsih, Muslim or Islamic faith and law." xr:uid="{00000000-0002-0000-2D00-00000A000000}">
          <x14:formula1>
            <xm:f>random!$A$2:$A$3</xm:f>
          </x14:formula1>
          <xm:sqref>B25</xm:sqref>
        </x14:dataValidation>
        <x14:dataValidation type="list" showInputMessage="1" showErrorMessage="1" error="Please answer as Yes or No" prompt="Some products are made with natural ingredients grown without the use of chemical fertilizers, pesticides, or other artificial agents." xr:uid="{00000000-0002-0000-2D00-00000B000000}">
          <x14:formula1>
            <xm:f>random!$A$2:$A$3</xm:f>
          </x14:formula1>
          <xm:sqref>B26</xm:sqref>
        </x14:dataValidation>
        <x14:dataValidation type="list" showInputMessage="1" showErrorMessage="1" error="Please answer as Yes or No" prompt="Some products are available as a powder formula that can be easily prepared into ready to use formula. Such products are easily stored, may represent a cost savings and be more environmentally friendly (less waste)." xr:uid="{00000000-0002-0000-2D00-00000C000000}">
          <x14:formula1>
            <xm:f>random!$A$2:$A$3</xm:f>
          </x14:formula1>
          <xm:sqref>B22</xm:sqref>
        </x14:dataValidation>
        <x14:dataValidation type="list" showInputMessage="1" showErrorMessage="1" error="Please answer as Yes or No" prompt="Some products may be available as a liquid concentrate. These products retain most advantages of powder formula but are more easily prepared for use." xr:uid="{00000000-0002-0000-2D00-00000D000000}">
          <x14:formula1>
            <xm:f>random!$A$2:$A$3</xm:f>
          </x14:formula1>
          <xm:sqref>B23</xm:sqref>
        </x14:dataValidation>
        <x14:dataValidation type="list" showInputMessage="1" showErrorMessage="1" error="Please answer as Yes or No" prompt="Some products are available in ready to use formula. Such products are easy to administer and highly mobile. May be more costly than other options, produce more waste and have shorter expiry dates." xr:uid="{00000000-0002-0000-2D00-00000E000000}">
          <x14:formula1>
            <xm:f>random!$A$2:$A$3</xm:f>
          </x14:formula1>
          <xm:sqref>B24</xm:sqref>
        </x14:dataValidation>
        <x14:dataValidation type="list" showInputMessage="1" showErrorMessage="1" error="Please answer as Yes or No" prompt="Some products are formulated for lactose-sensitive babies. Ideal option for babies with frequent gas or fussiness. Not recommended for babies with milk protein allergies. " xr:uid="{00000000-0002-0000-2D00-00000F000000}">
          <x14:formula1>
            <xm:f>random!$A$2:$A$3</xm:f>
          </x14:formula1>
          <xm:sqref>B9</xm:sqref>
        </x14:dataValidation>
        <x14:dataValidation type="list" showInputMessage="1" showErrorMessage="1" error="Please answer as Yes or No" prompt="Some products are hypoallergenic and are suitable for babies with milk protein allergies, colic symptoms due to protein sensitivity or for babies with severe food allergies. " xr:uid="{00000000-0002-0000-2D00-000010000000}">
          <x14:formula1>
            <xm:f>random!$A$2:$A$3</xm:f>
          </x14:formula1>
          <xm:sqref>B10</xm:sqref>
        </x14:dataValidation>
        <x14:dataValidation type="list" showInputMessage="1" showErrorMessage="1" error="Please answer as Yes or No" prompt="Some products are formulated with low iron levels to reduce the iron related gastrointestinal adverse effects. Iron can sometimes cause nausea, vomitting, constipation, diarrhea, dark stools and heart burn." xr:uid="{00000000-0002-0000-2D00-000011000000}">
          <x14:formula1>
            <xm:f>random!$A$2:$A$3</xm:f>
          </x14:formula1>
          <xm:sqref>B14</xm:sqref>
        </x14:dataValidation>
        <x14:dataValidation type="list" showInputMessage="1" showErrorMessage="1" error="Please answer as Yes or No" prompt="As your baby grows, their nutritional needs and requirments change. Some products are fortified with iron to help with their development. Iron plays essential role in enzyme reactions and oxygen transportation." xr:uid="{00000000-0002-0000-2D00-000012000000}">
          <x14:formula1>
            <xm:f>random!$A$2:$A$3</xm:f>
          </x14:formula1>
          <xm:sqref>B15</xm:sqref>
        </x14:dataValidation>
        <x14:dataValidation type="list" showInputMessage="1" showErrorMessage="1" error="Please answer as Yes or No" prompt="Some products are made using partially broken down milk proteins. These products are easier to digest by babies leading to less fussiness, tummy aches, gas, spit-up and discomfort. " xr:uid="{00000000-0002-0000-2D00-000013000000}">
          <x14:formula1>
            <xm:f>random!$A$2:$A$3</xm:f>
          </x14:formula1>
          <xm:sqref>B16</xm:sqref>
        </x14:dataValidation>
        <x14:dataValidation type="list" showInputMessage="1" showErrorMessage="1" error="Please answer as Yes or No" prompt="Some products are enriched with more calories, protein, and select vitamins and minerals. These products may promote the catch-up growth and development of preterm babies or alternatively support the increasing nutritional needs older children. " xr:uid="{00000000-0002-0000-2D00-000014000000}">
          <x14:formula1>
            <xm:f>random!$A$2:$A$3</xm:f>
          </x14:formula1>
          <xm:sqref>B17</xm:sqref>
        </x14:dataValidation>
        <x14:dataValidation type="list" showInputMessage="1" showErrorMessage="1" error="Please answer as Yes or No" prompt="Some products are enriched with calcium to support the development of growing bones and muscles.  " xr:uid="{00000000-0002-0000-2D00-000015000000}">
          <x14:formula1>
            <xm:f>random!$A$2:$A$3</xm:f>
          </x14:formula1>
          <xm:sqref>B18</xm:sqref>
        </x14:dataValidation>
        <x14:dataValidation type="list" showInputMessage="1" showErrorMessage="1" error="Please answer as Yes or No" prompt="Some products are enriched to support the growth of babies 6-24 months as they transition to a variety of solid foods and cow’s milk." xr:uid="{00000000-0002-0000-2D00-000016000000}">
          <x14:formula1>
            <xm:f>random!$A$2:$A$3</xm:f>
          </x14:formula1>
          <xm:sqref>B20</xm:sqref>
        </x14:dataValidation>
        <x14:dataValidation type="list" showInputMessage="1" showErrorMessage="1" error="Please answer as Yes or No" prompt="Some products are formulated to complement the nutrition of toddlers in addition to solid foods and breast milk." xr:uid="{00000000-0002-0000-2D00-000017000000}">
          <x14:formula1>
            <xm:f>random!$A$2:$A$3</xm:f>
          </x14:formula1>
          <xm:sqref>B21</xm:sqref>
        </x14:dataValidation>
        <x14:dataValidation type="list" showInputMessage="1" showErrorMessage="1" error="Please answer as Yes or No" prompt="Some products are formulated to be an alternative or substitute to breast milk for nursing newborns.   " xr:uid="{00000000-0002-0000-2D00-000018000000}">
          <x14:formula1>
            <xm:f>random!$A$2:$A$3</xm:f>
          </x14:formula1>
          <xm:sqref>B19</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AF40"/>
  <sheetViews>
    <sheetView workbookViewId="0">
      <selection activeCell="A7" sqref="A7"/>
    </sheetView>
  </sheetViews>
  <sheetFormatPr defaultRowHeight="15"/>
  <cols>
    <col min="1" max="1" width="32.5703125" customWidth="1"/>
    <col min="2" max="9" width="11" customWidth="1"/>
    <col min="10" max="10" width="7" customWidth="1"/>
    <col min="11" max="26" width="11" customWidth="1"/>
    <col min="27" max="27" width="62.42578125" customWidth="1"/>
  </cols>
  <sheetData>
    <row r="1" spans="1:28">
      <c r="A1" s="70" t="s">
        <v>1248</v>
      </c>
      <c r="B1" t="s">
        <v>1604</v>
      </c>
      <c r="C1" t="s">
        <v>1605</v>
      </c>
      <c r="D1" t="s">
        <v>520</v>
      </c>
      <c r="E1" t="s">
        <v>1606</v>
      </c>
      <c r="F1" t="s">
        <v>1607</v>
      </c>
      <c r="G1" t="s">
        <v>1712</v>
      </c>
      <c r="H1" t="s">
        <v>1621</v>
      </c>
      <c r="I1" t="s">
        <v>1020</v>
      </c>
      <c r="J1" t="s">
        <v>1609</v>
      </c>
      <c r="K1" t="s">
        <v>1608</v>
      </c>
      <c r="L1" t="s">
        <v>1610</v>
      </c>
      <c r="M1" t="s">
        <v>1618</v>
      </c>
      <c r="N1" t="s">
        <v>1636</v>
      </c>
      <c r="O1" t="s">
        <v>1649</v>
      </c>
      <c r="P1" t="s">
        <v>1628</v>
      </c>
      <c r="Q1" t="s">
        <v>1631</v>
      </c>
      <c r="R1" t="s">
        <v>1611</v>
      </c>
      <c r="S1" t="s">
        <v>1630</v>
      </c>
      <c r="T1" t="s">
        <v>1635</v>
      </c>
      <c r="U1" s="204" t="s">
        <v>1613</v>
      </c>
      <c r="V1" s="204" t="s">
        <v>1614</v>
      </c>
      <c r="W1" s="204" t="s">
        <v>1622</v>
      </c>
      <c r="X1" t="s">
        <v>1708</v>
      </c>
      <c r="Y1" t="s">
        <v>1710</v>
      </c>
      <c r="Z1" t="s">
        <v>592</v>
      </c>
      <c r="AA1" t="s">
        <v>1603</v>
      </c>
    </row>
    <row r="2" spans="1:28">
      <c r="A2" t="b">
        <f>IF(Table32[[#This Row],[Column8]],Table32[[#This Row],[Products2]])</f>
        <v>0</v>
      </c>
      <c r="B2" s="20" t="b">
        <f>OR('Infant Formula Criteria'!B3:C3)</f>
        <v>1</v>
      </c>
      <c r="C2" s="20" t="b">
        <f>OR('Infant Formula Criteria'!B4:C4)</f>
        <v>1</v>
      </c>
      <c r="D2" s="17" t="b">
        <f>AND('Infant Formula Criteria'!C5)</f>
        <v>1</v>
      </c>
      <c r="E2" s="20" t="b">
        <f>OR('Infant Formula Criteria'!B6:C6)</f>
        <v>1</v>
      </c>
      <c r="F2" s="20" t="b">
        <f>AND('Infant Formula Criteria'!B7,'Infant Formula Criteria'!C11)</f>
        <v>0</v>
      </c>
      <c r="G2" s="20" t="b">
        <f>OR('Infant Formula Criteria'!B8:C8)</f>
        <v>1</v>
      </c>
      <c r="H2" s="17" t="b">
        <f>AND('Infant Formula Criteria'!C9)</f>
        <v>1</v>
      </c>
      <c r="I2" s="17" t="b">
        <f>AND('Infant Formula Criteria'!C10)</f>
        <v>1</v>
      </c>
      <c r="J2" s="17"/>
      <c r="K2" s="20" t="b">
        <f>OR('Infant Formula Criteria'!B12:C12)</f>
        <v>1</v>
      </c>
      <c r="L2" s="20" t="b">
        <f>OR('Infant Formula Criteria'!B13:C13)</f>
        <v>1</v>
      </c>
      <c r="M2" s="17" t="b">
        <f>AND('Infant Formula Criteria'!C14)</f>
        <v>1</v>
      </c>
      <c r="N2" s="17" t="b">
        <f>AND('Infant Formula Criteria'!C15)</f>
        <v>1</v>
      </c>
      <c r="O2" s="17" t="b">
        <f>AND('Infant Formula Criteria'!C16)</f>
        <v>1</v>
      </c>
      <c r="P2" s="17" t="b">
        <f>AND('Infant Formula Criteria'!C17)</f>
        <v>1</v>
      </c>
      <c r="Q2" s="17" t="b">
        <f>AND('Infant Formula Criteria'!C18)</f>
        <v>1</v>
      </c>
      <c r="R2" s="20" t="b">
        <f>AND('Infant Formula Criteria'!B19,'Infant Formula Criteria'!C20:C21)</f>
        <v>0</v>
      </c>
      <c r="S2" s="17"/>
      <c r="T2" s="17"/>
      <c r="U2" s="20" t="b">
        <f>AND('Infant Formula Criteria'!B22)</f>
        <v>0</v>
      </c>
      <c r="V2" s="20" t="b">
        <f>AND('Infant Formula Criteria'!B24)</f>
        <v>0</v>
      </c>
      <c r="W2" s="17"/>
      <c r="X2" s="17" t="b">
        <f>AND('Infant Formula Criteria'!C25)</f>
        <v>1</v>
      </c>
      <c r="Y2" s="17" t="b">
        <f>AND('Infant Formula Criteria'!C26)</f>
        <v>1</v>
      </c>
      <c r="Z2" t="b">
        <f>AND(Table32[[#This Row],[Immune Support]:[12-36 Mnths]],Table32[[#This Row],[Kosher/Halal]:[Organic]],OR(Table32[[#This Row],[Powder]:[Con Liq]]))</f>
        <v>0</v>
      </c>
      <c r="AA2" s="29" t="s">
        <v>1602</v>
      </c>
    </row>
    <row r="3" spans="1:28">
      <c r="A3" t="b">
        <f>IF(Table32[[#This Row],[Column8]],Table32[[#This Row],[Products2]])</f>
        <v>0</v>
      </c>
      <c r="B3" s="17" t="b">
        <f>AND('Infant Formula Criteria'!C3)</f>
        <v>1</v>
      </c>
      <c r="C3" s="20" t="b">
        <f t="shared" ref="C3:I3" si="0">C2</f>
        <v>1</v>
      </c>
      <c r="D3" s="17" t="b">
        <f t="shared" si="0"/>
        <v>1</v>
      </c>
      <c r="E3" s="20" t="b">
        <f t="shared" si="0"/>
        <v>1</v>
      </c>
      <c r="F3" s="20" t="b">
        <f t="shared" si="0"/>
        <v>0</v>
      </c>
      <c r="G3" s="20" t="b">
        <f t="shared" si="0"/>
        <v>1</v>
      </c>
      <c r="H3" s="17" t="b">
        <f t="shared" si="0"/>
        <v>1</v>
      </c>
      <c r="I3" s="17" t="b">
        <f t="shared" si="0"/>
        <v>1</v>
      </c>
      <c r="J3" s="17"/>
      <c r="K3" s="20" t="b">
        <f t="shared" ref="K3:R3" si="1">K2</f>
        <v>1</v>
      </c>
      <c r="L3" s="20" t="b">
        <f t="shared" si="1"/>
        <v>1</v>
      </c>
      <c r="M3" s="17" t="b">
        <f t="shared" si="1"/>
        <v>1</v>
      </c>
      <c r="N3" s="17" t="b">
        <f t="shared" si="1"/>
        <v>1</v>
      </c>
      <c r="O3" s="17" t="b">
        <f t="shared" si="1"/>
        <v>1</v>
      </c>
      <c r="P3" s="17" t="b">
        <f t="shared" si="1"/>
        <v>1</v>
      </c>
      <c r="Q3" s="17" t="b">
        <f t="shared" si="1"/>
        <v>1</v>
      </c>
      <c r="R3" s="20" t="b">
        <f t="shared" si="1"/>
        <v>0</v>
      </c>
      <c r="S3" s="17"/>
      <c r="T3" s="17"/>
      <c r="U3" s="20" t="b">
        <f>U2</f>
        <v>0</v>
      </c>
      <c r="V3" s="17"/>
      <c r="W3" s="17"/>
      <c r="X3" s="17" t="b">
        <f>X2</f>
        <v>1</v>
      </c>
      <c r="Y3" s="17" t="b">
        <f>Y2</f>
        <v>1</v>
      </c>
      <c r="Z3" t="b">
        <f>AND(Table32[[#This Row],[Immune Support]:[12-36 Mnths]],Table32[[#This Row],[Kosher/Halal]:[Organic]],OR(Table32[[#This Row],[Powder]:[Con Liq]]))</f>
        <v>0</v>
      </c>
      <c r="AA3" s="29" t="s">
        <v>1612</v>
      </c>
    </row>
    <row r="4" spans="1:28">
      <c r="A4" t="b">
        <f>IF(Table32[[#This Row],[Column8]],Table32[[#This Row],[Products2]])</f>
        <v>0</v>
      </c>
      <c r="B4" s="17" t="b">
        <f>B3</f>
        <v>1</v>
      </c>
      <c r="C4" s="20" t="b">
        <f t="shared" ref="C4:I4" si="2">C2</f>
        <v>1</v>
      </c>
      <c r="D4" s="17" t="b">
        <f t="shared" si="2"/>
        <v>1</v>
      </c>
      <c r="E4" s="20" t="b">
        <f t="shared" si="2"/>
        <v>1</v>
      </c>
      <c r="F4" s="20" t="b">
        <f t="shared" si="2"/>
        <v>0</v>
      </c>
      <c r="G4" s="20" t="b">
        <f t="shared" si="2"/>
        <v>1</v>
      </c>
      <c r="H4" s="17" t="b">
        <f t="shared" si="2"/>
        <v>1</v>
      </c>
      <c r="I4" s="17" t="b">
        <f t="shared" si="2"/>
        <v>1</v>
      </c>
      <c r="J4" s="17"/>
      <c r="K4" s="20" t="b">
        <f t="shared" ref="K4:R4" si="3">K2</f>
        <v>1</v>
      </c>
      <c r="L4" s="20" t="b">
        <f t="shared" si="3"/>
        <v>1</v>
      </c>
      <c r="M4" s="17" t="b">
        <f t="shared" si="3"/>
        <v>1</v>
      </c>
      <c r="N4" s="17" t="b">
        <f t="shared" si="3"/>
        <v>1</v>
      </c>
      <c r="O4" s="17" t="b">
        <f t="shared" si="3"/>
        <v>1</v>
      </c>
      <c r="P4" s="17" t="b">
        <f t="shared" si="3"/>
        <v>1</v>
      </c>
      <c r="Q4" s="17" t="b">
        <f t="shared" si="3"/>
        <v>1</v>
      </c>
      <c r="R4" s="20" t="b">
        <f t="shared" si="3"/>
        <v>0</v>
      </c>
      <c r="S4" s="17"/>
      <c r="T4" s="17"/>
      <c r="U4" s="20" t="b">
        <f>U2</f>
        <v>0</v>
      </c>
      <c r="V4" s="20" t="b">
        <f>V2</f>
        <v>0</v>
      </c>
      <c r="W4" s="20" t="b">
        <f>AND('Infant Formula Criteria'!B23)</f>
        <v>0</v>
      </c>
      <c r="X4" s="17" t="b">
        <f>X2</f>
        <v>1</v>
      </c>
      <c r="Y4" s="17" t="b">
        <f>Y2</f>
        <v>1</v>
      </c>
      <c r="Z4" t="b">
        <f>AND(Table32[[#This Row],[Immune Support]:[12-36 Mnths]],Table32[[#This Row],[Kosher/Halal]:[Organic]],OR(Table32[[#This Row],[Powder]:[Con Liq]]))</f>
        <v>0</v>
      </c>
      <c r="AA4" s="29" t="s">
        <v>1615</v>
      </c>
    </row>
    <row r="5" spans="1:28">
      <c r="A5" t="b">
        <f>IF(Table32[[#This Row],[Column8]],Table32[[#This Row],[Products2]])</f>
        <v>0</v>
      </c>
      <c r="B5" s="17" t="b">
        <f>B3</f>
        <v>1</v>
      </c>
      <c r="C5" s="17" t="b">
        <f>AND('Infant Formula Criteria'!C4)</f>
        <v>1</v>
      </c>
      <c r="D5" s="17" t="b">
        <f t="shared" ref="D5:I5" si="4">D2</f>
        <v>1</v>
      </c>
      <c r="E5" s="20" t="b">
        <f t="shared" si="4"/>
        <v>1</v>
      </c>
      <c r="F5" s="20" t="b">
        <f t="shared" si="4"/>
        <v>0</v>
      </c>
      <c r="G5" s="20" t="b">
        <f t="shared" si="4"/>
        <v>1</v>
      </c>
      <c r="H5" s="17" t="b">
        <f t="shared" si="4"/>
        <v>1</v>
      </c>
      <c r="I5" s="17" t="b">
        <f t="shared" si="4"/>
        <v>1</v>
      </c>
      <c r="J5" s="17"/>
      <c r="K5" s="17" t="b">
        <f>AND('Infant Formula Criteria'!C12)</f>
        <v>1</v>
      </c>
      <c r="L5" s="20" t="b">
        <f t="shared" ref="L5:R5" si="5">L2</f>
        <v>1</v>
      </c>
      <c r="M5" s="17" t="b">
        <f t="shared" si="5"/>
        <v>1</v>
      </c>
      <c r="N5" s="17" t="b">
        <f t="shared" si="5"/>
        <v>1</v>
      </c>
      <c r="O5" s="17" t="b">
        <f t="shared" si="5"/>
        <v>1</v>
      </c>
      <c r="P5" s="17" t="b">
        <f t="shared" si="5"/>
        <v>1</v>
      </c>
      <c r="Q5" s="17" t="b">
        <f t="shared" si="5"/>
        <v>1</v>
      </c>
      <c r="R5" s="20" t="b">
        <f t="shared" si="5"/>
        <v>0</v>
      </c>
      <c r="S5" s="17"/>
      <c r="T5" s="17"/>
      <c r="U5" s="20" t="b">
        <f>U2</f>
        <v>0</v>
      </c>
      <c r="V5" s="17"/>
      <c r="W5" s="17"/>
      <c r="X5" s="17" t="b">
        <f>X2</f>
        <v>1</v>
      </c>
      <c r="Y5" s="17" t="b">
        <f>Y2</f>
        <v>1</v>
      </c>
      <c r="Z5" t="b">
        <f>AND(Table32[[#This Row],[Immune Support]:[12-36 Mnths]],Table32[[#This Row],[Kosher/Halal]:[Organic]],OR(Table32[[#This Row],[Powder]:[Con Liq]]))</f>
        <v>0</v>
      </c>
      <c r="AA5" s="29" t="s">
        <v>1616</v>
      </c>
    </row>
    <row r="6" spans="1:28">
      <c r="A6" t="b">
        <f>IF(Table32[[#This Row],[Column8]],Table32[[#This Row],[Products2]])</f>
        <v>0</v>
      </c>
      <c r="B6" s="17" t="b">
        <f>B3</f>
        <v>1</v>
      </c>
      <c r="C6" s="17" t="b">
        <f>C5</f>
        <v>1</v>
      </c>
      <c r="D6" s="17" t="b">
        <f t="shared" ref="D6:I6" si="6">D2</f>
        <v>1</v>
      </c>
      <c r="E6" s="20" t="b">
        <f t="shared" si="6"/>
        <v>1</v>
      </c>
      <c r="F6" s="20" t="b">
        <f t="shared" si="6"/>
        <v>0</v>
      </c>
      <c r="G6" s="20" t="b">
        <f t="shared" si="6"/>
        <v>1</v>
      </c>
      <c r="H6" s="17" t="b">
        <f t="shared" si="6"/>
        <v>1</v>
      </c>
      <c r="I6" s="17" t="b">
        <f t="shared" si="6"/>
        <v>1</v>
      </c>
      <c r="J6" s="17"/>
      <c r="K6" s="17" t="b">
        <f>K5</f>
        <v>1</v>
      </c>
      <c r="L6" s="20" t="b">
        <f>L2</f>
        <v>1</v>
      </c>
      <c r="M6" s="20" t="b">
        <f>OR('Infant Formula Criteria'!B14:C14)</f>
        <v>1</v>
      </c>
      <c r="N6" s="17" t="b">
        <f>N2</f>
        <v>1</v>
      </c>
      <c r="O6" s="17" t="b">
        <f>O2</f>
        <v>1</v>
      </c>
      <c r="P6" s="17" t="b">
        <f>P2</f>
        <v>1</v>
      </c>
      <c r="Q6" s="17" t="b">
        <f>Q2</f>
        <v>1</v>
      </c>
      <c r="R6" s="20" t="b">
        <f>R2</f>
        <v>0</v>
      </c>
      <c r="S6" s="17"/>
      <c r="T6" s="17"/>
      <c r="U6" s="20" t="b">
        <f>U2</f>
        <v>0</v>
      </c>
      <c r="V6" s="17"/>
      <c r="W6" s="17"/>
      <c r="X6" s="17" t="b">
        <f>X2</f>
        <v>1</v>
      </c>
      <c r="Y6" s="17" t="b">
        <f>Y2</f>
        <v>1</v>
      </c>
      <c r="Z6" t="b">
        <f>AND(Table32[[#This Row],[Immune Support]:[12-36 Mnths]],Table32[[#This Row],[Kosher/Halal]:[Organic]],OR(Table32[[#This Row],[Powder]:[Con Liq]]))</f>
        <v>0</v>
      </c>
      <c r="AA6" s="29" t="s">
        <v>1617</v>
      </c>
    </row>
    <row r="7" spans="1:28">
      <c r="A7" t="b">
        <f>IF(Table32[[#This Row],[Column8]],Table32[[#This Row],[Products2]])</f>
        <v>0</v>
      </c>
      <c r="B7" s="17" t="b">
        <f>B3</f>
        <v>1</v>
      </c>
      <c r="C7" s="20" t="b">
        <f t="shared" ref="C7:I7" si="7">C2</f>
        <v>1</v>
      </c>
      <c r="D7" s="17" t="b">
        <f t="shared" si="7"/>
        <v>1</v>
      </c>
      <c r="E7" s="20" t="b">
        <f t="shared" si="7"/>
        <v>1</v>
      </c>
      <c r="F7" s="20" t="b">
        <f t="shared" si="7"/>
        <v>0</v>
      </c>
      <c r="G7" s="20" t="b">
        <f t="shared" si="7"/>
        <v>1</v>
      </c>
      <c r="H7" s="17" t="b">
        <f t="shared" si="7"/>
        <v>1</v>
      </c>
      <c r="I7" s="17" t="b">
        <f t="shared" si="7"/>
        <v>1</v>
      </c>
      <c r="J7" s="17"/>
      <c r="K7" s="17" t="b">
        <f>K5</f>
        <v>1</v>
      </c>
      <c r="L7" s="20" t="b">
        <f>L2</f>
        <v>1</v>
      </c>
      <c r="M7" s="17" t="b">
        <f>M2</f>
        <v>1</v>
      </c>
      <c r="N7" s="17" t="b">
        <f>N2</f>
        <v>1</v>
      </c>
      <c r="O7" s="20" t="b">
        <f>OR('Infant Formula Criteria'!B16:C16)</f>
        <v>1</v>
      </c>
      <c r="P7" s="17" t="b">
        <f>P2</f>
        <v>1</v>
      </c>
      <c r="Q7" s="17" t="b">
        <f>Q2</f>
        <v>1</v>
      </c>
      <c r="R7" s="20" t="b">
        <f>R2</f>
        <v>0</v>
      </c>
      <c r="S7" s="17"/>
      <c r="T7" s="17"/>
      <c r="U7" s="20" t="b">
        <f>U2</f>
        <v>0</v>
      </c>
      <c r="V7" s="17"/>
      <c r="W7" s="17"/>
      <c r="X7" s="17" t="b">
        <f>X2</f>
        <v>1</v>
      </c>
      <c r="Y7" s="17" t="b">
        <f>Y2</f>
        <v>1</v>
      </c>
      <c r="Z7" t="b">
        <f>AND(Table32[[#This Row],[Immune Support]:[12-36 Mnths]],Table32[[#This Row],[Kosher/Halal]:[Organic]],OR(Table32[[#This Row],[Powder]:[Con Liq]]))</f>
        <v>0</v>
      </c>
      <c r="AA7" s="29" t="s">
        <v>1619</v>
      </c>
    </row>
    <row r="8" spans="1:28">
      <c r="A8" t="b">
        <f>IF(Table32[[#This Row],[Column8]],Table32[[#This Row],[Products2]])</f>
        <v>0</v>
      </c>
      <c r="B8" s="17" t="b">
        <f>B3</f>
        <v>1</v>
      </c>
      <c r="C8" s="17" t="b">
        <f>C5</f>
        <v>1</v>
      </c>
      <c r="D8" s="17" t="b">
        <f>D2</f>
        <v>1</v>
      </c>
      <c r="E8" s="20" t="b">
        <f>E2</f>
        <v>1</v>
      </c>
      <c r="F8" s="20" t="b">
        <f>F2</f>
        <v>0</v>
      </c>
      <c r="G8" s="20" t="b">
        <f>G2</f>
        <v>1</v>
      </c>
      <c r="H8" s="20" t="b">
        <f>OR('Infant Formula Criteria'!B9:C9)</f>
        <v>1</v>
      </c>
      <c r="I8" s="17" t="b">
        <f>I2</f>
        <v>1</v>
      </c>
      <c r="J8" s="17"/>
      <c r="K8" s="17" t="b">
        <f>K5</f>
        <v>1</v>
      </c>
      <c r="L8" s="20" t="b">
        <f t="shared" ref="L8:R8" si="8">L2</f>
        <v>1</v>
      </c>
      <c r="M8" s="17" t="b">
        <f t="shared" si="8"/>
        <v>1</v>
      </c>
      <c r="N8" s="17" t="b">
        <f t="shared" si="8"/>
        <v>1</v>
      </c>
      <c r="O8" s="17" t="b">
        <f t="shared" si="8"/>
        <v>1</v>
      </c>
      <c r="P8" s="17" t="b">
        <f t="shared" si="8"/>
        <v>1</v>
      </c>
      <c r="Q8" s="17" t="b">
        <f t="shared" si="8"/>
        <v>1</v>
      </c>
      <c r="R8" s="20" t="b">
        <f t="shared" si="8"/>
        <v>0</v>
      </c>
      <c r="S8" s="17"/>
      <c r="T8" s="17"/>
      <c r="U8" s="20" t="b">
        <f>U2</f>
        <v>0</v>
      </c>
      <c r="V8" s="17"/>
      <c r="W8" s="20" t="b">
        <f>W4</f>
        <v>0</v>
      </c>
      <c r="X8" s="17" t="b">
        <f>X2</f>
        <v>1</v>
      </c>
      <c r="Y8" s="17" t="b">
        <f>Y2</f>
        <v>1</v>
      </c>
      <c r="Z8" t="b">
        <f>AND(Table32[[#This Row],[Immune Support]:[12-36 Mnths]],Table32[[#This Row],[Kosher/Halal]:[Organic]],OR(Table32[[#This Row],[Powder]:[Con Liq]]))</f>
        <v>0</v>
      </c>
      <c r="AA8" s="29" t="s">
        <v>1620</v>
      </c>
    </row>
    <row r="9" spans="1:28">
      <c r="A9" t="b">
        <f>IF(Table32[[#This Row],[Column8]],Table32[[#This Row],[Products2]])</f>
        <v>0</v>
      </c>
      <c r="B9" s="17" t="b">
        <f>B3</f>
        <v>1</v>
      </c>
      <c r="C9" s="20" t="b">
        <f>C2</f>
        <v>1</v>
      </c>
      <c r="D9" s="17" t="b">
        <f>D2</f>
        <v>1</v>
      </c>
      <c r="E9" s="17" t="b">
        <f>AND('Infant Formula Criteria'!C6)</f>
        <v>1</v>
      </c>
      <c r="F9" s="20" t="b">
        <f>F2</f>
        <v>0</v>
      </c>
      <c r="G9" s="20" t="b">
        <f>G2</f>
        <v>1</v>
      </c>
      <c r="H9" s="17" t="b">
        <f>H2</f>
        <v>1</v>
      </c>
      <c r="I9" s="20" t="b">
        <f>OR('Infant Formula Criteria'!B10:C10)</f>
        <v>1</v>
      </c>
      <c r="J9" s="17"/>
      <c r="K9" s="17" t="b">
        <f>K5</f>
        <v>1</v>
      </c>
      <c r="L9" s="20" t="b">
        <f t="shared" ref="L9:R9" si="9">L2</f>
        <v>1</v>
      </c>
      <c r="M9" s="17" t="b">
        <f t="shared" si="9"/>
        <v>1</v>
      </c>
      <c r="N9" s="17" t="b">
        <f t="shared" si="9"/>
        <v>1</v>
      </c>
      <c r="O9" s="17" t="b">
        <f t="shared" si="9"/>
        <v>1</v>
      </c>
      <c r="P9" s="17" t="b">
        <f t="shared" si="9"/>
        <v>1</v>
      </c>
      <c r="Q9" s="17" t="b">
        <f t="shared" si="9"/>
        <v>1</v>
      </c>
      <c r="R9" s="20" t="b">
        <f t="shared" si="9"/>
        <v>0</v>
      </c>
      <c r="S9" s="17"/>
      <c r="T9" s="17"/>
      <c r="U9" s="20" t="b">
        <f>U2</f>
        <v>0</v>
      </c>
      <c r="V9" s="20" t="b">
        <f>V2</f>
        <v>0</v>
      </c>
      <c r="W9" s="17"/>
      <c r="X9" s="17" t="b">
        <f>X2</f>
        <v>1</v>
      </c>
      <c r="Y9" s="17" t="b">
        <f>Y2</f>
        <v>1</v>
      </c>
      <c r="Z9" t="b">
        <f>AND(Table32[[#This Row],[Immune Support]:[12-36 Mnths]],Table32[[#This Row],[Kosher/Halal]:[Organic]],OR(Table32[[#This Row],[Powder]:[Con Liq]]))</f>
        <v>0</v>
      </c>
      <c r="AA9" s="29" t="s">
        <v>1623</v>
      </c>
    </row>
    <row r="10" spans="1:28">
      <c r="A10" t="b">
        <f>IF(Table32[[#This Row],[Column8]],Table32[[#This Row],[Products2]])</f>
        <v>0</v>
      </c>
      <c r="B10" s="17" t="b">
        <f>B3</f>
        <v>1</v>
      </c>
      <c r="C10" s="20" t="b">
        <f>C2</f>
        <v>1</v>
      </c>
      <c r="D10" s="17" t="b">
        <f>D2</f>
        <v>1</v>
      </c>
      <c r="E10" s="20" t="b">
        <f>E2</f>
        <v>1</v>
      </c>
      <c r="F10" s="17"/>
      <c r="G10" s="17" t="b">
        <f>AND('Infant Formula Criteria'!C8)</f>
        <v>1</v>
      </c>
      <c r="H10" s="17" t="b">
        <f>H2</f>
        <v>1</v>
      </c>
      <c r="I10" s="17" t="b">
        <f>I2</f>
        <v>1</v>
      </c>
      <c r="J10" s="20" t="b">
        <f>AND('Infant Formula Criteria'!B11,'Infant Formula Criteria'!C7)</f>
        <v>0</v>
      </c>
      <c r="K10" s="17" t="b">
        <f>K5</f>
        <v>1</v>
      </c>
      <c r="L10" s="20" t="b">
        <f t="shared" ref="L10:R10" si="10">L2</f>
        <v>1</v>
      </c>
      <c r="M10" s="17" t="b">
        <f t="shared" si="10"/>
        <v>1</v>
      </c>
      <c r="N10" s="17" t="b">
        <f t="shared" si="10"/>
        <v>1</v>
      </c>
      <c r="O10" s="17" t="b">
        <f t="shared" si="10"/>
        <v>1</v>
      </c>
      <c r="P10" s="17" t="b">
        <f t="shared" si="10"/>
        <v>1</v>
      </c>
      <c r="Q10" s="17" t="b">
        <f t="shared" si="10"/>
        <v>1</v>
      </c>
      <c r="R10" s="20" t="b">
        <f t="shared" si="10"/>
        <v>0</v>
      </c>
      <c r="S10" s="17"/>
      <c r="T10" s="17"/>
      <c r="U10" s="20" t="b">
        <f>U2</f>
        <v>0</v>
      </c>
      <c r="V10" s="17"/>
      <c r="W10" s="17"/>
      <c r="X10" s="17" t="b">
        <f>X2</f>
        <v>1</v>
      </c>
      <c r="Y10" s="17" t="b">
        <f>Y2</f>
        <v>1</v>
      </c>
      <c r="Z10" t="b">
        <f>AND(Table32[[#This Row],[Immune Support]:[12-36 Mnths]],Table32[[#This Row],[Kosher/Halal]:[Organic]],OR(Table32[[#This Row],[Powder]:[Con Liq]]))</f>
        <v>0</v>
      </c>
      <c r="AA10" s="29" t="s">
        <v>1624</v>
      </c>
    </row>
    <row r="11" spans="1:28">
      <c r="A11" t="b">
        <f>IF(Table32[[#This Row],[Column8]],Table32[[#This Row],[Products2]])</f>
        <v>0</v>
      </c>
      <c r="B11" s="17" t="b">
        <f>B3</f>
        <v>1</v>
      </c>
      <c r="C11" s="20" t="b">
        <f t="shared" ref="C11:I11" si="11">C2</f>
        <v>1</v>
      </c>
      <c r="D11" s="17" t="b">
        <f t="shared" si="11"/>
        <v>1</v>
      </c>
      <c r="E11" s="20" t="b">
        <f t="shared" si="11"/>
        <v>1</v>
      </c>
      <c r="F11" s="20" t="b">
        <f t="shared" si="11"/>
        <v>0</v>
      </c>
      <c r="G11" s="20" t="b">
        <f t="shared" si="11"/>
        <v>1</v>
      </c>
      <c r="H11" s="17" t="b">
        <f t="shared" si="11"/>
        <v>1</v>
      </c>
      <c r="I11" s="17" t="b">
        <f t="shared" si="11"/>
        <v>1</v>
      </c>
      <c r="J11" s="17"/>
      <c r="K11" s="17" t="b">
        <f>K5</f>
        <v>1</v>
      </c>
      <c r="L11" s="20" t="b">
        <f>L2</f>
        <v>1</v>
      </c>
      <c r="M11" s="17" t="b">
        <f>M2</f>
        <v>1</v>
      </c>
      <c r="N11" s="17" t="b">
        <f>N2</f>
        <v>1</v>
      </c>
      <c r="O11" s="17" t="b">
        <f>O2</f>
        <v>1</v>
      </c>
      <c r="P11" s="20" t="b">
        <f>OR('Infant Formula Criteria'!B17:C17)</f>
        <v>1</v>
      </c>
      <c r="Q11" s="17" t="b">
        <f>Q2</f>
        <v>1</v>
      </c>
      <c r="R11" s="20" t="b">
        <f>R2</f>
        <v>0</v>
      </c>
      <c r="S11" s="17"/>
      <c r="T11" s="17"/>
      <c r="U11" s="20" t="b">
        <f>U2</f>
        <v>0</v>
      </c>
      <c r="V11" s="17"/>
      <c r="W11" s="17"/>
      <c r="X11" s="17" t="b">
        <f>X2</f>
        <v>1</v>
      </c>
      <c r="Y11" s="17" t="b">
        <f>Y2</f>
        <v>1</v>
      </c>
      <c r="Z11" t="b">
        <f>AND(Table32[[#This Row],[Immune Support]:[12-36 Mnths]],Table32[[#This Row],[Kosher/Halal]:[Organic]],OR(Table32[[#This Row],[Powder]:[Con Liq]]))</f>
        <v>0</v>
      </c>
      <c r="AA11" s="29" t="s">
        <v>1626</v>
      </c>
      <c r="AB11" t="s">
        <v>1627</v>
      </c>
    </row>
    <row r="12" spans="1:28">
      <c r="A12" t="b">
        <f>IF(Table32[[#This Row],[Column8]],Table32[[#This Row],[Products2]])</f>
        <v>0</v>
      </c>
      <c r="B12" s="20" t="b">
        <f t="shared" ref="B12:I12" si="12">B2</f>
        <v>1</v>
      </c>
      <c r="C12" s="20" t="b">
        <f t="shared" si="12"/>
        <v>1</v>
      </c>
      <c r="D12" s="17" t="b">
        <f t="shared" si="12"/>
        <v>1</v>
      </c>
      <c r="E12" s="20" t="b">
        <f t="shared" si="12"/>
        <v>1</v>
      </c>
      <c r="F12" s="20" t="b">
        <f t="shared" si="12"/>
        <v>0</v>
      </c>
      <c r="G12" s="20" t="b">
        <f t="shared" si="12"/>
        <v>1</v>
      </c>
      <c r="H12" s="17" t="b">
        <f t="shared" si="12"/>
        <v>1</v>
      </c>
      <c r="I12" s="17" t="b">
        <f t="shared" si="12"/>
        <v>1</v>
      </c>
      <c r="J12" s="17"/>
      <c r="K12" s="20" t="b">
        <f t="shared" ref="K12:P12" si="13">K2</f>
        <v>1</v>
      </c>
      <c r="L12" s="20" t="b">
        <f t="shared" si="13"/>
        <v>1</v>
      </c>
      <c r="M12" s="17" t="b">
        <f t="shared" si="13"/>
        <v>1</v>
      </c>
      <c r="N12" s="17" t="b">
        <f t="shared" si="13"/>
        <v>1</v>
      </c>
      <c r="O12" s="17" t="b">
        <f t="shared" si="13"/>
        <v>1</v>
      </c>
      <c r="P12" s="17" t="b">
        <f t="shared" si="13"/>
        <v>1</v>
      </c>
      <c r="Q12" s="20" t="b">
        <f>OR('Infant Formula Criteria'!B18:C18)</f>
        <v>1</v>
      </c>
      <c r="R12" s="17"/>
      <c r="S12" s="20" t="b">
        <f>AND('Infant Formula Criteria'!B20,'Infant Formula Criteria'!C19,'Infant Formula Criteria'!C21)</f>
        <v>0</v>
      </c>
      <c r="T12" s="17"/>
      <c r="U12" s="20" t="b">
        <f>U2</f>
        <v>0</v>
      </c>
      <c r="V12" s="20" t="b">
        <f>V2</f>
        <v>0</v>
      </c>
      <c r="W12" s="17"/>
      <c r="X12" s="17" t="b">
        <f>X2</f>
        <v>1</v>
      </c>
      <c r="Y12" s="17" t="b">
        <f>Y2</f>
        <v>1</v>
      </c>
      <c r="Z12" t="b">
        <f>AND(Table32[[#This Row],[Immune Support]:[12-36 Mnths]],Table32[[#This Row],[Kosher/Halal]:[Organic]],OR(Table32[[#This Row],[Powder]:[Con Liq]]))</f>
        <v>0</v>
      </c>
      <c r="AA12" s="29" t="s">
        <v>1629</v>
      </c>
    </row>
    <row r="13" spans="1:28">
      <c r="A13" t="b">
        <f>IF(Table32[[#This Row],[Column8]],Table32[[#This Row],[Products2]])</f>
        <v>0</v>
      </c>
      <c r="B13" s="17" t="b">
        <f>B3</f>
        <v>1</v>
      </c>
      <c r="C13" s="20" t="b">
        <f t="shared" ref="C13:I13" si="14">C2</f>
        <v>1</v>
      </c>
      <c r="D13" s="17" t="b">
        <f t="shared" si="14"/>
        <v>1</v>
      </c>
      <c r="E13" s="20" t="b">
        <f t="shared" si="14"/>
        <v>1</v>
      </c>
      <c r="F13" s="20" t="b">
        <f t="shared" si="14"/>
        <v>0</v>
      </c>
      <c r="G13" s="20" t="b">
        <f t="shared" si="14"/>
        <v>1</v>
      </c>
      <c r="H13" s="17" t="b">
        <f t="shared" si="14"/>
        <v>1</v>
      </c>
      <c r="I13" s="17" t="b">
        <f t="shared" si="14"/>
        <v>1</v>
      </c>
      <c r="J13" s="17"/>
      <c r="K13" s="20" t="b">
        <f t="shared" ref="K13:P13" si="15">K2</f>
        <v>1</v>
      </c>
      <c r="L13" s="20" t="b">
        <f t="shared" si="15"/>
        <v>1</v>
      </c>
      <c r="M13" s="17" t="b">
        <f t="shared" si="15"/>
        <v>1</v>
      </c>
      <c r="N13" s="17" t="b">
        <f t="shared" si="15"/>
        <v>1</v>
      </c>
      <c r="O13" s="17" t="b">
        <f t="shared" si="15"/>
        <v>1</v>
      </c>
      <c r="P13" s="17" t="b">
        <f t="shared" si="15"/>
        <v>1</v>
      </c>
      <c r="Q13" s="20" t="b">
        <f>Q12</f>
        <v>1</v>
      </c>
      <c r="R13" s="17"/>
      <c r="S13" s="20" t="b">
        <f>S12</f>
        <v>0</v>
      </c>
      <c r="T13" s="17"/>
      <c r="U13" s="20" t="b">
        <f>U2</f>
        <v>0</v>
      </c>
      <c r="V13" s="17"/>
      <c r="W13" s="20" t="b">
        <f>W4</f>
        <v>0</v>
      </c>
      <c r="X13" s="17" t="b">
        <f>X2</f>
        <v>1</v>
      </c>
      <c r="Y13" s="17" t="b">
        <f>Y2</f>
        <v>1</v>
      </c>
      <c r="Z13" t="b">
        <f>AND(Table32[[#This Row],[Immune Support]:[12-36 Mnths]],Table32[[#This Row],[Kosher/Halal]:[Organic]],OR(Table32[[#This Row],[Powder]:[Con Liq]]))</f>
        <v>0</v>
      </c>
      <c r="AA13" s="29" t="s">
        <v>1632</v>
      </c>
    </row>
    <row r="14" spans="1:28">
      <c r="A14" t="b">
        <f>IF(Table32[[#This Row],[Column8]],Table32[[#This Row],[Products2]])</f>
        <v>0</v>
      </c>
      <c r="B14" s="17" t="b">
        <f>B3</f>
        <v>1</v>
      </c>
      <c r="C14" s="17" t="b">
        <f>C5</f>
        <v>1</v>
      </c>
      <c r="D14" s="17" t="b">
        <f t="shared" ref="D14:I14" si="16">D2</f>
        <v>1</v>
      </c>
      <c r="E14" s="20" t="b">
        <f t="shared" si="16"/>
        <v>1</v>
      </c>
      <c r="F14" s="20" t="b">
        <f t="shared" si="16"/>
        <v>0</v>
      </c>
      <c r="G14" s="20" t="b">
        <f t="shared" si="16"/>
        <v>1</v>
      </c>
      <c r="H14" s="17" t="b">
        <f t="shared" si="16"/>
        <v>1</v>
      </c>
      <c r="I14" s="17" t="b">
        <f t="shared" si="16"/>
        <v>1</v>
      </c>
      <c r="J14" s="17"/>
      <c r="K14" s="17" t="b">
        <f>K5</f>
        <v>1</v>
      </c>
      <c r="L14" s="20" t="b">
        <f>L2</f>
        <v>1</v>
      </c>
      <c r="M14" s="17" t="b">
        <f>M2</f>
        <v>1</v>
      </c>
      <c r="N14" s="17" t="b">
        <f>N2</f>
        <v>1</v>
      </c>
      <c r="O14" s="17" t="b">
        <f>O2</f>
        <v>1</v>
      </c>
      <c r="P14" s="17" t="b">
        <f>P2</f>
        <v>1</v>
      </c>
      <c r="Q14" s="20" t="b">
        <f>Q12</f>
        <v>1</v>
      </c>
      <c r="R14" s="17"/>
      <c r="S14" s="20" t="b">
        <f>S12</f>
        <v>0</v>
      </c>
      <c r="T14" s="17"/>
      <c r="U14" s="20" t="b">
        <f>U2</f>
        <v>0</v>
      </c>
      <c r="V14" s="17"/>
      <c r="W14" s="17"/>
      <c r="X14" s="17" t="b">
        <f>X2</f>
        <v>1</v>
      </c>
      <c r="Y14" s="17" t="b">
        <f>Y2</f>
        <v>1</v>
      </c>
      <c r="Z14" t="b">
        <f>AND(Table32[[#This Row],[Immune Support]:[12-36 Mnths]],Table32[[#This Row],[Kosher/Halal]:[Organic]],OR(Table32[[#This Row],[Powder]:[Con Liq]]))</f>
        <v>0</v>
      </c>
      <c r="AA14" s="29" t="s">
        <v>1633</v>
      </c>
    </row>
    <row r="15" spans="1:28">
      <c r="A15" t="b">
        <f>IF(Table32[[#This Row],[Column8]],Table32[[#This Row],[Products2]])</f>
        <v>0</v>
      </c>
      <c r="B15" s="17" t="b">
        <f>B3</f>
        <v>1</v>
      </c>
      <c r="C15" s="20" t="b">
        <f t="shared" ref="C15:I15" si="17">C2</f>
        <v>1</v>
      </c>
      <c r="D15" s="17" t="b">
        <f t="shared" si="17"/>
        <v>1</v>
      </c>
      <c r="E15" s="20" t="b">
        <f t="shared" si="17"/>
        <v>1</v>
      </c>
      <c r="F15" s="20" t="b">
        <f t="shared" si="17"/>
        <v>0</v>
      </c>
      <c r="G15" s="20" t="b">
        <f t="shared" si="17"/>
        <v>1</v>
      </c>
      <c r="H15" s="17" t="b">
        <f t="shared" si="17"/>
        <v>1</v>
      </c>
      <c r="I15" s="17" t="b">
        <f t="shared" si="17"/>
        <v>1</v>
      </c>
      <c r="J15" s="17"/>
      <c r="K15" s="20" t="b">
        <f>K2</f>
        <v>1</v>
      </c>
      <c r="L15" s="20" t="b">
        <f>L2</f>
        <v>1</v>
      </c>
      <c r="M15" s="17" t="b">
        <f>M2</f>
        <v>1</v>
      </c>
      <c r="N15" s="20" t="b">
        <f>OR('Infant Formula Criteria'!B15:C15)</f>
        <v>1</v>
      </c>
      <c r="O15" s="17" t="b">
        <f>O2</f>
        <v>1</v>
      </c>
      <c r="P15" s="17" t="b">
        <f>P2</f>
        <v>1</v>
      </c>
      <c r="Q15" s="20" t="b">
        <f>Q12</f>
        <v>1</v>
      </c>
      <c r="R15" s="17"/>
      <c r="S15" s="17"/>
      <c r="T15" s="20" t="b">
        <f>AND('Infant Formula Criteria'!B21,'Infant Formula Criteria'!C19:C20)</f>
        <v>0</v>
      </c>
      <c r="U15" s="20" t="b">
        <f>U2</f>
        <v>0</v>
      </c>
      <c r="V15" s="20" t="b">
        <f>V2</f>
        <v>0</v>
      </c>
      <c r="W15" s="17"/>
      <c r="X15" s="17" t="b">
        <f>X2</f>
        <v>1</v>
      </c>
      <c r="Y15" s="17" t="b">
        <f>Y2</f>
        <v>1</v>
      </c>
      <c r="Z15" t="b">
        <f>AND(Table32[[#This Row],[Immune Support]:[12-36 Mnths]],Table32[[#This Row],[Kosher/Halal]:[Organic]],OR(Table32[[#This Row],[Powder]:[Con Liq]]))</f>
        <v>0</v>
      </c>
      <c r="AA15" s="29" t="s">
        <v>1634</v>
      </c>
    </row>
    <row r="16" spans="1:28">
      <c r="A16" s="16" t="e">
        <f>IF(Table32[[#This Row],[Column8]],Table32[[#This Row],[Products2]])</f>
        <v>#VALUE!</v>
      </c>
      <c r="B16" s="16"/>
      <c r="C16" s="16"/>
      <c r="D16" s="16"/>
      <c r="E16" s="16"/>
      <c r="F16" s="16"/>
      <c r="G16" s="16"/>
      <c r="H16" s="16"/>
      <c r="I16" s="16"/>
      <c r="J16" s="16"/>
      <c r="K16" s="16"/>
      <c r="L16" s="16"/>
      <c r="M16" s="16"/>
      <c r="N16" s="16"/>
      <c r="O16" s="16"/>
      <c r="P16" s="16"/>
      <c r="Q16" s="16"/>
      <c r="R16" s="16"/>
      <c r="S16" s="16"/>
      <c r="T16" s="16"/>
      <c r="U16" s="16"/>
      <c r="V16" s="16"/>
      <c r="W16" s="16"/>
      <c r="X16" s="16"/>
      <c r="Y16" s="16"/>
      <c r="Z16" s="16" t="e">
        <f>AND(Table32[[#This Row],[Immune Support]:[12-36 Mnths]],Table32[[#This Row],[Kosher/Halal]:[Organic]],OR(Table32[[#This Row],[Powder]:[Con Liq]]))</f>
        <v>#VALUE!</v>
      </c>
      <c r="AA16" s="16"/>
    </row>
    <row r="17" spans="1:32">
      <c r="A17" t="b">
        <f>IF(Table32[[#This Row],[Column8]],Table32[[#This Row],[Products2]])</f>
        <v>0</v>
      </c>
      <c r="B17" s="17" t="b">
        <f>B3</f>
        <v>1</v>
      </c>
      <c r="C17" s="20" t="b">
        <f>C2</f>
        <v>1</v>
      </c>
      <c r="D17" s="20" t="b">
        <f>OR('Infant Formula Criteria'!B5:C5)</f>
        <v>1</v>
      </c>
      <c r="E17" s="17" t="b">
        <f>E9</f>
        <v>1</v>
      </c>
      <c r="F17" s="20" t="b">
        <f>F2</f>
        <v>0</v>
      </c>
      <c r="G17" s="17" t="b">
        <f>G10</f>
        <v>1</v>
      </c>
      <c r="H17" s="17" t="b">
        <f>H2</f>
        <v>1</v>
      </c>
      <c r="I17" s="17" t="b">
        <f>I2</f>
        <v>1</v>
      </c>
      <c r="J17" s="17"/>
      <c r="K17" s="17" t="b">
        <f>K5</f>
        <v>1</v>
      </c>
      <c r="L17" s="17" t="b">
        <f>AND('Infant Formula Criteria'!C13)</f>
        <v>1</v>
      </c>
      <c r="M17" s="17" t="b">
        <f t="shared" ref="M17:R17" si="18">M2</f>
        <v>1</v>
      </c>
      <c r="N17" s="17" t="b">
        <f t="shared" si="18"/>
        <v>1</v>
      </c>
      <c r="O17" s="17" t="b">
        <f t="shared" si="18"/>
        <v>1</v>
      </c>
      <c r="P17" s="17" t="b">
        <f t="shared" si="18"/>
        <v>1</v>
      </c>
      <c r="Q17" s="17" t="b">
        <f t="shared" si="18"/>
        <v>1</v>
      </c>
      <c r="R17" s="20" t="b">
        <f t="shared" si="18"/>
        <v>0</v>
      </c>
      <c r="S17" s="17"/>
      <c r="T17" s="17"/>
      <c r="U17" s="20" t="b">
        <f>U2</f>
        <v>0</v>
      </c>
      <c r="V17" s="20" t="b">
        <f>V2</f>
        <v>0</v>
      </c>
      <c r="W17" s="20" t="b">
        <f>W4</f>
        <v>0</v>
      </c>
      <c r="X17" s="17" t="b">
        <f>X2</f>
        <v>1</v>
      </c>
      <c r="Y17" s="17" t="b">
        <f>Y2</f>
        <v>1</v>
      </c>
      <c r="Z17" t="b">
        <f>AND(Table32[[#This Row],[Immune Support]:[12-36 Mnths]],Table32[[#This Row],[Kosher/Halal]:[Organic]],OR(Table32[[#This Row],[Powder]:[Con Liq]]))</f>
        <v>0</v>
      </c>
      <c r="AA17" s="29" t="s">
        <v>1637</v>
      </c>
    </row>
    <row r="18" spans="1:32">
      <c r="A18" t="b">
        <f>IF(Table32[[#This Row],[Column8]],Table32[[#This Row],[Products2]])</f>
        <v>0</v>
      </c>
      <c r="B18" s="17" t="b">
        <f>B3</f>
        <v>1</v>
      </c>
      <c r="C18" s="20" t="b">
        <f>C2</f>
        <v>1</v>
      </c>
      <c r="D18" s="17" t="b">
        <f>D2</f>
        <v>1</v>
      </c>
      <c r="E18" s="17" t="b">
        <f>E9</f>
        <v>1</v>
      </c>
      <c r="F18" s="20" t="b">
        <f>F2</f>
        <v>0</v>
      </c>
      <c r="G18" s="17" t="b">
        <f>G10</f>
        <v>1</v>
      </c>
      <c r="H18" s="17" t="b">
        <f>H2</f>
        <v>1</v>
      </c>
      <c r="I18" s="17" t="b">
        <f>I2</f>
        <v>1</v>
      </c>
      <c r="J18" s="17"/>
      <c r="K18" s="17" t="b">
        <f>K5</f>
        <v>1</v>
      </c>
      <c r="L18" s="17" t="b">
        <f>L17</f>
        <v>1</v>
      </c>
      <c r="M18" s="17" t="b">
        <f>M2</f>
        <v>1</v>
      </c>
      <c r="N18" s="17" t="b">
        <f>N2</f>
        <v>1</v>
      </c>
      <c r="O18" s="20" t="b">
        <f>O7</f>
        <v>1</v>
      </c>
      <c r="P18" s="17" t="b">
        <f>P2</f>
        <v>1</v>
      </c>
      <c r="Q18" s="17" t="b">
        <f>Q2</f>
        <v>1</v>
      </c>
      <c r="R18" s="20" t="b">
        <f>R2</f>
        <v>0</v>
      </c>
      <c r="S18" s="17"/>
      <c r="T18" s="17"/>
      <c r="U18" s="20" t="b">
        <f>U2</f>
        <v>0</v>
      </c>
      <c r="V18" s="20" t="b">
        <f>V2</f>
        <v>0</v>
      </c>
      <c r="W18" s="17"/>
      <c r="X18" s="17" t="b">
        <f>X2</f>
        <v>1</v>
      </c>
      <c r="Y18" s="17" t="b">
        <f>Y2</f>
        <v>1</v>
      </c>
      <c r="Z18" t="b">
        <f>AND(Table32[[#This Row],[Immune Support]:[12-36 Mnths]],Table32[[#This Row],[Kosher/Halal]:[Organic]],OR(Table32[[#This Row],[Powder]:[Con Liq]]))</f>
        <v>0</v>
      </c>
      <c r="AA18" s="29" t="s">
        <v>1638</v>
      </c>
    </row>
    <row r="19" spans="1:32">
      <c r="A19" t="b">
        <f>IF(Table32[[#This Row],[Column8]],Table32[[#This Row],[Products2]])</f>
        <v>0</v>
      </c>
      <c r="B19" s="17" t="b">
        <f>B3</f>
        <v>1</v>
      </c>
      <c r="C19" s="20" t="b">
        <f>C2</f>
        <v>1</v>
      </c>
      <c r="D19" s="20" t="b">
        <f>D17</f>
        <v>1</v>
      </c>
      <c r="E19" s="17" t="b">
        <f>E9</f>
        <v>1</v>
      </c>
      <c r="F19" s="20" t="b">
        <f>F2</f>
        <v>0</v>
      </c>
      <c r="G19" s="17" t="b">
        <f>G10</f>
        <v>1</v>
      </c>
      <c r="H19" s="17" t="b">
        <f>H2</f>
        <v>1</v>
      </c>
      <c r="I19" s="17" t="b">
        <f>I2</f>
        <v>1</v>
      </c>
      <c r="J19" s="17"/>
      <c r="K19" s="17" t="b">
        <f>K5</f>
        <v>1</v>
      </c>
      <c r="L19" s="17" t="b">
        <f>L17</f>
        <v>1</v>
      </c>
      <c r="M19" s="17" t="b">
        <f>M2</f>
        <v>1</v>
      </c>
      <c r="N19" s="17" t="b">
        <f>N2</f>
        <v>1</v>
      </c>
      <c r="O19" s="17" t="b">
        <f>O2</f>
        <v>1</v>
      </c>
      <c r="P19" s="20" t="b">
        <f>P11</f>
        <v>1</v>
      </c>
      <c r="Q19" s="20" t="b">
        <f>Q12</f>
        <v>1</v>
      </c>
      <c r="R19" s="17"/>
      <c r="S19" s="20" t="b">
        <f>S12</f>
        <v>0</v>
      </c>
      <c r="T19" s="17"/>
      <c r="U19" s="20" t="b">
        <f>U2</f>
        <v>0</v>
      </c>
      <c r="V19" s="20" t="b">
        <f>V2</f>
        <v>0</v>
      </c>
      <c r="W19" s="20" t="b">
        <f>W4</f>
        <v>0</v>
      </c>
      <c r="X19" s="17" t="b">
        <f>X2</f>
        <v>1</v>
      </c>
      <c r="Y19" s="17" t="b">
        <f>Y2</f>
        <v>1</v>
      </c>
      <c r="Z19" t="b">
        <f>AND(Table32[[#This Row],[Immune Support]:[12-36 Mnths]],Table32[[#This Row],[Kosher/Halal]:[Organic]],OR(Table32[[#This Row],[Powder]:[Con Liq]]))</f>
        <v>0</v>
      </c>
      <c r="AA19" s="29" t="s">
        <v>1639</v>
      </c>
    </row>
    <row r="20" spans="1:32">
      <c r="A20" t="b">
        <f>IF(Table32[[#This Row],[Column8]],Table32[[#This Row],[Products2]])</f>
        <v>0</v>
      </c>
      <c r="B20" s="17" t="b">
        <f>B3</f>
        <v>1</v>
      </c>
      <c r="C20" s="20" t="b">
        <f>C2</f>
        <v>1</v>
      </c>
      <c r="D20" s="20" t="b">
        <f>D17</f>
        <v>1</v>
      </c>
      <c r="E20" s="17" t="b">
        <f>E9</f>
        <v>1</v>
      </c>
      <c r="F20" s="20" t="b">
        <f>F2</f>
        <v>0</v>
      </c>
      <c r="G20" s="17" t="b">
        <f>G10</f>
        <v>1</v>
      </c>
      <c r="H20" s="17" t="b">
        <f>H2</f>
        <v>1</v>
      </c>
      <c r="I20" s="17" t="b">
        <f>I2</f>
        <v>1</v>
      </c>
      <c r="J20" s="17"/>
      <c r="K20" s="17" t="b">
        <f>K5</f>
        <v>1</v>
      </c>
      <c r="L20" s="17" t="b">
        <f>L17</f>
        <v>1</v>
      </c>
      <c r="M20" s="17" t="b">
        <f>M2</f>
        <v>1</v>
      </c>
      <c r="N20" s="17" t="b">
        <f>N2</f>
        <v>1</v>
      </c>
      <c r="O20" s="17" t="b">
        <f>O2</f>
        <v>1</v>
      </c>
      <c r="P20" s="20" t="b">
        <f>P11</f>
        <v>1</v>
      </c>
      <c r="Q20" s="20" t="b">
        <f>Q12</f>
        <v>1</v>
      </c>
      <c r="R20" s="17"/>
      <c r="S20" s="17"/>
      <c r="T20" s="20" t="b">
        <f>T15</f>
        <v>0</v>
      </c>
      <c r="U20" s="20" t="b">
        <f>U2</f>
        <v>0</v>
      </c>
      <c r="V20" s="20" t="b">
        <f>V2</f>
        <v>0</v>
      </c>
      <c r="W20" s="17"/>
      <c r="X20" s="20" t="b">
        <f>OR('Infant Formula Criteria'!B25:C25)</f>
        <v>1</v>
      </c>
      <c r="Y20" s="17" t="b">
        <f>Y2</f>
        <v>1</v>
      </c>
      <c r="Z20" t="b">
        <f>AND(Table32[[#This Row],[Immune Support]:[12-36 Mnths]],Table32[[#This Row],[Kosher/Halal]:[Organic]],OR(Table32[[#This Row],[Powder]:[Con Liq]]))</f>
        <v>0</v>
      </c>
      <c r="AA20" s="29" t="s">
        <v>1640</v>
      </c>
      <c r="AB20" t="s">
        <v>1709</v>
      </c>
    </row>
    <row r="21" spans="1:32">
      <c r="A21" t="b">
        <f>IF(Table32[[#This Row],[Column8]],Table32[[#This Row],[Products2]])</f>
        <v>0</v>
      </c>
      <c r="B21" s="17" t="b">
        <f>B3</f>
        <v>1</v>
      </c>
      <c r="C21" s="20" t="b">
        <f>C2</f>
        <v>1</v>
      </c>
      <c r="D21" s="20" t="b">
        <f>D17</f>
        <v>1</v>
      </c>
      <c r="E21" s="17" t="b">
        <f>E9</f>
        <v>1</v>
      </c>
      <c r="F21" s="20" t="b">
        <f>F2</f>
        <v>0</v>
      </c>
      <c r="G21" s="17" t="b">
        <f>G10</f>
        <v>1</v>
      </c>
      <c r="H21" s="17" t="b">
        <f>H2</f>
        <v>1</v>
      </c>
      <c r="I21" s="17" t="b">
        <f>I2</f>
        <v>1</v>
      </c>
      <c r="J21" s="17"/>
      <c r="K21" s="17" t="b">
        <f>K5</f>
        <v>1</v>
      </c>
      <c r="L21" s="17" t="b">
        <f>L17</f>
        <v>1</v>
      </c>
      <c r="M21" s="17" t="b">
        <f t="shared" ref="M21:R21" si="19">M2</f>
        <v>1</v>
      </c>
      <c r="N21" s="17" t="b">
        <f t="shared" si="19"/>
        <v>1</v>
      </c>
      <c r="O21" s="17" t="b">
        <f t="shared" si="19"/>
        <v>1</v>
      </c>
      <c r="P21" s="17" t="b">
        <f t="shared" si="19"/>
        <v>1</v>
      </c>
      <c r="Q21" s="17" t="b">
        <f t="shared" si="19"/>
        <v>1</v>
      </c>
      <c r="R21" s="20" t="b">
        <f t="shared" si="19"/>
        <v>0</v>
      </c>
      <c r="S21" s="17"/>
      <c r="T21" s="17"/>
      <c r="U21" s="20" t="b">
        <f>U2</f>
        <v>0</v>
      </c>
      <c r="V21" s="17"/>
      <c r="W21" s="17"/>
      <c r="X21" s="17" t="b">
        <f>X2</f>
        <v>1</v>
      </c>
      <c r="Y21" s="17" t="b">
        <f>Y2</f>
        <v>1</v>
      </c>
      <c r="Z21" t="b">
        <f>AND(Table32[[#This Row],[Immune Support]:[12-36 Mnths]],Table32[[#This Row],[Kosher/Halal]:[Organic]],OR(Table32[[#This Row],[Powder]:[Con Liq]]))</f>
        <v>0</v>
      </c>
      <c r="AA21" s="29" t="s">
        <v>1641</v>
      </c>
      <c r="AB21" t="s">
        <v>1642</v>
      </c>
    </row>
    <row r="22" spans="1:32">
      <c r="A22" t="b">
        <f>IF(Table32[[#This Row],[Column8]],Table32[[#This Row],[Products2]])</f>
        <v>0</v>
      </c>
      <c r="B22" s="17" t="b">
        <f>B3</f>
        <v>1</v>
      </c>
      <c r="C22" s="20" t="b">
        <f>C2</f>
        <v>1</v>
      </c>
      <c r="D22" s="17" t="b">
        <f>D2</f>
        <v>1</v>
      </c>
      <c r="E22" s="17" t="b">
        <f>E9</f>
        <v>1</v>
      </c>
      <c r="F22" s="17"/>
      <c r="G22" s="17" t="b">
        <f>G10</f>
        <v>1</v>
      </c>
      <c r="H22" s="17" t="b">
        <f>H2</f>
        <v>1</v>
      </c>
      <c r="I22" s="17" t="b">
        <f>I2</f>
        <v>1</v>
      </c>
      <c r="J22" s="20" t="b">
        <f>J10</f>
        <v>0</v>
      </c>
      <c r="K22" s="17" t="b">
        <f>K5</f>
        <v>1</v>
      </c>
      <c r="L22" s="17" t="b">
        <f>L17</f>
        <v>1</v>
      </c>
      <c r="M22" s="17" t="b">
        <f t="shared" ref="M22:R22" si="20">M2</f>
        <v>1</v>
      </c>
      <c r="N22" s="17" t="b">
        <f t="shared" si="20"/>
        <v>1</v>
      </c>
      <c r="O22" s="17" t="b">
        <f t="shared" si="20"/>
        <v>1</v>
      </c>
      <c r="P22" s="17" t="b">
        <f t="shared" si="20"/>
        <v>1</v>
      </c>
      <c r="Q22" s="17" t="b">
        <f t="shared" si="20"/>
        <v>1</v>
      </c>
      <c r="R22" s="20" t="b">
        <f t="shared" si="20"/>
        <v>0</v>
      </c>
      <c r="S22" s="17"/>
      <c r="T22" s="17"/>
      <c r="U22" s="17"/>
      <c r="V22" s="17"/>
      <c r="W22" s="20" t="b">
        <f>W4</f>
        <v>0</v>
      </c>
      <c r="X22" s="17" t="b">
        <f>X2</f>
        <v>1</v>
      </c>
      <c r="Y22" s="17" t="b">
        <f>Y2</f>
        <v>1</v>
      </c>
      <c r="Z22" t="b">
        <f>AND(Table32[[#This Row],[Immune Support]:[12-36 Mnths]],Table32[[#This Row],[Kosher/Halal]:[Organic]],OR(Table32[[#This Row],[Powder]:[Con Liq]]))</f>
        <v>0</v>
      </c>
      <c r="AA22" s="29" t="s">
        <v>1643</v>
      </c>
    </row>
    <row r="23" spans="1:32">
      <c r="A23" t="b">
        <f>IF(Table32[[#This Row],[Column8]],Table32[[#This Row],[Products2]])</f>
        <v>0</v>
      </c>
      <c r="B23" s="20" t="b">
        <f>B2</f>
        <v>1</v>
      </c>
      <c r="C23" s="17" t="b">
        <f>C5</f>
        <v>1</v>
      </c>
      <c r="D23" s="17" t="b">
        <f>D2</f>
        <v>1</v>
      </c>
      <c r="E23" s="17" t="b">
        <f>E9</f>
        <v>1</v>
      </c>
      <c r="F23" s="20" t="b">
        <f>F2</f>
        <v>0</v>
      </c>
      <c r="G23" s="17" t="b">
        <f>G10</f>
        <v>1</v>
      </c>
      <c r="H23" s="17" t="b">
        <f>H2</f>
        <v>1</v>
      </c>
      <c r="I23" s="20" t="b">
        <f>I9</f>
        <v>1</v>
      </c>
      <c r="J23" s="17"/>
      <c r="K23" s="17" t="b">
        <f>K5</f>
        <v>1</v>
      </c>
      <c r="L23" s="17" t="b">
        <f>L17</f>
        <v>1</v>
      </c>
      <c r="M23" s="17" t="b">
        <f>M2</f>
        <v>1</v>
      </c>
      <c r="N23" s="17" t="b">
        <f>N2</f>
        <v>1</v>
      </c>
      <c r="O23" s="20" t="b">
        <f>O7</f>
        <v>1</v>
      </c>
      <c r="P23" s="17" t="b">
        <f>P2</f>
        <v>1</v>
      </c>
      <c r="Q23" s="17" t="b">
        <f>Q2</f>
        <v>1</v>
      </c>
      <c r="R23" s="20" t="b">
        <f>R2</f>
        <v>0</v>
      </c>
      <c r="S23" s="17"/>
      <c r="T23" s="17"/>
      <c r="U23" s="20" t="b">
        <f>U2</f>
        <v>0</v>
      </c>
      <c r="V23" s="17"/>
      <c r="W23" s="17"/>
      <c r="X23" s="17" t="b">
        <f>X2</f>
        <v>1</v>
      </c>
      <c r="Y23" s="17" t="b">
        <f>Y2</f>
        <v>1</v>
      </c>
      <c r="Z23" t="b">
        <f>AND(Table32[[#This Row],[Immune Support]:[12-36 Mnths]],Table32[[#This Row],[Kosher/Halal]:[Organic]],OR(Table32[[#This Row],[Powder]:[Con Liq]]))</f>
        <v>0</v>
      </c>
      <c r="AA23" s="29" t="s">
        <v>1644</v>
      </c>
      <c r="AF23" t="s">
        <v>1651</v>
      </c>
    </row>
    <row r="24" spans="1:32">
      <c r="A24" t="b">
        <f>IF(Table32[[#This Row],[Column8]],Table32[[#This Row],[Products2]])</f>
        <v>0</v>
      </c>
      <c r="B24" s="17" t="b">
        <f>B3</f>
        <v>1</v>
      </c>
      <c r="C24" s="20" t="b">
        <f>C2</f>
        <v>1</v>
      </c>
      <c r="D24" s="17" t="b">
        <f>D2</f>
        <v>1</v>
      </c>
      <c r="E24" s="17" t="b">
        <f>E9</f>
        <v>1</v>
      </c>
      <c r="F24" s="17"/>
      <c r="G24" s="17" t="b">
        <f>G10</f>
        <v>1</v>
      </c>
      <c r="H24" s="17" t="b">
        <f>H2</f>
        <v>1</v>
      </c>
      <c r="I24" s="20" t="b">
        <f>I9</f>
        <v>1</v>
      </c>
      <c r="J24" s="20" t="b">
        <f>J10</f>
        <v>0</v>
      </c>
      <c r="K24" s="17" t="b">
        <f>K5</f>
        <v>1</v>
      </c>
      <c r="L24" s="17" t="b">
        <f>L17</f>
        <v>1</v>
      </c>
      <c r="M24" s="17" t="b">
        <f t="shared" ref="M24:R24" si="21">M2</f>
        <v>1</v>
      </c>
      <c r="N24" s="17" t="b">
        <f t="shared" si="21"/>
        <v>1</v>
      </c>
      <c r="O24" s="17" t="b">
        <f t="shared" si="21"/>
        <v>1</v>
      </c>
      <c r="P24" s="17" t="b">
        <f t="shared" si="21"/>
        <v>1</v>
      </c>
      <c r="Q24" s="17" t="b">
        <f t="shared" si="21"/>
        <v>1</v>
      </c>
      <c r="R24" s="20" t="b">
        <f t="shared" si="21"/>
        <v>0</v>
      </c>
      <c r="S24" s="17"/>
      <c r="T24" s="17"/>
      <c r="U24" s="20" t="b">
        <f>U2</f>
        <v>0</v>
      </c>
      <c r="V24" s="17"/>
      <c r="W24" s="17"/>
      <c r="X24" s="17" t="b">
        <f>X2</f>
        <v>1</v>
      </c>
      <c r="Y24" s="17" t="b">
        <f>Y2</f>
        <v>1</v>
      </c>
      <c r="Z24" t="b">
        <f>AND(Table32[[#This Row],[Immune Support]:[12-36 Mnths]],Table32[[#This Row],[Kosher/Halal]:[Organic]],OR(Table32[[#This Row],[Powder]:[Con Liq]]))</f>
        <v>0</v>
      </c>
      <c r="AA24" s="29" t="s">
        <v>1645</v>
      </c>
      <c r="AB24" t="s">
        <v>1646</v>
      </c>
      <c r="AF24" t="s">
        <v>1651</v>
      </c>
    </row>
    <row r="25" spans="1:32">
      <c r="A25" t="b">
        <f>IF(Table32[[#This Row],[Column8]],Table32[[#This Row],[Products2]])</f>
        <v>0</v>
      </c>
      <c r="B25" s="17" t="b">
        <f>B3</f>
        <v>1</v>
      </c>
      <c r="C25" s="20" t="b">
        <f>C2</f>
        <v>1</v>
      </c>
      <c r="D25" s="17" t="b">
        <f>D2</f>
        <v>1</v>
      </c>
      <c r="E25" s="17" t="b">
        <f>E9</f>
        <v>1</v>
      </c>
      <c r="F25" s="17"/>
      <c r="G25" s="17" t="b">
        <f>G10</f>
        <v>1</v>
      </c>
      <c r="H25" s="17" t="b">
        <f>H2</f>
        <v>1</v>
      </c>
      <c r="I25" s="20" t="b">
        <f>I9</f>
        <v>1</v>
      </c>
      <c r="J25" s="20" t="b">
        <f>J10</f>
        <v>0</v>
      </c>
      <c r="K25" s="17" t="b">
        <f>K5</f>
        <v>1</v>
      </c>
      <c r="L25" s="17" t="b">
        <f>L17</f>
        <v>1</v>
      </c>
      <c r="M25" s="17" t="b">
        <f>M2</f>
        <v>1</v>
      </c>
      <c r="N25" s="17" t="b">
        <f>N2</f>
        <v>1</v>
      </c>
      <c r="O25" s="17" t="b">
        <f>O2</f>
        <v>1</v>
      </c>
      <c r="P25" s="17" t="b">
        <f>P2</f>
        <v>1</v>
      </c>
      <c r="Q25" s="17" t="b">
        <f>Q2</f>
        <v>1</v>
      </c>
      <c r="R25" s="17"/>
      <c r="S25" s="17"/>
      <c r="T25" s="20" t="b">
        <f>T15</f>
        <v>0</v>
      </c>
      <c r="U25" s="20" t="b">
        <f>U2</f>
        <v>0</v>
      </c>
      <c r="V25" s="17"/>
      <c r="W25" s="17"/>
      <c r="X25" s="17" t="b">
        <f>X2</f>
        <v>1</v>
      </c>
      <c r="Y25" s="17" t="b">
        <f>Y2</f>
        <v>1</v>
      </c>
      <c r="Z25" t="b">
        <f>AND(Table32[[#This Row],[Immune Support]:[12-36 Mnths]],Table32[[#This Row],[Kosher/Halal]:[Organic]],OR(Table32[[#This Row],[Powder]:[Con Liq]]))</f>
        <v>0</v>
      </c>
      <c r="AA25" s="29" t="s">
        <v>1647</v>
      </c>
      <c r="AB25" t="s">
        <v>1646</v>
      </c>
      <c r="AF25" t="s">
        <v>1651</v>
      </c>
    </row>
    <row r="26" spans="1:32">
      <c r="A26" t="b">
        <f>IF(Table32[[#This Row],[Column8]],Table32[[#This Row],[Products2]])</f>
        <v>0</v>
      </c>
      <c r="B26" s="17" t="b">
        <f>B3</f>
        <v>1</v>
      </c>
      <c r="C26" s="20" t="b">
        <f>C2</f>
        <v>1</v>
      </c>
      <c r="D26" s="17" t="b">
        <f>D2</f>
        <v>1</v>
      </c>
      <c r="E26" s="17" t="b">
        <f>E9</f>
        <v>1</v>
      </c>
      <c r="F26" s="20" t="b">
        <f>F2</f>
        <v>0</v>
      </c>
      <c r="G26" s="17" t="b">
        <f>G10</f>
        <v>1</v>
      </c>
      <c r="H26" s="17" t="b">
        <f>H2</f>
        <v>1</v>
      </c>
      <c r="I26" s="20" t="b">
        <f>I9</f>
        <v>1</v>
      </c>
      <c r="J26" s="17"/>
      <c r="K26" s="17" t="b">
        <f>K5</f>
        <v>1</v>
      </c>
      <c r="L26" s="17" t="b">
        <f>L17</f>
        <v>1</v>
      </c>
      <c r="M26" s="17" t="b">
        <f>M2</f>
        <v>1</v>
      </c>
      <c r="N26" s="17" t="b">
        <f>N2</f>
        <v>1</v>
      </c>
      <c r="O26" s="20" t="b">
        <f>O7</f>
        <v>1</v>
      </c>
      <c r="P26" s="17" t="b">
        <f>P2</f>
        <v>1</v>
      </c>
      <c r="Q26" s="17" t="b">
        <f>Q2</f>
        <v>1</v>
      </c>
      <c r="R26" s="20" t="b">
        <f>R2</f>
        <v>0</v>
      </c>
      <c r="S26" s="17"/>
      <c r="T26" s="17"/>
      <c r="U26" s="20" t="b">
        <f>U2</f>
        <v>0</v>
      </c>
      <c r="V26" s="17"/>
      <c r="W26" s="17"/>
      <c r="X26" s="17" t="b">
        <f>X2</f>
        <v>1</v>
      </c>
      <c r="Y26" s="17" t="b">
        <f>Y2</f>
        <v>1</v>
      </c>
      <c r="Z26" t="b">
        <f>AND(Table32[[#This Row],[Immune Support]:[12-36 Mnths]],Table32[[#This Row],[Kosher/Halal]:[Organic]],OR(Table32[[#This Row],[Powder]:[Con Liq]]))</f>
        <v>0</v>
      </c>
      <c r="AA26" s="29" t="s">
        <v>1648</v>
      </c>
      <c r="AB26" t="s">
        <v>1650</v>
      </c>
      <c r="AF26" t="s">
        <v>1651</v>
      </c>
    </row>
    <row r="27" spans="1:32">
      <c r="A27" t="b">
        <f>IF(Table32[[#This Row],[Column8]],Table32[[#This Row],[Products2]])</f>
        <v>0</v>
      </c>
      <c r="B27" s="17" t="b">
        <f>B3</f>
        <v>1</v>
      </c>
      <c r="C27" s="20" t="b">
        <f>C2</f>
        <v>1</v>
      </c>
      <c r="D27" s="17" t="b">
        <f>D2</f>
        <v>1</v>
      </c>
      <c r="E27" s="17" t="b">
        <f>E9</f>
        <v>1</v>
      </c>
      <c r="F27" s="20" t="b">
        <f>F2</f>
        <v>0</v>
      </c>
      <c r="G27" s="17" t="b">
        <f>G10</f>
        <v>1</v>
      </c>
      <c r="H27" s="17" t="b">
        <f>H2</f>
        <v>1</v>
      </c>
      <c r="I27" s="17" t="b">
        <f>I2</f>
        <v>1</v>
      </c>
      <c r="J27" s="17"/>
      <c r="K27" s="17" t="b">
        <f>K5</f>
        <v>1</v>
      </c>
      <c r="L27" s="17" t="b">
        <f>L17</f>
        <v>1</v>
      </c>
      <c r="M27" s="17" t="b">
        <f>M2</f>
        <v>1</v>
      </c>
      <c r="N27" s="17" t="b">
        <f>N2</f>
        <v>1</v>
      </c>
      <c r="O27" s="17" t="b">
        <f>O2</f>
        <v>1</v>
      </c>
      <c r="P27" s="20" t="b">
        <f>P11</f>
        <v>1</v>
      </c>
      <c r="Q27" s="17" t="b">
        <f>Q2</f>
        <v>1</v>
      </c>
      <c r="R27" s="20" t="b">
        <f>R2</f>
        <v>0</v>
      </c>
      <c r="S27" s="17"/>
      <c r="T27" s="17"/>
      <c r="U27" s="20" t="b">
        <f>U2</f>
        <v>0</v>
      </c>
      <c r="V27" s="20" t="b">
        <f>V2</f>
        <v>0</v>
      </c>
      <c r="W27" s="17"/>
      <c r="X27" s="17" t="b">
        <f>X2</f>
        <v>1</v>
      </c>
      <c r="Y27" s="17" t="b">
        <f>Y2</f>
        <v>1</v>
      </c>
      <c r="Z27" t="b">
        <f>AND(Table32[[#This Row],[Immune Support]:[12-36 Mnths]],Table32[[#This Row],[Kosher/Halal]:[Organic]],OR(Table32[[#This Row],[Powder]:[Con Liq]]))</f>
        <v>0</v>
      </c>
      <c r="AA27" s="29" t="s">
        <v>1652</v>
      </c>
      <c r="AB27" t="s">
        <v>1653</v>
      </c>
    </row>
    <row r="28" spans="1:32">
      <c r="A28" t="b">
        <f>IF(Table32[[#This Row],[Column8]],Table32[[#This Row],[Products2]])</f>
        <v>0</v>
      </c>
      <c r="B28" s="17" t="b">
        <f>B3</f>
        <v>1</v>
      </c>
      <c r="C28" s="17" t="b">
        <f>C5</f>
        <v>1</v>
      </c>
      <c r="D28" s="17" t="b">
        <f>D2</f>
        <v>1</v>
      </c>
      <c r="E28" s="17" t="b">
        <f>E9</f>
        <v>1</v>
      </c>
      <c r="F28" s="20" t="b">
        <f>F2</f>
        <v>0</v>
      </c>
      <c r="G28" s="17" t="b">
        <f>G10</f>
        <v>1</v>
      </c>
      <c r="H28" s="17" t="b">
        <f>H2</f>
        <v>1</v>
      </c>
      <c r="I28" s="17" t="b">
        <f>I2</f>
        <v>1</v>
      </c>
      <c r="J28" s="17"/>
      <c r="K28" s="17" t="b">
        <f>K5</f>
        <v>1</v>
      </c>
      <c r="L28" s="17" t="b">
        <f>L17</f>
        <v>1</v>
      </c>
      <c r="M28" s="17" t="b">
        <f>M2</f>
        <v>1</v>
      </c>
      <c r="N28" s="20" t="b">
        <f>N15</f>
        <v>1</v>
      </c>
      <c r="O28" s="17" t="b">
        <f>O2</f>
        <v>1</v>
      </c>
      <c r="P28" s="17" t="b">
        <f>P2</f>
        <v>1</v>
      </c>
      <c r="Q28" s="17" t="b">
        <f>Q2</f>
        <v>1</v>
      </c>
      <c r="R28" s="20" t="b">
        <f>R2</f>
        <v>0</v>
      </c>
      <c r="S28" s="17"/>
      <c r="T28" s="17"/>
      <c r="U28" s="20" t="b">
        <f>U2</f>
        <v>0</v>
      </c>
      <c r="V28" s="17"/>
      <c r="W28" s="20" t="b">
        <f>W4</f>
        <v>0</v>
      </c>
      <c r="X28" s="17" t="b">
        <f>X2</f>
        <v>1</v>
      </c>
      <c r="Y28" s="17" t="b">
        <f>Y2</f>
        <v>1</v>
      </c>
      <c r="Z28" t="b">
        <f>AND(Table32[[#This Row],[Immune Support]:[12-36 Mnths]],Table32[[#This Row],[Kosher/Halal]:[Organic]],OR(Table32[[#This Row],[Powder]:[Con Liq]]))</f>
        <v>0</v>
      </c>
      <c r="AA28" s="29" t="s">
        <v>1654</v>
      </c>
    </row>
    <row r="29" spans="1:32">
      <c r="A29" t="b">
        <f>IF(Table32[[#This Row],[Column8]],Table32[[#This Row],[Products2]])</f>
        <v>0</v>
      </c>
      <c r="B29" s="17" t="b">
        <f>B3</f>
        <v>1</v>
      </c>
      <c r="C29" s="17" t="b">
        <f>C5</f>
        <v>1</v>
      </c>
      <c r="D29" s="17" t="b">
        <f>D2</f>
        <v>1</v>
      </c>
      <c r="E29" s="17" t="b">
        <f>E9</f>
        <v>1</v>
      </c>
      <c r="F29" s="20" t="b">
        <f>F2</f>
        <v>0</v>
      </c>
      <c r="G29" s="17" t="b">
        <f>G10</f>
        <v>1</v>
      </c>
      <c r="H29" s="17" t="b">
        <f>H2</f>
        <v>1</v>
      </c>
      <c r="I29" s="17" t="b">
        <f>I2</f>
        <v>1</v>
      </c>
      <c r="J29" s="17"/>
      <c r="K29" s="17" t="b">
        <f>K5</f>
        <v>1</v>
      </c>
      <c r="L29" s="17" t="b">
        <f>L17</f>
        <v>1</v>
      </c>
      <c r="M29" s="20" t="b">
        <f>M6</f>
        <v>1</v>
      </c>
      <c r="N29" s="17" t="b">
        <f>N2</f>
        <v>1</v>
      </c>
      <c r="O29" s="17" t="b">
        <f>O2</f>
        <v>1</v>
      </c>
      <c r="P29" s="17" t="b">
        <f>P2</f>
        <v>1</v>
      </c>
      <c r="Q29" s="17" t="b">
        <f>Q2</f>
        <v>1</v>
      </c>
      <c r="R29" s="20" t="b">
        <f>R2</f>
        <v>0</v>
      </c>
      <c r="S29" s="17"/>
      <c r="T29" s="17"/>
      <c r="U29" s="20" t="b">
        <f>U2</f>
        <v>0</v>
      </c>
      <c r="V29" s="17"/>
      <c r="W29" s="20" t="b">
        <f>W4</f>
        <v>0</v>
      </c>
      <c r="X29" s="17" t="b">
        <f>X2</f>
        <v>1</v>
      </c>
      <c r="Y29" s="17" t="b">
        <f>Y2</f>
        <v>1</v>
      </c>
      <c r="Z29" t="b">
        <f>AND(Table32[[#This Row],[Immune Support]:[12-36 Mnths]],Table32[[#This Row],[Kosher/Halal]:[Organic]],OR(Table32[[#This Row],[Powder]:[Con Liq]]))</f>
        <v>0</v>
      </c>
      <c r="AA29" s="29" t="s">
        <v>1655</v>
      </c>
    </row>
    <row r="30" spans="1:32">
      <c r="A30" t="b">
        <f>IF(Table32[[#This Row],[Column8]],Table32[[#This Row],[Products2]])</f>
        <v>0</v>
      </c>
      <c r="B30" s="17" t="b">
        <f>B3</f>
        <v>1</v>
      </c>
      <c r="C30" s="17" t="b">
        <f>C5</f>
        <v>1</v>
      </c>
      <c r="D30" s="17" t="b">
        <f>D2</f>
        <v>1</v>
      </c>
      <c r="E30" s="17" t="b">
        <f>E9</f>
        <v>1</v>
      </c>
      <c r="F30" s="20" t="b">
        <f>F2</f>
        <v>0</v>
      </c>
      <c r="G30" s="17" t="b">
        <f>G10</f>
        <v>1</v>
      </c>
      <c r="H30" s="17" t="b">
        <f>H2</f>
        <v>1</v>
      </c>
      <c r="I30" s="17" t="b">
        <f>I2</f>
        <v>1</v>
      </c>
      <c r="J30" s="17"/>
      <c r="K30" s="17" t="b">
        <f>K5</f>
        <v>1</v>
      </c>
      <c r="L30" s="17" t="b">
        <f>L17</f>
        <v>1</v>
      </c>
      <c r="M30" s="17" t="b">
        <f>M2</f>
        <v>1</v>
      </c>
      <c r="N30" s="20" t="b">
        <f>N15</f>
        <v>1</v>
      </c>
      <c r="O30" s="17" t="b">
        <f>O2</f>
        <v>1</v>
      </c>
      <c r="P30" s="17" t="b">
        <f>P2</f>
        <v>1</v>
      </c>
      <c r="Q30" s="20" t="b">
        <f>Q12</f>
        <v>1</v>
      </c>
      <c r="R30" s="17"/>
      <c r="S30" s="20" t="b">
        <f>S12</f>
        <v>0</v>
      </c>
      <c r="T30" s="17"/>
      <c r="U30" s="20" t="b">
        <f>U2</f>
        <v>0</v>
      </c>
      <c r="V30" s="17"/>
      <c r="W30" s="17"/>
      <c r="X30" s="17" t="b">
        <f>X2</f>
        <v>1</v>
      </c>
      <c r="Y30" s="17" t="b">
        <f>Y2</f>
        <v>1</v>
      </c>
      <c r="Z30" t="b">
        <f>AND(Table32[[#This Row],[Immune Support]:[12-36 Mnths]],Table32[[#This Row],[Kosher/Halal]:[Organic]],OR(Table32[[#This Row],[Powder]:[Con Liq]]))</f>
        <v>0</v>
      </c>
      <c r="AA30" s="29" t="s">
        <v>1656</v>
      </c>
    </row>
    <row r="31" spans="1:32">
      <c r="A31" s="16" t="e">
        <f>IF(Table32[[#This Row],[Column8]],Table32[[#This Row],[Products2]])</f>
        <v>#VALUE!</v>
      </c>
      <c r="B31" s="16"/>
      <c r="C31" s="16"/>
      <c r="D31" s="16"/>
      <c r="E31" s="16"/>
      <c r="F31" s="16"/>
      <c r="G31" s="16"/>
      <c r="H31" s="16"/>
      <c r="I31" s="16"/>
      <c r="J31" s="16"/>
      <c r="K31" s="16"/>
      <c r="L31" s="16"/>
      <c r="M31" s="16"/>
      <c r="N31" s="16"/>
      <c r="O31" s="16"/>
      <c r="P31" s="16"/>
      <c r="Q31" s="16"/>
      <c r="R31" s="16"/>
      <c r="S31" s="16"/>
      <c r="T31" s="16"/>
      <c r="U31" s="16"/>
      <c r="V31" s="16"/>
      <c r="W31" s="16"/>
      <c r="X31" s="16"/>
      <c r="Y31" s="16"/>
      <c r="Z31" s="16" t="e">
        <f>AND(Table32[[#This Row],[Immune Support]:[12-36 Mnths]],Table32[[#This Row],[Kosher/Halal]:[Organic]],OR(Table32[[#This Row],[Powder]:[Con Liq]]))</f>
        <v>#VALUE!</v>
      </c>
      <c r="AA31" s="16"/>
    </row>
    <row r="32" spans="1:32">
      <c r="A32" t="b">
        <f>IF(Table32[[#This Row],[Column8]],Table32[[#This Row],[Products2]])</f>
        <v>0</v>
      </c>
      <c r="B32" s="20" t="b">
        <f>B2</f>
        <v>1</v>
      </c>
      <c r="C32" s="20" t="b">
        <f>C2</f>
        <v>1</v>
      </c>
      <c r="D32" s="17" t="b">
        <f>D2</f>
        <v>1</v>
      </c>
      <c r="E32" s="20" t="b">
        <f>E2</f>
        <v>1</v>
      </c>
      <c r="F32" s="20" t="b">
        <f>F2</f>
        <v>0</v>
      </c>
      <c r="G32" s="17" t="b">
        <f>G10</f>
        <v>1</v>
      </c>
      <c r="H32" s="20" t="b">
        <f>H8</f>
        <v>1</v>
      </c>
      <c r="I32" s="17" t="b">
        <f>I2</f>
        <v>1</v>
      </c>
      <c r="J32" s="17"/>
      <c r="K32" s="17" t="b">
        <f>K5</f>
        <v>1</v>
      </c>
      <c r="L32" s="20" t="b">
        <f>L2</f>
        <v>1</v>
      </c>
      <c r="M32" s="17" t="b">
        <f>M2</f>
        <v>1</v>
      </c>
      <c r="N32" s="17" t="b">
        <f>N2</f>
        <v>1</v>
      </c>
      <c r="O32" s="20" t="b">
        <f>O7</f>
        <v>1</v>
      </c>
      <c r="P32" s="17" t="b">
        <f>P2</f>
        <v>1</v>
      </c>
      <c r="Q32" s="17" t="b">
        <f>Q2</f>
        <v>1</v>
      </c>
      <c r="R32" s="20" t="b">
        <f>R2</f>
        <v>0</v>
      </c>
      <c r="S32" s="17"/>
      <c r="T32" s="17"/>
      <c r="U32" s="20" t="b">
        <f>U2</f>
        <v>0</v>
      </c>
      <c r="V32" s="17"/>
      <c r="W32" s="17"/>
      <c r="X32" s="17" t="b">
        <f>X2</f>
        <v>1</v>
      </c>
      <c r="Y32" s="17" t="b">
        <f>Y2</f>
        <v>1</v>
      </c>
      <c r="Z32" t="b">
        <f>AND(Table32[[#This Row],[Immune Support]:[12-36 Mnths]],Table32[[#This Row],[Kosher/Halal]:[Organic]],OR(Table32[[#This Row],[Powder]:[Con Liq]]))</f>
        <v>0</v>
      </c>
      <c r="AA32" s="29" t="s">
        <v>1658</v>
      </c>
    </row>
    <row r="33" spans="1:27">
      <c r="A33" t="b">
        <f>IF(Table32[[#This Row],[Column8]],Table32[[#This Row],[Products2]])</f>
        <v>0</v>
      </c>
      <c r="B33" s="20" t="b">
        <f>B2</f>
        <v>1</v>
      </c>
      <c r="C33" s="20" t="b">
        <f>C2</f>
        <v>1</v>
      </c>
      <c r="D33" s="20" t="b">
        <f>D17</f>
        <v>1</v>
      </c>
      <c r="E33" s="20" t="b">
        <f>E2</f>
        <v>1</v>
      </c>
      <c r="F33" s="20" t="b">
        <f>F2</f>
        <v>0</v>
      </c>
      <c r="G33" s="17" t="b">
        <f>G10</f>
        <v>1</v>
      </c>
      <c r="H33" s="17" t="b">
        <f>H2</f>
        <v>1</v>
      </c>
      <c r="I33" s="17" t="b">
        <f>I2</f>
        <v>1</v>
      </c>
      <c r="J33" s="17"/>
      <c r="K33" s="17" t="b">
        <f>K5</f>
        <v>1</v>
      </c>
      <c r="L33" s="20" t="b">
        <f>L2</f>
        <v>1</v>
      </c>
      <c r="M33" s="17" t="b">
        <f>M2</f>
        <v>1</v>
      </c>
      <c r="N33" s="17" t="b">
        <f>N2</f>
        <v>1</v>
      </c>
      <c r="O33" s="20" t="b">
        <f>O7</f>
        <v>1</v>
      </c>
      <c r="P33" s="17" t="b">
        <f>P2</f>
        <v>1</v>
      </c>
      <c r="Q33" s="17" t="b">
        <f>Q2</f>
        <v>1</v>
      </c>
      <c r="R33" s="20" t="b">
        <f>R2</f>
        <v>0</v>
      </c>
      <c r="S33" s="17"/>
      <c r="T33" s="17"/>
      <c r="U33" s="20" t="b">
        <f>U2</f>
        <v>0</v>
      </c>
      <c r="V33" s="20" t="b">
        <f>V2</f>
        <v>0</v>
      </c>
      <c r="W33" s="20" t="b">
        <f>W4</f>
        <v>0</v>
      </c>
      <c r="X33" s="17" t="b">
        <f>X2</f>
        <v>1</v>
      </c>
      <c r="Y33" s="17" t="b">
        <f>Y2</f>
        <v>1</v>
      </c>
      <c r="Z33" t="b">
        <f>AND(Table32[[#This Row],[Immune Support]:[12-36 Mnths]],Table32[[#This Row],[Kosher/Halal]:[Organic]],OR(Table32[[#This Row],[Powder]:[Con Liq]]))</f>
        <v>0</v>
      </c>
      <c r="AA33" s="29" t="s">
        <v>1659</v>
      </c>
    </row>
    <row r="34" spans="1:27">
      <c r="A34" t="b">
        <f>IF(Table32[[#This Row],[Column8]],Table32[[#This Row],[Products2]])</f>
        <v>0</v>
      </c>
      <c r="B34" s="20" t="b">
        <f>B2</f>
        <v>1</v>
      </c>
      <c r="C34" s="20" t="b">
        <f>C2</f>
        <v>1</v>
      </c>
      <c r="D34" s="20" t="b">
        <f>D17</f>
        <v>1</v>
      </c>
      <c r="E34" s="20" t="b">
        <f>E2</f>
        <v>1</v>
      </c>
      <c r="F34" s="20" t="b">
        <f>F2</f>
        <v>0</v>
      </c>
      <c r="G34" s="17" t="b">
        <f>G10</f>
        <v>1</v>
      </c>
      <c r="H34" s="17" t="b">
        <f>H2</f>
        <v>1</v>
      </c>
      <c r="I34" s="17" t="b">
        <f>I2</f>
        <v>1</v>
      </c>
      <c r="J34" s="17"/>
      <c r="K34" s="17" t="b">
        <f>K5</f>
        <v>1</v>
      </c>
      <c r="L34" s="20" t="b">
        <f>L2</f>
        <v>1</v>
      </c>
      <c r="M34" s="17" t="b">
        <f>M2</f>
        <v>1</v>
      </c>
      <c r="N34" s="20" t="b">
        <f>N15</f>
        <v>1</v>
      </c>
      <c r="O34" s="20" t="b">
        <f>O7</f>
        <v>1</v>
      </c>
      <c r="P34" s="17" t="b">
        <f>P2</f>
        <v>1</v>
      </c>
      <c r="Q34" s="20" t="b">
        <f>Q12</f>
        <v>1</v>
      </c>
      <c r="R34" s="17"/>
      <c r="S34" s="20" t="b">
        <f>S12</f>
        <v>0</v>
      </c>
      <c r="T34" s="17"/>
      <c r="U34" s="20" t="b">
        <f>U2</f>
        <v>0</v>
      </c>
      <c r="V34" s="20" t="b">
        <f>V2</f>
        <v>0</v>
      </c>
      <c r="W34" s="20" t="b">
        <f>W4</f>
        <v>0</v>
      </c>
      <c r="X34" s="17" t="b">
        <f>X2</f>
        <v>1</v>
      </c>
      <c r="Y34" s="17" t="b">
        <f>Y2</f>
        <v>1</v>
      </c>
      <c r="Z34" t="b">
        <f>AND(Table32[[#This Row],[Immune Support]:[12-36 Mnths]],Table32[[#This Row],[Kosher/Halal]:[Organic]],OR(Table32[[#This Row],[Powder]:[Con Liq]]))</f>
        <v>0</v>
      </c>
      <c r="AA34" s="29" t="s">
        <v>1660</v>
      </c>
    </row>
    <row r="35" spans="1:27">
      <c r="A35" t="b">
        <f>IF(Table32[[#This Row],[Column8]],Table32[[#This Row],[Products2]])</f>
        <v>0</v>
      </c>
      <c r="B35" s="20" t="b">
        <f>B2</f>
        <v>1</v>
      </c>
      <c r="C35" s="20" t="b">
        <f>C2</f>
        <v>1</v>
      </c>
      <c r="D35" s="17" t="b">
        <f>D2</f>
        <v>1</v>
      </c>
      <c r="E35" s="17" t="b">
        <f>E9</f>
        <v>1</v>
      </c>
      <c r="F35" s="20" t="b">
        <f>F2</f>
        <v>0</v>
      </c>
      <c r="G35" s="17" t="b">
        <f>G10</f>
        <v>1</v>
      </c>
      <c r="H35" s="17" t="b">
        <f>H2</f>
        <v>1</v>
      </c>
      <c r="I35" s="17" t="b">
        <f>I2</f>
        <v>1</v>
      </c>
      <c r="J35" s="17"/>
      <c r="K35" s="17" t="b">
        <f>K5</f>
        <v>1</v>
      </c>
      <c r="L35" s="20" t="b">
        <f>L2</f>
        <v>1</v>
      </c>
      <c r="M35" s="17" t="b">
        <f>M2</f>
        <v>1</v>
      </c>
      <c r="N35" s="20" t="b">
        <f>N15</f>
        <v>1</v>
      </c>
      <c r="O35" s="17" t="b">
        <f>O2</f>
        <v>1</v>
      </c>
      <c r="P35" s="17" t="b">
        <f>P2</f>
        <v>1</v>
      </c>
      <c r="Q35" s="20" t="b">
        <f>Q12</f>
        <v>1</v>
      </c>
      <c r="R35" s="17"/>
      <c r="S35" s="17"/>
      <c r="T35" s="20" t="b">
        <f>T15</f>
        <v>0</v>
      </c>
      <c r="U35" s="20" t="b">
        <f>U2</f>
        <v>0</v>
      </c>
      <c r="V35" s="17"/>
      <c r="W35" s="17"/>
      <c r="X35" s="20" t="b">
        <f>X20</f>
        <v>1</v>
      </c>
      <c r="Y35" s="17" t="b">
        <f>Y2</f>
        <v>1</v>
      </c>
      <c r="Z35" t="b">
        <f>AND(Table32[[#This Row],[Immune Support]:[12-36 Mnths]],Table32[[#This Row],[Kosher/Halal]:[Organic]],OR(Table32[[#This Row],[Powder]:[Con Liq]]))</f>
        <v>0</v>
      </c>
      <c r="AA35" s="11" t="s">
        <v>1661</v>
      </c>
    </row>
    <row r="36" spans="1:27">
      <c r="A36" t="b">
        <f>IF(Table32[[#This Row],[Column8]],Table32[[#This Row],[Products2]])</f>
        <v>0</v>
      </c>
      <c r="B36" s="17" t="b">
        <f>B3</f>
        <v>1</v>
      </c>
      <c r="C36" s="20" t="b">
        <f t="shared" ref="C36:I36" si="22">C2</f>
        <v>1</v>
      </c>
      <c r="D36" s="17" t="b">
        <f t="shared" si="22"/>
        <v>1</v>
      </c>
      <c r="E36" s="20" t="b">
        <f t="shared" si="22"/>
        <v>1</v>
      </c>
      <c r="F36" s="20" t="b">
        <f t="shared" si="22"/>
        <v>0</v>
      </c>
      <c r="G36" s="20" t="b">
        <f t="shared" si="22"/>
        <v>1</v>
      </c>
      <c r="H36" s="17" t="b">
        <f t="shared" si="22"/>
        <v>1</v>
      </c>
      <c r="I36" s="17" t="b">
        <f t="shared" si="22"/>
        <v>1</v>
      </c>
      <c r="J36" s="17"/>
      <c r="K36" s="17" t="b">
        <f>K5</f>
        <v>1</v>
      </c>
      <c r="L36" s="20" t="b">
        <f t="shared" ref="L36:R36" si="23">L2</f>
        <v>1</v>
      </c>
      <c r="M36" s="17" t="b">
        <f t="shared" si="23"/>
        <v>1</v>
      </c>
      <c r="N36" s="17" t="b">
        <f t="shared" si="23"/>
        <v>1</v>
      </c>
      <c r="O36" s="17" t="b">
        <f t="shared" si="23"/>
        <v>1</v>
      </c>
      <c r="P36" s="17" t="b">
        <f t="shared" si="23"/>
        <v>1</v>
      </c>
      <c r="Q36" s="17" t="b">
        <f t="shared" si="23"/>
        <v>1</v>
      </c>
      <c r="R36" s="20" t="b">
        <f t="shared" si="23"/>
        <v>0</v>
      </c>
      <c r="S36" s="17"/>
      <c r="T36" s="17"/>
      <c r="U36" s="20" t="b">
        <f>U2</f>
        <v>0</v>
      </c>
      <c r="V36" s="17"/>
      <c r="W36" s="17"/>
      <c r="X36" s="20" t="b">
        <f>X20</f>
        <v>1</v>
      </c>
      <c r="Y36" s="20" t="b">
        <f>OR('Infant Formula Criteria'!B26:C26)</f>
        <v>1</v>
      </c>
      <c r="Z36" t="b">
        <f>AND(Table32[[#This Row],[Immune Support]:[12-36 Mnths]],Table32[[#This Row],[Kosher/Halal]:[Organic]],OR(Table32[[#This Row],[Powder]:[Con Liq]]))</f>
        <v>0</v>
      </c>
      <c r="AA36" s="29" t="s">
        <v>1662</v>
      </c>
    </row>
    <row r="37" spans="1:27">
      <c r="A37" t="b">
        <f>IF(Table32[[#This Row],[Column8]],Table32[[#This Row],[Products2]])</f>
        <v>0</v>
      </c>
      <c r="B37" s="17" t="b">
        <f>B3</f>
        <v>1</v>
      </c>
      <c r="C37" s="20" t="b">
        <f>C2</f>
        <v>1</v>
      </c>
      <c r="D37" s="17" t="b">
        <f>D2</f>
        <v>1</v>
      </c>
      <c r="E37" s="20" t="b">
        <f>E2</f>
        <v>1</v>
      </c>
      <c r="F37" s="17"/>
      <c r="G37" s="17" t="b">
        <f>G10</f>
        <v>1</v>
      </c>
      <c r="H37" s="17" t="b">
        <f>H2</f>
        <v>1</v>
      </c>
      <c r="I37" s="17" t="b">
        <f>I2</f>
        <v>1</v>
      </c>
      <c r="J37" s="20" t="b">
        <f>J10</f>
        <v>0</v>
      </c>
      <c r="K37" s="17" t="b">
        <f>K5</f>
        <v>1</v>
      </c>
      <c r="L37" s="20" t="b">
        <f t="shared" ref="L37:R37" si="24">L2</f>
        <v>1</v>
      </c>
      <c r="M37" s="17" t="b">
        <f t="shared" si="24"/>
        <v>1</v>
      </c>
      <c r="N37" s="17" t="b">
        <f t="shared" si="24"/>
        <v>1</v>
      </c>
      <c r="O37" s="17" t="b">
        <f t="shared" si="24"/>
        <v>1</v>
      </c>
      <c r="P37" s="17" t="b">
        <f t="shared" si="24"/>
        <v>1</v>
      </c>
      <c r="Q37" s="17" t="b">
        <f t="shared" si="24"/>
        <v>1</v>
      </c>
      <c r="R37" s="20" t="b">
        <f t="shared" si="24"/>
        <v>0</v>
      </c>
      <c r="S37" s="17"/>
      <c r="T37" s="17"/>
      <c r="U37" s="20" t="b">
        <f>U2</f>
        <v>0</v>
      </c>
      <c r="V37" s="17"/>
      <c r="W37" s="17"/>
      <c r="X37" s="20" t="b">
        <f>X20</f>
        <v>1</v>
      </c>
      <c r="Y37" s="17" t="b">
        <f>Y2</f>
        <v>1</v>
      </c>
      <c r="Z37" t="b">
        <f>AND(Table32[[#This Row],[Immune Support]:[12-36 Mnths]],Table32[[#This Row],[Kosher/Halal]:[Organic]],OR(Table32[[#This Row],[Powder]:[Con Liq]]))</f>
        <v>0</v>
      </c>
      <c r="AA37" s="29" t="s">
        <v>1663</v>
      </c>
    </row>
    <row r="38" spans="1:27">
      <c r="A38" s="16" t="e">
        <f>IF(Table32[[#This Row],[Column8]],Table32[[#This Row],[Products2]])</f>
        <v>#VALUE!</v>
      </c>
      <c r="B38" s="16"/>
      <c r="C38" s="16"/>
      <c r="D38" s="16"/>
      <c r="E38" s="16"/>
      <c r="F38" s="16"/>
      <c r="G38" s="16"/>
      <c r="H38" s="16"/>
      <c r="I38" s="16"/>
      <c r="J38" s="16"/>
      <c r="K38" s="16"/>
      <c r="L38" s="16"/>
      <c r="M38" s="16"/>
      <c r="N38" s="16"/>
      <c r="O38" s="16"/>
      <c r="P38" s="16"/>
      <c r="Q38" s="16"/>
      <c r="R38" s="16"/>
      <c r="S38" s="16"/>
      <c r="T38" s="16"/>
      <c r="U38" s="16"/>
      <c r="V38" s="16"/>
      <c r="W38" s="16"/>
      <c r="X38" s="16"/>
      <c r="Y38" s="16"/>
      <c r="Z38" s="16" t="e">
        <f>AND(Table32[[#This Row],[Immune Support]:[12-36 Mnths]],Table32[[#This Row],[Kosher/Halal]:[Organic]],OR(Table32[[#This Row],[Powder]:[Con Liq]]))</f>
        <v>#VALUE!</v>
      </c>
      <c r="AA38" s="16"/>
    </row>
    <row r="39" spans="1:27">
      <c r="A39" t="e">
        <f>IF(Table32[[#This Row],[Column8]],Table32[[#This Row],[Products2]])</f>
        <v>#VALUE!</v>
      </c>
      <c r="Z39" t="e">
        <f>AND(Table32[[#This Row],[Immune Support]:[12-36 Mnths]],Table32[[#This Row],[Kosher/Halal]:[Organic]],OR(Table32[[#This Row],[Powder]:[Con Liq]]))</f>
        <v>#VALUE!</v>
      </c>
    </row>
    <row r="40" spans="1:27">
      <c r="A40" t="e">
        <f>IF(Table32[[#This Row],[Column8]],Table32[[#This Row],[Products2]])</f>
        <v>#VALUE!</v>
      </c>
      <c r="Z40" t="e">
        <f>AND(Table32[[#This Row],[Immune Support]:[12-36 Mnths]],Table32[[#This Row],[Kosher/Halal]:[Organic]],OR(Table32[[#This Row],[Powder]:[Con Liq]]))</f>
        <v>#VALUE!</v>
      </c>
    </row>
  </sheetData>
  <hyperlinks>
    <hyperlink ref="AA2" r:id="rId1" xr:uid="{00000000-0004-0000-2E00-000000000000}"/>
    <hyperlink ref="AA3" r:id="rId2" xr:uid="{00000000-0004-0000-2E00-000001000000}"/>
    <hyperlink ref="AA4" r:id="rId3" xr:uid="{00000000-0004-0000-2E00-000002000000}"/>
    <hyperlink ref="AA5" r:id="rId4" xr:uid="{00000000-0004-0000-2E00-000003000000}"/>
    <hyperlink ref="AA6" r:id="rId5" xr:uid="{00000000-0004-0000-2E00-000004000000}"/>
    <hyperlink ref="AA7" r:id="rId6" display="SIMILAC TOTAL COMFORTTM" xr:uid="{00000000-0004-0000-2E00-000005000000}"/>
    <hyperlink ref="AA8" r:id="rId7" xr:uid="{00000000-0004-0000-2E00-000006000000}"/>
    <hyperlink ref="AA9" r:id="rId8" xr:uid="{00000000-0004-0000-2E00-000007000000}"/>
    <hyperlink ref="AA10" r:id="rId9" xr:uid="{00000000-0004-0000-2E00-000008000000}"/>
    <hyperlink ref="AA11" r:id="rId10" xr:uid="{00000000-0004-0000-2E00-000009000000}"/>
    <hyperlink ref="AA12" r:id="rId11" xr:uid="{00000000-0004-0000-2E00-00000A000000}"/>
    <hyperlink ref="AA13" r:id="rId12" xr:uid="{00000000-0004-0000-2E00-00000B000000}"/>
    <hyperlink ref="AA14" r:id="rId13" xr:uid="{00000000-0004-0000-2E00-00000C000000}"/>
    <hyperlink ref="AA15" r:id="rId14" xr:uid="{00000000-0004-0000-2E00-00000D000000}"/>
    <hyperlink ref="AA17" r:id="rId15" xr:uid="{00000000-0004-0000-2E00-00000E000000}"/>
    <hyperlink ref="AA18" r:id="rId16" xr:uid="{00000000-0004-0000-2E00-00000F000000}"/>
    <hyperlink ref="AA19" r:id="rId17" xr:uid="{00000000-0004-0000-2E00-000010000000}"/>
    <hyperlink ref="AA20" r:id="rId18" xr:uid="{00000000-0004-0000-2E00-000011000000}"/>
    <hyperlink ref="AA21" r:id="rId19" xr:uid="{00000000-0004-0000-2E00-000012000000}"/>
    <hyperlink ref="AA22" r:id="rId20" xr:uid="{00000000-0004-0000-2E00-000013000000}"/>
    <hyperlink ref="AA23" r:id="rId21" xr:uid="{00000000-0004-0000-2E00-000014000000}"/>
    <hyperlink ref="AA24" r:id="rId22" xr:uid="{00000000-0004-0000-2E00-000015000000}"/>
    <hyperlink ref="AA25" r:id="rId23" xr:uid="{00000000-0004-0000-2E00-000016000000}"/>
    <hyperlink ref="AA26" r:id="rId24" xr:uid="{00000000-0004-0000-2E00-000017000000}"/>
    <hyperlink ref="AA27" r:id="rId25" xr:uid="{00000000-0004-0000-2E00-000018000000}"/>
    <hyperlink ref="AA28" r:id="rId26" xr:uid="{00000000-0004-0000-2E00-000019000000}"/>
    <hyperlink ref="AA29" r:id="rId27" xr:uid="{00000000-0004-0000-2E00-00001A000000}"/>
    <hyperlink ref="AA30" r:id="rId28" xr:uid="{00000000-0004-0000-2E00-00001B000000}"/>
    <hyperlink ref="AA32" r:id="rId29" xr:uid="{00000000-0004-0000-2E00-00001C000000}"/>
    <hyperlink ref="AA33" r:id="rId30" xr:uid="{00000000-0004-0000-2E00-00001D000000}"/>
    <hyperlink ref="AA34" r:id="rId31" xr:uid="{00000000-0004-0000-2E00-00001E000000}"/>
    <hyperlink ref="AA35" r:id="rId32" xr:uid="{00000000-0004-0000-2E00-00001F000000}"/>
    <hyperlink ref="AA36" r:id="rId33" xr:uid="{00000000-0004-0000-2E00-000020000000}"/>
    <hyperlink ref="AA37" r:id="rId34" xr:uid="{00000000-0004-0000-2E00-000021000000}"/>
  </hyperlinks>
  <pageMargins left="0.7" right="0.7" top="0.75" bottom="0.75" header="0.3" footer="0.3"/>
  <pageSetup orientation="portrait" r:id="rId35"/>
  <tableParts count="1">
    <tablePart r:id="rId36"/>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C30"/>
  <sheetViews>
    <sheetView workbookViewId="0">
      <selection activeCell="A36" sqref="A36"/>
    </sheetView>
  </sheetViews>
  <sheetFormatPr defaultRowHeight="15"/>
  <cols>
    <col min="1" max="1" width="52.5703125" customWidth="1"/>
  </cols>
  <sheetData>
    <row r="1" spans="1:3" ht="15.75" thickTop="1">
      <c r="A1" s="3" t="s">
        <v>15</v>
      </c>
      <c r="B1" s="7" t="s">
        <v>18</v>
      </c>
    </row>
    <row r="2" spans="1:3" ht="15.75" thickBot="1">
      <c r="B2" s="4"/>
    </row>
    <row r="3" spans="1:3" ht="15.75" thickBot="1">
      <c r="A3" s="161" t="s">
        <v>1576</v>
      </c>
      <c r="B3" s="181" t="b">
        <v>0</v>
      </c>
      <c r="C3" t="b">
        <f>NOT(B3)</f>
        <v>1</v>
      </c>
    </row>
    <row r="4" spans="1:3" ht="15.75" thickBot="1">
      <c r="A4" s="161" t="s">
        <v>1577</v>
      </c>
      <c r="B4" s="181" t="b">
        <v>0</v>
      </c>
      <c r="C4" t="b">
        <f>NOT(B4)</f>
        <v>1</v>
      </c>
    </row>
    <row r="5" spans="1:3" ht="15.75" thickBot="1">
      <c r="A5" s="158" t="s">
        <v>1714</v>
      </c>
      <c r="B5" s="182" t="b">
        <v>0</v>
      </c>
      <c r="C5" t="b">
        <f t="shared" ref="C5:C6" si="0">NOT(B5)</f>
        <v>1</v>
      </c>
    </row>
    <row r="6" spans="1:3" ht="15.75" thickBot="1">
      <c r="A6" s="158" t="s">
        <v>1715</v>
      </c>
      <c r="B6" s="182" t="b">
        <v>0</v>
      </c>
      <c r="C6" t="b">
        <f t="shared" si="0"/>
        <v>1</v>
      </c>
    </row>
    <row r="7" spans="1:3" ht="15.75" thickBot="1">
      <c r="A7" s="158" t="s">
        <v>1702</v>
      </c>
      <c r="B7" s="182" t="b">
        <v>0</v>
      </c>
      <c r="C7" t="b">
        <f>NOT(B7)</f>
        <v>1</v>
      </c>
    </row>
    <row r="8" spans="1:3" ht="15.75" thickBot="1">
      <c r="A8" s="158" t="s">
        <v>1713</v>
      </c>
      <c r="B8" s="182" t="b">
        <v>0</v>
      </c>
      <c r="C8" t="b">
        <f>NOT(B8)</f>
        <v>1</v>
      </c>
    </row>
    <row r="9" spans="1:3" ht="15.75" thickBot="1">
      <c r="A9" s="1" t="s">
        <v>1578</v>
      </c>
      <c r="B9" s="33" t="b">
        <v>0</v>
      </c>
      <c r="C9" t="b">
        <f t="shared" ref="C9:C24" si="1">NOT(B9)</f>
        <v>1</v>
      </c>
    </row>
    <row r="10" spans="1:3" ht="15.75" thickBot="1">
      <c r="A10" s="1" t="s">
        <v>1579</v>
      </c>
      <c r="B10" s="33" t="b">
        <v>0</v>
      </c>
      <c r="C10" t="b">
        <f t="shared" si="1"/>
        <v>1</v>
      </c>
    </row>
    <row r="11" spans="1:3" ht="15.75" thickBot="1">
      <c r="A11" s="177" t="s">
        <v>1582</v>
      </c>
      <c r="B11" s="218" t="b">
        <v>0</v>
      </c>
      <c r="C11" t="b">
        <f t="shared" si="1"/>
        <v>1</v>
      </c>
    </row>
    <row r="12" spans="1:3" ht="15.75" thickBot="1">
      <c r="A12" s="1" t="s">
        <v>1706</v>
      </c>
      <c r="B12" s="33" t="b">
        <v>0</v>
      </c>
      <c r="C12" t="b">
        <f t="shared" si="1"/>
        <v>1</v>
      </c>
    </row>
    <row r="13" spans="1:3" ht="15.75" thickBot="1">
      <c r="A13" s="1" t="s">
        <v>1580</v>
      </c>
      <c r="B13" s="33" t="b">
        <v>0</v>
      </c>
      <c r="C13" t="b">
        <f t="shared" si="1"/>
        <v>1</v>
      </c>
    </row>
    <row r="14" spans="1:3" ht="15.75" thickBot="1">
      <c r="A14" s="1" t="s">
        <v>1581</v>
      </c>
      <c r="B14" s="33" t="b">
        <v>0</v>
      </c>
      <c r="C14" t="b">
        <f t="shared" si="1"/>
        <v>1</v>
      </c>
    </row>
    <row r="15" spans="1:3" ht="15.75" thickBot="1">
      <c r="A15" s="177" t="s">
        <v>1583</v>
      </c>
      <c r="B15" s="218" t="b">
        <v>0</v>
      </c>
      <c r="C15" t="b">
        <f t="shared" si="1"/>
        <v>1</v>
      </c>
    </row>
    <row r="16" spans="1:3" ht="15.75" thickBot="1">
      <c r="A16" s="177" t="s">
        <v>1584</v>
      </c>
      <c r="B16" s="218" t="b">
        <v>0</v>
      </c>
      <c r="C16" t="b">
        <f t="shared" si="1"/>
        <v>1</v>
      </c>
    </row>
    <row r="17" spans="1:3" ht="15.75" thickBot="1">
      <c r="A17" s="55" t="s">
        <v>1585</v>
      </c>
      <c r="B17" s="147" t="b">
        <v>0</v>
      </c>
      <c r="C17" t="b">
        <f t="shared" si="1"/>
        <v>1</v>
      </c>
    </row>
    <row r="18" spans="1:3" ht="15.75" thickBot="1">
      <c r="A18" s="55" t="s">
        <v>1586</v>
      </c>
      <c r="B18" s="147" t="b">
        <v>0</v>
      </c>
      <c r="C18" t="b">
        <f t="shared" si="1"/>
        <v>1</v>
      </c>
    </row>
    <row r="19" spans="1:3" ht="15.75" thickBot="1">
      <c r="A19" s="177" t="s">
        <v>1587</v>
      </c>
      <c r="B19" s="218" t="b">
        <v>0</v>
      </c>
      <c r="C19" t="b">
        <f t="shared" si="1"/>
        <v>1</v>
      </c>
    </row>
    <row r="20" spans="1:3" ht="15.75" thickBot="1">
      <c r="A20" s="1" t="s">
        <v>1588</v>
      </c>
      <c r="B20" s="33" t="b">
        <v>0</v>
      </c>
      <c r="C20" t="b">
        <f t="shared" si="1"/>
        <v>1</v>
      </c>
    </row>
    <row r="21" spans="1:3" ht="15.75" thickBot="1">
      <c r="A21" s="1" t="s">
        <v>1589</v>
      </c>
      <c r="B21" s="33" t="b">
        <v>0</v>
      </c>
      <c r="C21" t="b">
        <f t="shared" si="1"/>
        <v>1</v>
      </c>
    </row>
    <row r="22" spans="1:3" ht="15.75" thickBot="1">
      <c r="A22" s="55" t="s">
        <v>1590</v>
      </c>
      <c r="B22" s="147" t="b">
        <v>0</v>
      </c>
      <c r="C22" t="b">
        <f t="shared" si="1"/>
        <v>1</v>
      </c>
    </row>
    <row r="23" spans="1:3" ht="15.75" thickBot="1">
      <c r="A23" s="55" t="s">
        <v>1591</v>
      </c>
      <c r="B23" s="147" t="b">
        <v>0</v>
      </c>
      <c r="C23" t="b">
        <f>NOT(B23)</f>
        <v>1</v>
      </c>
    </row>
    <row r="24" spans="1:3" ht="15.75" thickBot="1">
      <c r="A24" s="55" t="s">
        <v>1592</v>
      </c>
      <c r="B24" s="147" t="b">
        <v>0</v>
      </c>
      <c r="C24" t="b">
        <f t="shared" si="1"/>
        <v>1</v>
      </c>
    </row>
    <row r="25" spans="1:3" ht="15.75" thickBot="1">
      <c r="A25" s="170" t="s">
        <v>1595</v>
      </c>
      <c r="B25" s="180" t="b">
        <v>0</v>
      </c>
      <c r="C25" t="b">
        <f>NOT(B25)</f>
        <v>1</v>
      </c>
    </row>
    <row r="26" spans="1:3" ht="15.75" thickBot="1">
      <c r="A26" s="170" t="s">
        <v>1596</v>
      </c>
      <c r="B26" s="180" t="b">
        <v>0</v>
      </c>
      <c r="C26" t="b">
        <f t="shared" ref="C26:C30" si="2">NOT(B26)</f>
        <v>1</v>
      </c>
    </row>
    <row r="27" spans="1:3" ht="15.75" thickBot="1">
      <c r="A27" s="170" t="s">
        <v>1593</v>
      </c>
      <c r="B27" s="180" t="b">
        <v>0</v>
      </c>
      <c r="C27" t="b">
        <f t="shared" si="2"/>
        <v>1</v>
      </c>
    </row>
    <row r="28" spans="1:3" ht="15.75" thickBot="1">
      <c r="A28" s="170" t="s">
        <v>1594</v>
      </c>
      <c r="B28" s="180" t="b">
        <v>0</v>
      </c>
      <c r="C28" t="b">
        <f t="shared" si="2"/>
        <v>1</v>
      </c>
    </row>
    <row r="29" spans="1:3" ht="15.75" thickBot="1">
      <c r="A29" s="1" t="s">
        <v>1598</v>
      </c>
      <c r="B29" s="33" t="b">
        <v>0</v>
      </c>
      <c r="C29" t="b">
        <f t="shared" si="2"/>
        <v>1</v>
      </c>
    </row>
    <row r="30" spans="1:3" ht="15.75" thickBot="1">
      <c r="A30" s="1" t="s">
        <v>1684</v>
      </c>
      <c r="B30" s="33" t="b">
        <v>0</v>
      </c>
      <c r="C30" t="b">
        <f t="shared" si="2"/>
        <v>1</v>
      </c>
    </row>
  </sheetData>
  <dataValidations xWindow="464" yWindow="603" count="1">
    <dataValidation allowBlank="1" showInputMessage="1" showErrorMessage="1" prompt="Consult your pharmacist if unsure" sqref="A3:A30" xr:uid="{00000000-0002-0000-2F00-000000000000}"/>
  </dataValidations>
  <pageMargins left="0.7" right="0.7" top="0.75" bottom="0.75" header="0.3" footer="0.3"/>
  <drawing r:id="rId1"/>
  <extLst>
    <ext xmlns:x14="http://schemas.microsoft.com/office/spreadsheetml/2009/9/main" uri="{CCE6A557-97BC-4b89-ADB6-D9C93CAAB3DF}">
      <x14:dataValidations xmlns:xm="http://schemas.microsoft.com/office/excel/2006/main" xWindow="464" yWindow="603" count="28">
        <x14:dataValidation type="list" showInputMessage="1" showErrorMessage="1" error="Please answer as Yes or No" prompt="Some products are formulated specifically to provide a gentle soothing mouth feel. Ideal for individuals suffering from mouth pain or ulcers requiring oral nutrition.  " xr:uid="{00000000-0002-0000-2F00-000001000000}">
          <x14:formula1>
            <xm:f>random!$A$2:$A$3</xm:f>
          </x14:formula1>
          <xm:sqref>B29</xm:sqref>
        </x14:dataValidation>
        <x14:dataValidation type="list" showInputMessage="1" showErrorMessage="1" error="Please answer as Yes or No" prompt="Some meal replacement products are specifically designed to assist individuals with weight loss and weight management." xr:uid="{00000000-0002-0000-2F00-000002000000}">
          <x14:formula1>
            <xm:f>random!$A$2:$A$3</xm:f>
          </x14:formula1>
          <xm:sqref>B3</xm:sqref>
        </x14:dataValidation>
        <x14:dataValidation type="list" showInputMessage="1" showErrorMessage="1" error="Please answer as Yes or No" prompt="Some meal replacement products are specifically designed to assist individuals with maintaining and/or increasing current body mass. These products can be helpful for individuals on liquid diets or individuals with mastication challenges. " xr:uid="{00000000-0002-0000-2F00-000003000000}">
          <x14:formula1>
            <xm:f>random!$A$2:$A$3</xm:f>
          </x14:formula1>
          <xm:sqref>B4</xm:sqref>
        </x14:dataValidation>
        <x14:dataValidation type="list" showInputMessage="1" showErrorMessage="1" error="Please answer as Yes or No" prompt="Some products are marketed to provide or meet the specific nutritional needs of men." xr:uid="{00000000-0002-0000-2F00-000004000000}">
          <x14:formula1>
            <xm:f>random!$A$2:$A$3</xm:f>
          </x14:formula1>
          <xm:sqref>B5</xm:sqref>
        </x14:dataValidation>
        <x14:dataValidation type="list" showInputMessage="1" showErrorMessage="1" error="Please answer as Yes or No" prompt="Some products are marketed to provide or meet the specific nutritional needs of women." xr:uid="{00000000-0002-0000-2F00-000005000000}">
          <x14:formula1>
            <xm:f>random!$A$2:$A$3</xm:f>
          </x14:formula1>
          <xm:sqref>B6</xm:sqref>
        </x14:dataValidation>
        <x14:dataValidation type="list" showInputMessage="1" showErrorMessage="1" error="Please answer as Yes or No" prompt="Some products are marketed to provide or meet the specific nutritional needs of children." xr:uid="{00000000-0002-0000-2F00-000006000000}">
          <x14:formula1>
            <xm:f>random!$A$2:$A$3</xm:f>
          </x14:formula1>
          <xm:sqref>B7</xm:sqref>
        </x14:dataValidation>
        <x14:dataValidation type="list" showInputMessage="1" showErrorMessage="1" error="Please answer as Yes or No" prompt="Some products are marketed to provide or meet the specific nutritional needs of adults in general." xr:uid="{00000000-0002-0000-2F00-000007000000}">
          <x14:formula1>
            <xm:f>random!$A$2:$A$3</xm:f>
          </x14:formula1>
          <xm:sqref>B8</xm:sqref>
        </x14:dataValidation>
        <x14:dataValidation type="list" showInputMessage="1" showErrorMessage="1" error="Please answer as Yes or No" prompt="Some products are available in multiple flavour options providing the consumer with a variety of options. Most products are available in multiple flavour options." xr:uid="{00000000-0002-0000-2F00-000008000000}">
          <x14:formula1>
            <xm:f>random!$A$2:$A$3</xm:f>
          </x14:formula1>
          <xm:sqref>B9</xm:sqref>
        </x14:dataValidation>
        <x14:dataValidation type="list" showInputMessage="1" showErrorMessage="1" error="Please answer as Yes or No" prompt="Some products are formulated and fortified with nutrients to enhance or maintain bone and muscle tone." xr:uid="{00000000-0002-0000-2F00-000009000000}">
          <x14:formula1>
            <xm:f>random!$A$2:$A$3</xm:f>
          </x14:formula1>
          <xm:sqref>B10</xm:sqref>
        </x14:dataValidation>
        <x14:dataValidation type="list" showInputMessage="1" showErrorMessage="1" error="Please answer as Yes or No" prompt="Some products are specifically formulated for diabetics and are less likely to lead to sugar spikes when consumed." xr:uid="{00000000-0002-0000-2F00-00000A000000}">
          <x14:formula1>
            <xm:f>random!$A$2:$A$3</xm:f>
          </x14:formula1>
          <xm:sqref>B11</xm:sqref>
        </x14:dataValidation>
        <x14:dataValidation type="list" showInputMessage="1" showErrorMessage="1" error="Please answer as Yes or No" prompt="Some products are formulated for fluid-restricted or low salt diets." xr:uid="{00000000-0002-0000-2F00-00000B000000}">
          <x14:formula1>
            <xm:f>random!$A$2:$A$3</xm:f>
          </x14:formula1>
          <xm:sqref>B12</xm:sqref>
        </x14:dataValidation>
        <x14:dataValidation type="list" showInputMessage="1" showErrorMessage="1" error="Please answer as Yes or No" prompt="Some products are enriched with protein to promote muscle tone or growth." xr:uid="{00000000-0002-0000-2F00-00000C000000}">
          <x14:formula1>
            <xm:f>random!$A$2:$A$3</xm:f>
          </x14:formula1>
          <xm:sqref>B13</xm:sqref>
        </x14:dataValidation>
        <x14:dataValidation type="list" showInputMessage="1" showErrorMessage="1" error="Please answer as Yes or No" prompt="Some products are enriched with fiber to promote bowel and gastrointestinal tract health." xr:uid="{00000000-0002-0000-2F00-00000D000000}">
          <x14:formula1>
            <xm:f>random!$A$2:$A$3</xm:f>
          </x14:formula1>
          <xm:sqref>B14</xm:sqref>
        </x14:dataValidation>
        <x14:dataValidation type="list" showInputMessage="1" showErrorMessage="1" error="Please answer as Yes or No" prompt="Some products are formulated with alternatives to soy. Ideal for individuals with soy sensitivity or allergy." xr:uid="{00000000-0002-0000-2F00-00000E000000}">
          <x14:formula1>
            <xm:f>random!$A$2:$A$3</xm:f>
          </x14:formula1>
          <xm:sqref>B15</xm:sqref>
        </x14:dataValidation>
        <x14:dataValidation type="list" showInputMessage="1" showErrorMessage="1" error="Please answer as Yes or No" prompt="Some products are formulated with alternatives to gluten. Ideal for individuals with gluten sensitivity or allergy." xr:uid="{00000000-0002-0000-2F00-00000F000000}">
          <x14:formula1>
            <xm:f>random!$A$2:$A$3</xm:f>
          </x14:formula1>
          <xm:sqref>B16</xm:sqref>
        </x14:dataValidation>
        <x14:dataValidation type="list" showInputMessage="1" showErrorMessage="1" error="Please answer as Yes or No" prompt="Some products are formulated without colouring agents and dyes. Ideal for individuals with colouring/dye sensitivities or allergies." xr:uid="{00000000-0002-0000-2F00-000010000000}">
          <x14:formula1>
            <xm:f>random!$A$2:$A$3</xm:f>
          </x14:formula1>
          <xm:sqref>B17</xm:sqref>
        </x14:dataValidation>
        <x14:dataValidation type="list" showInputMessage="1" showErrorMessage="1" error="Please answer as Yes or No" prompt="Some products are formulated without atificial sweetners." xr:uid="{00000000-0002-0000-2F00-000011000000}">
          <x14:formula1>
            <xm:f>random!$A$2:$A$3</xm:f>
          </x14:formula1>
          <xm:sqref>B18</xm:sqref>
        </x14:dataValidation>
        <x14:dataValidation type="list" showInputMessage="1" showErrorMessage="1" error="Please answer as Yes or No" prompt="Some products are formulated without lactose. Ideal for individuals with lactose sensitivity or allergy." xr:uid="{00000000-0002-0000-2F00-000012000000}">
          <x14:formula1>
            <xm:f>random!$A$2:$A$3</xm:f>
          </x14:formula1>
          <xm:sqref>B19</xm:sqref>
        </x14:dataValidation>
        <x14:dataValidation type="list" showInputMessage="1" showErrorMessage="1" error="Please answer as Yes or No" prompt="Some products are formulated with prebiotics to promote gastrointestinal health." xr:uid="{00000000-0002-0000-2F00-000013000000}">
          <x14:formula1>
            <xm:f>random!$A$2:$A$3</xm:f>
          </x14:formula1>
          <xm:sqref>B20</xm:sqref>
        </x14:dataValidation>
        <x14:dataValidation type="list" showInputMessage="1" showErrorMessage="1" error="Please answer as Yes or No" prompt="Some products are formulated with antioxidants to promote general health." xr:uid="{00000000-0002-0000-2F00-000014000000}">
          <x14:formula1>
            <xm:f>random!$A$2:$A$3</xm:f>
          </x14:formula1>
          <xm:sqref>B21</xm:sqref>
        </x14:dataValidation>
        <x14:dataValidation type="list" showInputMessage="1" showErrorMessage="1" error="Please answer as Yes or No" prompt="Some products are formulated with high fat and protein but with low carbohydrates. Ideal for individuals which prefer a keto diet.  " xr:uid="{00000000-0002-0000-2F00-000015000000}">
          <x14:formula1>
            <xm:f>random!$A$2:$A$3</xm:f>
          </x14:formula1>
          <xm:sqref>B22</xm:sqref>
        </x14:dataValidation>
        <x14:dataValidation type="list" showInputMessage="1" showErrorMessage="1" error="Please answer as Yes or No" prompt="Some products are formulated to qualify as kosher and meet the food preparation requirements of the jewish faith and law." xr:uid="{00000000-0002-0000-2F00-000016000000}">
          <x14:formula1>
            <xm:f>random!$A$2:$A$3</xm:f>
          </x14:formula1>
          <xm:sqref>B23</xm:sqref>
        </x14:dataValidation>
        <x14:dataValidation type="list" showInputMessage="1" showErrorMessage="1" error="Please answer as Yes or No" prompt="Some products are formulated to qualify as halal and meet the food preparation requirements of the Muslim or Islamic faith and law." xr:uid="{00000000-0002-0000-2F00-000017000000}">
          <x14:formula1>
            <xm:f>random!$A$2:$A$3</xm:f>
          </x14:formula1>
          <xm:sqref>B24</xm:sqref>
        </x14:dataValidation>
        <x14:dataValidation type="list" showInputMessage="1" showErrorMessage="1" error="Please answer as Yes or No" prompt="Some products are available as ready to drink shake or smoothie. Ideal as an on-the-go meal replacement or when product need is unpredictable." xr:uid="{00000000-0002-0000-2F00-000018000000}">
          <x14:formula1>
            <xm:f>random!$A$2:$A$3</xm:f>
          </x14:formula1>
          <xm:sqref>B25</xm:sqref>
        </x14:dataValidation>
        <x14:dataValidation type="list" showInputMessage="1" showErrorMessage="1" error="Please answer as Yes or No" prompt="Some products are available as a powder mix for shakes &amp; smoothies. Requires time to prepare prior to use but may provide a cost savings as well as more flexibilty for custom drink mixes or pudding. " xr:uid="{00000000-0002-0000-2F00-000019000000}">
          <x14:formula1>
            <xm:f>random!$A$2:$A$3</xm:f>
          </x14:formula1>
          <xm:sqref>B26</xm:sqref>
        </x14:dataValidation>
        <x14:dataValidation type="list" showInputMessage="1" showErrorMessage="1" error="Please answer as Yes or No" prompt="Some products available as ready to eat bars or snacks. Ideal as on-the-go meal replacement. Highly mobile and easy to carry. Great when product need or use is unpredictable but may require liquids or mastication for consumption." xr:uid="{00000000-0002-0000-2F00-00001A000000}">
          <x14:formula1>
            <xm:f>random!$A$2:$A$3</xm:f>
          </x14:formula1>
          <xm:sqref>B27</xm:sqref>
        </x14:dataValidation>
        <x14:dataValidation type="list" showInputMessage="1" showErrorMessage="1" error="Please answer as Yes or No" prompt="Some products are available as ready to eat pudding. Ideal as an on-the-go meal replacement or when product need is unpredictable or for individuals with fluid restrictions or aspiration risk." xr:uid="{00000000-0002-0000-2F00-00001B000000}">
          <x14:formula1>
            <xm:f>random!$A$2:$A$3</xm:f>
          </x14:formula1>
          <xm:sqref>B28</xm:sqref>
        </x14:dataValidation>
        <x14:dataValidation type="list" showInputMessage="1" showErrorMessage="1" error="Please answer as Yes or No" prompt="Some products are available as a clear formulation. Ideal for individuals who do not appreciate the mouth feel of a smootie or milkshake." xr:uid="{00000000-0002-0000-2F00-00001C000000}">
          <x14:formula1>
            <xm:f>random!$A$2:$A$3</xm:f>
          </x14:formula1>
          <xm:sqref>B30</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AF39"/>
  <sheetViews>
    <sheetView workbookViewId="0">
      <selection activeCell="B2" sqref="B2"/>
    </sheetView>
  </sheetViews>
  <sheetFormatPr defaultRowHeight="15"/>
  <cols>
    <col min="1" max="1" width="37" customWidth="1"/>
    <col min="2" max="30" width="11" customWidth="1"/>
    <col min="31" max="31" width="45.140625" customWidth="1"/>
  </cols>
  <sheetData>
    <row r="1" spans="1:32" ht="14.25" customHeight="1">
      <c r="A1" s="70" t="s">
        <v>1248</v>
      </c>
      <c r="B1" t="s">
        <v>1535</v>
      </c>
      <c r="C1" t="s">
        <v>1716</v>
      </c>
      <c r="D1" t="s">
        <v>1549</v>
      </c>
      <c r="E1" t="s">
        <v>1550</v>
      </c>
      <c r="F1" t="s">
        <v>915</v>
      </c>
      <c r="G1" t="s">
        <v>1566</v>
      </c>
      <c r="H1" t="s">
        <v>1539</v>
      </c>
      <c r="I1" t="s">
        <v>1547</v>
      </c>
      <c r="J1" t="s">
        <v>1525</v>
      </c>
      <c r="K1" t="s">
        <v>520</v>
      </c>
      <c r="L1" t="s">
        <v>1526</v>
      </c>
      <c r="M1" t="s">
        <v>1545</v>
      </c>
      <c r="N1" t="s">
        <v>1531</v>
      </c>
      <c r="O1" t="s">
        <v>1532</v>
      </c>
      <c r="P1" t="s">
        <v>1533</v>
      </c>
      <c r="Q1" t="s">
        <v>1625</v>
      </c>
      <c r="R1" t="s">
        <v>1536</v>
      </c>
      <c r="S1" t="s">
        <v>1537</v>
      </c>
      <c r="T1" t="s">
        <v>1574</v>
      </c>
      <c r="U1" t="s">
        <v>1541</v>
      </c>
      <c r="V1" t="s">
        <v>1553</v>
      </c>
      <c r="W1" t="s">
        <v>1542</v>
      </c>
      <c r="X1" t="s">
        <v>1703</v>
      </c>
      <c r="Y1" t="s">
        <v>1613</v>
      </c>
      <c r="Z1" t="s">
        <v>1704</v>
      </c>
      <c r="AA1" t="s">
        <v>1705</v>
      </c>
      <c r="AB1" t="s">
        <v>1680</v>
      </c>
      <c r="AC1" t="s">
        <v>1707</v>
      </c>
      <c r="AD1" t="s">
        <v>1101</v>
      </c>
      <c r="AE1" t="s">
        <v>1527</v>
      </c>
    </row>
    <row r="2" spans="1:32">
      <c r="A2" t="b">
        <f>IF(Table30[[#This Row],[Column7]],Table30[[#This Row],[Product2]])</f>
        <v>0</v>
      </c>
      <c r="B2" s="20" t="b">
        <f>OR('Meal Replacement Criteria'!B9:C9)</f>
        <v>1</v>
      </c>
      <c r="C2" s="20" t="b">
        <f>AND('Meal Replacement Criteria'!B8,'Meal Replacement Criteria'!C5:C7)</f>
        <v>0</v>
      </c>
      <c r="D2" s="17"/>
      <c r="E2" s="17"/>
      <c r="F2" s="17"/>
      <c r="G2" s="17"/>
      <c r="H2" s="20" t="b">
        <f>AND('Meal Replacement Criteria'!B4,'Meal Replacement Criteria'!C3)</f>
        <v>0</v>
      </c>
      <c r="I2" s="17" t="b">
        <f>AND('Meal Replacement Criteria'!C10)</f>
        <v>1</v>
      </c>
      <c r="J2" s="17" t="b">
        <f>AND('Meal Replacement Criteria'!C11)</f>
        <v>1</v>
      </c>
      <c r="K2" s="17" t="b">
        <f>AND('Meal Replacement Criteria'!C14)</f>
        <v>1</v>
      </c>
      <c r="L2" s="17" t="b">
        <f>AND('Meal Replacement Criteria'!C13)</f>
        <v>1</v>
      </c>
      <c r="M2" s="17" t="b">
        <f>AND('Meal Replacement Criteria'!C15)</f>
        <v>1</v>
      </c>
      <c r="N2" s="20" t="b">
        <f>OR('Meal Replacement Criteria'!B16:C16)</f>
        <v>1</v>
      </c>
      <c r="O2" s="20" t="b">
        <f>OR('Meal Replacement Criteria'!B17:C17)</f>
        <v>1</v>
      </c>
      <c r="P2" s="20" t="b">
        <f>OR('Meal Replacement Criteria'!B18:C18)</f>
        <v>1</v>
      </c>
      <c r="Q2" s="20" t="b">
        <f>OR('Meal Replacement Criteria'!B19:C19)</f>
        <v>1</v>
      </c>
      <c r="R2" s="20" t="b">
        <f>OR('Meal Replacement Criteria'!B20:C20)</f>
        <v>1</v>
      </c>
      <c r="S2" s="17" t="b">
        <f>AND('Meal Replacement Criteria'!C21)</f>
        <v>1</v>
      </c>
      <c r="T2" s="17" t="b">
        <f>AND('Meal Replacement Criteria'!C22)</f>
        <v>1</v>
      </c>
      <c r="U2" s="17" t="b">
        <f>AND('Meal Replacement Criteria'!C23)</f>
        <v>1</v>
      </c>
      <c r="V2" s="17" t="b">
        <f>AND('Meal Replacement Criteria'!C24)</f>
        <v>1</v>
      </c>
      <c r="W2" s="17" t="b">
        <f>AND('Meal Replacement Criteria'!C12)</f>
        <v>1</v>
      </c>
      <c r="X2" s="20" t="b">
        <f>AND('Meal Replacement Criteria'!B25,'Meal Replacement Criteria'!C26:C28)</f>
        <v>0</v>
      </c>
      <c r="Y2" s="17"/>
      <c r="Z2" s="17"/>
      <c r="AA2" s="17"/>
      <c r="AB2" s="17" t="b">
        <f>AND('Meal Replacement Criteria'!C30)</f>
        <v>1</v>
      </c>
      <c r="AC2" s="17" t="b">
        <f>AND('Meal Replacement Criteria'!C29)</f>
        <v>1</v>
      </c>
      <c r="AD2" t="b">
        <f>AND(Table30[[#This Row],[Flavours]:[Soothe]])</f>
        <v>0</v>
      </c>
      <c r="AE2" s="28" t="s">
        <v>1530</v>
      </c>
    </row>
    <row r="3" spans="1:32">
      <c r="A3" t="b">
        <f>IF(Table30[[#This Row],[Column7]],Table30[[#This Row],[Product2]])</f>
        <v>0</v>
      </c>
      <c r="B3" s="20" t="b">
        <f>B2</f>
        <v>1</v>
      </c>
      <c r="C3" s="20" t="b">
        <f>C2</f>
        <v>0</v>
      </c>
      <c r="D3" s="17"/>
      <c r="E3" s="17"/>
      <c r="F3" s="17"/>
      <c r="G3" s="17"/>
      <c r="H3" s="20" t="b">
        <f>H2</f>
        <v>0</v>
      </c>
      <c r="I3" s="17" t="b">
        <f>I2</f>
        <v>1</v>
      </c>
      <c r="J3" s="17" t="b">
        <f>J2</f>
        <v>1</v>
      </c>
      <c r="K3" s="17" t="b">
        <f>K2</f>
        <v>1</v>
      </c>
      <c r="L3" s="20" t="b">
        <f>OR('Meal Replacement Criteria'!B13:C13)</f>
        <v>1</v>
      </c>
      <c r="M3" s="17" t="b">
        <f>M2</f>
        <v>1</v>
      </c>
      <c r="N3" s="20" t="b">
        <f>N2</f>
        <v>1</v>
      </c>
      <c r="O3" s="20" t="b">
        <f>O2</f>
        <v>1</v>
      </c>
      <c r="P3" s="20" t="b">
        <f>P2</f>
        <v>1</v>
      </c>
      <c r="Q3" s="20" t="b">
        <f>Q2</f>
        <v>1</v>
      </c>
      <c r="R3" s="17" t="b">
        <f>AND('Meal Replacement Criteria'!C20)</f>
        <v>1</v>
      </c>
      <c r="S3" s="20" t="b">
        <f>OR('Meal Replacement Criteria'!B21:C21)</f>
        <v>1</v>
      </c>
      <c r="T3" s="17" t="b">
        <f>T2</f>
        <v>1</v>
      </c>
      <c r="U3" s="17" t="b">
        <f>U2</f>
        <v>1</v>
      </c>
      <c r="V3" s="17" t="b">
        <f>V2</f>
        <v>1</v>
      </c>
      <c r="W3" s="17" t="b">
        <f>W2</f>
        <v>1</v>
      </c>
      <c r="X3" s="20" t="b">
        <f>X2</f>
        <v>0</v>
      </c>
      <c r="Y3" s="17"/>
      <c r="Z3" s="17"/>
      <c r="AA3" s="17"/>
      <c r="AB3" s="17" t="b">
        <f>AB2</f>
        <v>1</v>
      </c>
      <c r="AC3" s="17" t="b">
        <f>AC2</f>
        <v>1</v>
      </c>
      <c r="AD3" t="b">
        <f>AND(Table30[[#This Row],[Flavours]:[Soothe]])</f>
        <v>0</v>
      </c>
      <c r="AE3" s="28" t="s">
        <v>1534</v>
      </c>
    </row>
    <row r="4" spans="1:32">
      <c r="A4" t="b">
        <f>IF(Table30[[#This Row],[Column7]],Table30[[#This Row],[Product2]])</f>
        <v>0</v>
      </c>
      <c r="B4" s="20" t="b">
        <f>B2</f>
        <v>1</v>
      </c>
      <c r="C4" s="20" t="b">
        <f>C2</f>
        <v>0</v>
      </c>
      <c r="D4" s="17"/>
      <c r="E4" s="17"/>
      <c r="F4" s="17"/>
      <c r="G4" s="17"/>
      <c r="H4" s="20" t="b">
        <f t="shared" ref="H4:S4" si="0">H2</f>
        <v>0</v>
      </c>
      <c r="I4" s="17" t="b">
        <f t="shared" si="0"/>
        <v>1</v>
      </c>
      <c r="J4" s="17" t="b">
        <f t="shared" si="0"/>
        <v>1</v>
      </c>
      <c r="K4" s="17" t="b">
        <f t="shared" si="0"/>
        <v>1</v>
      </c>
      <c r="L4" s="17" t="b">
        <f t="shared" si="0"/>
        <v>1</v>
      </c>
      <c r="M4" s="17" t="b">
        <f t="shared" si="0"/>
        <v>1</v>
      </c>
      <c r="N4" s="20" t="b">
        <f t="shared" si="0"/>
        <v>1</v>
      </c>
      <c r="O4" s="20" t="b">
        <f t="shared" si="0"/>
        <v>1</v>
      </c>
      <c r="P4" s="20" t="b">
        <f t="shared" si="0"/>
        <v>1</v>
      </c>
      <c r="Q4" s="20" t="b">
        <f t="shared" si="0"/>
        <v>1</v>
      </c>
      <c r="R4" s="20" t="b">
        <f t="shared" si="0"/>
        <v>1</v>
      </c>
      <c r="S4" s="17" t="b">
        <f t="shared" si="0"/>
        <v>1</v>
      </c>
      <c r="T4" s="17" t="b">
        <f>T2</f>
        <v>1</v>
      </c>
      <c r="U4" s="17" t="b">
        <f>U2</f>
        <v>1</v>
      </c>
      <c r="V4" s="17" t="b">
        <f>V2</f>
        <v>1</v>
      </c>
      <c r="W4" s="17" t="b">
        <f>W2</f>
        <v>1</v>
      </c>
      <c r="X4" s="20" t="b">
        <f>X2</f>
        <v>0</v>
      </c>
      <c r="Y4" s="17"/>
      <c r="Z4" s="17"/>
      <c r="AA4" s="17"/>
      <c r="AB4" s="17" t="b">
        <f>AB2</f>
        <v>1</v>
      </c>
      <c r="AC4" s="17" t="b">
        <f>AC2</f>
        <v>1</v>
      </c>
      <c r="AD4" t="b">
        <f>AND(Table30[[#This Row],[Flavours]:[Soothe]])</f>
        <v>0</v>
      </c>
      <c r="AE4" s="28" t="s">
        <v>1538</v>
      </c>
    </row>
    <row r="5" spans="1:32">
      <c r="A5" t="b">
        <f>IF(Table30[[#This Row],[Column7]],Table30[[#This Row],[Product2]])</f>
        <v>0</v>
      </c>
      <c r="B5" s="17" t="b">
        <f>AND('Meal Replacement Criteria'!C9)</f>
        <v>1</v>
      </c>
      <c r="C5" s="20" t="b">
        <f>C2</f>
        <v>0</v>
      </c>
      <c r="D5" s="17"/>
      <c r="E5" s="17"/>
      <c r="F5" s="17"/>
      <c r="G5" s="17"/>
      <c r="H5" s="20" t="b">
        <f t="shared" ref="H5:N5" si="1">H2</f>
        <v>0</v>
      </c>
      <c r="I5" s="17" t="b">
        <f t="shared" si="1"/>
        <v>1</v>
      </c>
      <c r="J5" s="17" t="b">
        <f t="shared" si="1"/>
        <v>1</v>
      </c>
      <c r="K5" s="17" t="b">
        <f t="shared" si="1"/>
        <v>1</v>
      </c>
      <c r="L5" s="17" t="b">
        <f t="shared" si="1"/>
        <v>1</v>
      </c>
      <c r="M5" s="17" t="b">
        <f t="shared" si="1"/>
        <v>1</v>
      </c>
      <c r="N5" s="20" t="b">
        <f t="shared" si="1"/>
        <v>1</v>
      </c>
      <c r="O5" s="17" t="b">
        <f>AND('Meal Replacement Criteria'!C17)</f>
        <v>1</v>
      </c>
      <c r="P5" s="17" t="b">
        <f>AND('Meal Replacement Criteria'!C18)</f>
        <v>1</v>
      </c>
      <c r="Q5" s="20" t="b">
        <f>Q2</f>
        <v>1</v>
      </c>
      <c r="R5" s="17" t="b">
        <f>R3</f>
        <v>1</v>
      </c>
      <c r="S5" s="17" t="b">
        <f>S2</f>
        <v>1</v>
      </c>
      <c r="T5" s="17" t="b">
        <f>T2</f>
        <v>1</v>
      </c>
      <c r="U5" s="20" t="b">
        <f>OR('Meal Replacement Criteria'!B23:C23)</f>
        <v>1</v>
      </c>
      <c r="V5" s="17" t="b">
        <f>V2</f>
        <v>1</v>
      </c>
      <c r="W5" s="67" t="b">
        <f>OR('Meal Replacement Criteria'!B12:C12)</f>
        <v>1</v>
      </c>
      <c r="X5" s="67" t="b">
        <f>X2</f>
        <v>0</v>
      </c>
      <c r="Y5" s="19"/>
      <c r="Z5" s="19"/>
      <c r="AA5" s="19"/>
      <c r="AB5" s="207" t="b">
        <f>AB2</f>
        <v>1</v>
      </c>
      <c r="AC5" s="207" t="b">
        <f>AC2</f>
        <v>1</v>
      </c>
      <c r="AD5" t="b">
        <f>AND(Table30[[#This Row],[Flavours]:[Soothe]])</f>
        <v>0</v>
      </c>
      <c r="AE5" s="28" t="s">
        <v>1540</v>
      </c>
    </row>
    <row r="6" spans="1:32">
      <c r="A6" t="b">
        <f>IF(Table30[[#This Row],[Column7]],Table30[[#This Row],[Product2]])</f>
        <v>0</v>
      </c>
      <c r="B6" s="20" t="b">
        <f>B2</f>
        <v>1</v>
      </c>
      <c r="C6" s="20" t="b">
        <f>C2</f>
        <v>0</v>
      </c>
      <c r="D6" s="17"/>
      <c r="E6" s="17"/>
      <c r="F6" s="17"/>
      <c r="G6" s="17"/>
      <c r="H6" s="20" t="b">
        <f>H2</f>
        <v>0</v>
      </c>
      <c r="I6" s="17" t="b">
        <f>I2</f>
        <v>1</v>
      </c>
      <c r="J6" s="20" t="b">
        <f>OR('Meal Replacement Criteria'!B11:C11)</f>
        <v>1</v>
      </c>
      <c r="K6" s="17" t="b">
        <f>K2</f>
        <v>1</v>
      </c>
      <c r="L6" s="17" t="b">
        <f>L2</f>
        <v>1</v>
      </c>
      <c r="M6" s="17" t="b">
        <f>M2</f>
        <v>1</v>
      </c>
      <c r="N6" s="20" t="b">
        <f>N2</f>
        <v>1</v>
      </c>
      <c r="O6" s="20" t="b">
        <f>O2</f>
        <v>1</v>
      </c>
      <c r="P6" s="17" t="b">
        <f>P5</f>
        <v>1</v>
      </c>
      <c r="Q6" s="20" t="b">
        <f>Q2</f>
        <v>1</v>
      </c>
      <c r="R6" s="17" t="b">
        <f>R3</f>
        <v>1</v>
      </c>
      <c r="S6" s="17" t="b">
        <f t="shared" ref="S6:X6" si="2">S2</f>
        <v>1</v>
      </c>
      <c r="T6" s="17" t="b">
        <f t="shared" si="2"/>
        <v>1</v>
      </c>
      <c r="U6" s="17" t="b">
        <f t="shared" si="2"/>
        <v>1</v>
      </c>
      <c r="V6" s="17" t="b">
        <f t="shared" si="2"/>
        <v>1</v>
      </c>
      <c r="W6" s="17" t="b">
        <f t="shared" si="2"/>
        <v>1</v>
      </c>
      <c r="X6" s="20" t="b">
        <f t="shared" si="2"/>
        <v>0</v>
      </c>
      <c r="Y6" s="17"/>
      <c r="Z6" s="17"/>
      <c r="AA6" s="17"/>
      <c r="AB6" s="17" t="b">
        <f>AB2</f>
        <v>1</v>
      </c>
      <c r="AC6" s="17" t="b">
        <f>AC2</f>
        <v>1</v>
      </c>
      <c r="AD6" t="b">
        <f>AND(Table30[[#This Row],[Flavours]:[Soothe]])</f>
        <v>0</v>
      </c>
      <c r="AE6" s="28" t="s">
        <v>1543</v>
      </c>
    </row>
    <row r="7" spans="1:32">
      <c r="A7" t="b">
        <f>IF(Table30[[#This Row],[Column7]],Table30[[#This Row],[Product2]])</f>
        <v>0</v>
      </c>
      <c r="B7" s="20" t="b">
        <f>B2</f>
        <v>1</v>
      </c>
      <c r="C7" s="20" t="b">
        <f>C2</f>
        <v>0</v>
      </c>
      <c r="D7" s="17"/>
      <c r="E7" s="17"/>
      <c r="F7" s="17"/>
      <c r="G7" s="17"/>
      <c r="H7" s="20" t="b">
        <f>H2</f>
        <v>0</v>
      </c>
      <c r="I7" s="17" t="b">
        <f>I2</f>
        <v>1</v>
      </c>
      <c r="J7" s="17" t="b">
        <f>J2</f>
        <v>1</v>
      </c>
      <c r="K7" s="17" t="b">
        <f>K2</f>
        <v>1</v>
      </c>
      <c r="L7" s="20" t="b">
        <f>L3</f>
        <v>1</v>
      </c>
      <c r="M7" s="20" t="b">
        <f>OR('Meal Replacement Criteria'!B15:C15)</f>
        <v>1</v>
      </c>
      <c r="N7" s="20" t="b">
        <f>N2</f>
        <v>1</v>
      </c>
      <c r="O7" s="17" t="b">
        <f>O5</f>
        <v>1</v>
      </c>
      <c r="P7" s="17" t="b">
        <f>P5</f>
        <v>1</v>
      </c>
      <c r="Q7" s="17" t="b">
        <f>AND('Meal Replacement Criteria'!C19)</f>
        <v>1</v>
      </c>
      <c r="R7" s="17" t="b">
        <f>R3</f>
        <v>1</v>
      </c>
      <c r="S7" s="17" t="b">
        <f t="shared" ref="S7:X7" si="3">S2</f>
        <v>1</v>
      </c>
      <c r="T7" s="17" t="b">
        <f t="shared" si="3"/>
        <v>1</v>
      </c>
      <c r="U7" s="17" t="b">
        <f t="shared" si="3"/>
        <v>1</v>
      </c>
      <c r="V7" s="17" t="b">
        <f t="shared" si="3"/>
        <v>1</v>
      </c>
      <c r="W7" s="17" t="b">
        <f t="shared" si="3"/>
        <v>1</v>
      </c>
      <c r="X7" s="20" t="b">
        <f t="shared" si="3"/>
        <v>0</v>
      </c>
      <c r="Y7" s="17"/>
      <c r="Z7" s="17"/>
      <c r="AA7" s="17"/>
      <c r="AB7" s="17" t="b">
        <f>AB2</f>
        <v>1</v>
      </c>
      <c r="AC7" s="17" t="b">
        <f>AC2</f>
        <v>1</v>
      </c>
      <c r="AD7" t="b">
        <f>AND(Table30[[#This Row],[Flavours]:[Soothe]])</f>
        <v>0</v>
      </c>
      <c r="AE7" s="28" t="s">
        <v>1544</v>
      </c>
    </row>
    <row r="8" spans="1:32">
      <c r="A8" t="b">
        <f>IF(Table30[[#This Row],[Column7]],Table30[[#This Row],[Product2]])</f>
        <v>0</v>
      </c>
      <c r="B8" s="17" t="b">
        <f>B5</f>
        <v>1</v>
      </c>
      <c r="C8" s="20" t="b">
        <f>C2</f>
        <v>0</v>
      </c>
      <c r="D8" s="17"/>
      <c r="E8" s="17"/>
      <c r="F8" s="17"/>
      <c r="G8" s="17"/>
      <c r="H8" s="20" t="b">
        <f>H2</f>
        <v>0</v>
      </c>
      <c r="I8" s="20" t="b">
        <f>OR('Meal Replacement Criteria'!B10:C10)</f>
        <v>1</v>
      </c>
      <c r="J8" s="17" t="b">
        <f>J2</f>
        <v>1</v>
      </c>
      <c r="K8" s="17" t="b">
        <f>K2</f>
        <v>1</v>
      </c>
      <c r="L8" s="20" t="b">
        <f>L3</f>
        <v>1</v>
      </c>
      <c r="M8" s="17" t="b">
        <f>M2</f>
        <v>1</v>
      </c>
      <c r="N8" s="17" t="b">
        <f>AND('Meal Replacement Criteria'!C16)</f>
        <v>1</v>
      </c>
      <c r="O8" s="17" t="b">
        <f>O5</f>
        <v>1</v>
      </c>
      <c r="P8" s="17" t="b">
        <f>P5</f>
        <v>1</v>
      </c>
      <c r="Q8" s="17" t="b">
        <f>Q7</f>
        <v>1</v>
      </c>
      <c r="R8" s="17" t="b">
        <f>R3</f>
        <v>1</v>
      </c>
      <c r="S8" s="17" t="b">
        <f t="shared" ref="S8:X8" si="4">S2</f>
        <v>1</v>
      </c>
      <c r="T8" s="17" t="b">
        <f t="shared" si="4"/>
        <v>1</v>
      </c>
      <c r="U8" s="17" t="b">
        <f t="shared" si="4"/>
        <v>1</v>
      </c>
      <c r="V8" s="17" t="b">
        <f t="shared" si="4"/>
        <v>1</v>
      </c>
      <c r="W8" s="17" t="b">
        <f t="shared" si="4"/>
        <v>1</v>
      </c>
      <c r="X8" s="20" t="b">
        <f t="shared" si="4"/>
        <v>0</v>
      </c>
      <c r="Y8" s="17"/>
      <c r="Z8" s="17"/>
      <c r="AA8" s="17"/>
      <c r="AB8" s="17" t="b">
        <f>AB2</f>
        <v>1</v>
      </c>
      <c r="AC8" s="17" t="b">
        <f>AC2</f>
        <v>1</v>
      </c>
      <c r="AD8" t="b">
        <f>AND(Table30[[#This Row],[Flavours]:[Soothe]])</f>
        <v>0</v>
      </c>
      <c r="AE8" s="28" t="s">
        <v>1546</v>
      </c>
    </row>
    <row r="9" spans="1:32">
      <c r="A9" t="b">
        <f>IF(Table30[[#This Row],[Column7]],Table30[[#This Row],[Product2]])</f>
        <v>0</v>
      </c>
      <c r="B9" s="20" t="b">
        <f>B2</f>
        <v>1</v>
      </c>
      <c r="C9" s="17"/>
      <c r="D9" s="20" t="b">
        <f>AND('Meal Replacement Criteria'!B6,'Meal Replacement Criteria'!C5,'Meal Replacement Criteria'!C7:C8)</f>
        <v>0</v>
      </c>
      <c r="E9" s="17"/>
      <c r="F9" s="17"/>
      <c r="G9" s="17"/>
      <c r="H9" s="20" t="b">
        <f t="shared" ref="H9:M9" si="5">H2</f>
        <v>0</v>
      </c>
      <c r="I9" s="17" t="b">
        <f t="shared" si="5"/>
        <v>1</v>
      </c>
      <c r="J9" s="17" t="b">
        <f t="shared" si="5"/>
        <v>1</v>
      </c>
      <c r="K9" s="17" t="b">
        <f t="shared" si="5"/>
        <v>1</v>
      </c>
      <c r="L9" s="17" t="b">
        <f t="shared" si="5"/>
        <v>1</v>
      </c>
      <c r="M9" s="17" t="b">
        <f t="shared" si="5"/>
        <v>1</v>
      </c>
      <c r="N9" s="17" t="b">
        <f>N8</f>
        <v>1</v>
      </c>
      <c r="O9" s="17" t="b">
        <f>O5</f>
        <v>1</v>
      </c>
      <c r="P9" s="17" t="b">
        <f>P5</f>
        <v>1</v>
      </c>
      <c r="Q9" s="17" t="b">
        <f>Q7</f>
        <v>1</v>
      </c>
      <c r="R9" s="17" t="b">
        <f>R3</f>
        <v>1</v>
      </c>
      <c r="S9" s="17" t="b">
        <f t="shared" ref="S9:X9" si="6">S2</f>
        <v>1</v>
      </c>
      <c r="T9" s="17" t="b">
        <f t="shared" si="6"/>
        <v>1</v>
      </c>
      <c r="U9" s="17" t="b">
        <f t="shared" si="6"/>
        <v>1</v>
      </c>
      <c r="V9" s="17" t="b">
        <f t="shared" si="6"/>
        <v>1</v>
      </c>
      <c r="W9" s="17" t="b">
        <f t="shared" si="6"/>
        <v>1</v>
      </c>
      <c r="X9" s="20" t="b">
        <f t="shared" si="6"/>
        <v>0</v>
      </c>
      <c r="Y9" s="17"/>
      <c r="Z9" s="17"/>
      <c r="AA9" s="17"/>
      <c r="AB9" s="17" t="b">
        <f>AB2</f>
        <v>1</v>
      </c>
      <c r="AC9" s="17" t="b">
        <f>AC2</f>
        <v>1</v>
      </c>
      <c r="AD9" t="b">
        <f>AND(Table30[[#This Row],[Flavours]:[Soothe]])</f>
        <v>0</v>
      </c>
      <c r="AE9" s="28" t="s">
        <v>1548</v>
      </c>
    </row>
    <row r="10" spans="1:32">
      <c r="A10" t="b">
        <f>IF(Table30[[#This Row],[Column7]],Table30[[#This Row],[Product2]])</f>
        <v>0</v>
      </c>
      <c r="B10" s="17" t="b">
        <f>B5</f>
        <v>1</v>
      </c>
      <c r="C10" s="17"/>
      <c r="D10" s="17"/>
      <c r="E10" s="20" t="b">
        <f>AND('Meal Replacement Criteria'!B5,'Meal Replacement Criteria'!C6:C8)</f>
        <v>0</v>
      </c>
      <c r="F10" s="17"/>
      <c r="G10" s="17"/>
      <c r="H10" s="20" t="b">
        <f t="shared" ref="H10:N10" si="7">H2</f>
        <v>0</v>
      </c>
      <c r="I10" s="17" t="b">
        <f t="shared" si="7"/>
        <v>1</v>
      </c>
      <c r="J10" s="17" t="b">
        <f t="shared" si="7"/>
        <v>1</v>
      </c>
      <c r="K10" s="17" t="b">
        <f t="shared" si="7"/>
        <v>1</v>
      </c>
      <c r="L10" s="17" t="b">
        <f t="shared" si="7"/>
        <v>1</v>
      </c>
      <c r="M10" s="17" t="b">
        <f t="shared" si="7"/>
        <v>1</v>
      </c>
      <c r="N10" s="20" t="b">
        <f t="shared" si="7"/>
        <v>1</v>
      </c>
      <c r="O10" s="17" t="b">
        <f>O5</f>
        <v>1</v>
      </c>
      <c r="P10" s="17" t="b">
        <f>P5</f>
        <v>1</v>
      </c>
      <c r="Q10" s="17" t="b">
        <f>Q7</f>
        <v>1</v>
      </c>
      <c r="R10" s="17" t="b">
        <f>R3</f>
        <v>1</v>
      </c>
      <c r="S10" s="17" t="b">
        <f t="shared" ref="S10:X10" si="8">S2</f>
        <v>1</v>
      </c>
      <c r="T10" s="17" t="b">
        <f t="shared" si="8"/>
        <v>1</v>
      </c>
      <c r="U10" s="17" t="b">
        <f t="shared" si="8"/>
        <v>1</v>
      </c>
      <c r="V10" s="17" t="b">
        <f t="shared" si="8"/>
        <v>1</v>
      </c>
      <c r="W10" s="17" t="b">
        <f t="shared" si="8"/>
        <v>1</v>
      </c>
      <c r="X10" s="20" t="b">
        <f t="shared" si="8"/>
        <v>0</v>
      </c>
      <c r="Y10" s="17"/>
      <c r="Z10" s="17"/>
      <c r="AA10" s="17"/>
      <c r="AB10" s="17" t="b">
        <f>AB2</f>
        <v>1</v>
      </c>
      <c r="AC10" s="17" t="b">
        <f>AC2</f>
        <v>1</v>
      </c>
      <c r="AD10" t="b">
        <f>AND(Table30[[#This Row],[Flavours]:[Soothe]])</f>
        <v>0</v>
      </c>
      <c r="AE10" s="28" t="s">
        <v>1551</v>
      </c>
    </row>
    <row r="11" spans="1:32">
      <c r="A11" t="b">
        <f>IF(Table30[[#This Row],[Column7]],Table30[[#This Row],[Product2]])</f>
        <v>0</v>
      </c>
      <c r="B11" s="20" t="b">
        <f>B2</f>
        <v>1</v>
      </c>
      <c r="C11" s="20" t="b">
        <f>C2</f>
        <v>0</v>
      </c>
      <c r="D11" s="17"/>
      <c r="E11" s="17"/>
      <c r="F11" s="17"/>
      <c r="G11" s="17"/>
      <c r="H11" s="20" t="b">
        <f t="shared" ref="H11:N11" si="9">H2</f>
        <v>0</v>
      </c>
      <c r="I11" s="17" t="b">
        <f t="shared" si="9"/>
        <v>1</v>
      </c>
      <c r="J11" s="17" t="b">
        <f t="shared" si="9"/>
        <v>1</v>
      </c>
      <c r="K11" s="17" t="b">
        <f t="shared" si="9"/>
        <v>1</v>
      </c>
      <c r="L11" s="17" t="b">
        <f t="shared" si="9"/>
        <v>1</v>
      </c>
      <c r="M11" s="17" t="b">
        <f t="shared" si="9"/>
        <v>1</v>
      </c>
      <c r="N11" s="20" t="b">
        <f t="shared" si="9"/>
        <v>1</v>
      </c>
      <c r="O11" s="17" t="b">
        <f>O5</f>
        <v>1</v>
      </c>
      <c r="P11" s="17" t="b">
        <f>P5</f>
        <v>1</v>
      </c>
      <c r="Q11" s="20" t="b">
        <f>Q2</f>
        <v>1</v>
      </c>
      <c r="R11" s="17" t="b">
        <f>R3</f>
        <v>1</v>
      </c>
      <c r="S11" s="17" t="b">
        <f>S2</f>
        <v>1</v>
      </c>
      <c r="T11" s="17" t="b">
        <f>T2</f>
        <v>1</v>
      </c>
      <c r="U11" s="20" t="b">
        <f>U5</f>
        <v>1</v>
      </c>
      <c r="V11" s="20" t="b">
        <f>OR('Meal Replacement Criteria'!B24:C24)</f>
        <v>1</v>
      </c>
      <c r="W11" s="20" t="b">
        <f>W5</f>
        <v>1</v>
      </c>
      <c r="X11" s="20" t="b">
        <f>X2</f>
        <v>0</v>
      </c>
      <c r="Y11" s="17"/>
      <c r="Z11" s="17"/>
      <c r="AA11" s="17"/>
      <c r="AB11" s="20" t="b">
        <f>OR('Meal Replacement Criteria'!B30:C30)</f>
        <v>1</v>
      </c>
      <c r="AC11" s="17" t="b">
        <f>AC2</f>
        <v>1</v>
      </c>
      <c r="AD11" t="b">
        <f>AND(Table30[[#This Row],[Flavours]:[Soothe]])</f>
        <v>0</v>
      </c>
      <c r="AE11" s="28" t="s">
        <v>1552</v>
      </c>
    </row>
    <row r="12" spans="1:32">
      <c r="A12" t="b">
        <f>IF(Table30[[#This Row],[Column7]],Table30[[#This Row],[Product2]])</f>
        <v>0</v>
      </c>
      <c r="B12" s="20" t="b">
        <f>B2</f>
        <v>1</v>
      </c>
      <c r="C12" s="20" t="b">
        <f>C2</f>
        <v>0</v>
      </c>
      <c r="D12" s="17"/>
      <c r="E12" s="17"/>
      <c r="F12" s="17"/>
      <c r="G12" s="17"/>
      <c r="H12" s="20" t="b">
        <f>H2</f>
        <v>0</v>
      </c>
      <c r="I12" s="17" t="b">
        <f>I2</f>
        <v>1</v>
      </c>
      <c r="J12" s="20" t="b">
        <f>J6</f>
        <v>1</v>
      </c>
      <c r="K12" s="17" t="b">
        <f>K2</f>
        <v>1</v>
      </c>
      <c r="L12" s="20" t="b">
        <f>L3</f>
        <v>1</v>
      </c>
      <c r="M12" s="20" t="b">
        <f>M7</f>
        <v>1</v>
      </c>
      <c r="N12" s="20" t="b">
        <f>N2</f>
        <v>1</v>
      </c>
      <c r="O12" s="17" t="b">
        <f>O5</f>
        <v>1</v>
      </c>
      <c r="P12" s="17" t="b">
        <f>P5</f>
        <v>1</v>
      </c>
      <c r="Q12" s="17" t="b">
        <f>Q7</f>
        <v>1</v>
      </c>
      <c r="R12" s="17" t="b">
        <f>R3</f>
        <v>1</v>
      </c>
      <c r="S12" s="17" t="b">
        <f t="shared" ref="S12:X12" si="10">S2</f>
        <v>1</v>
      </c>
      <c r="T12" s="17" t="b">
        <f t="shared" si="10"/>
        <v>1</v>
      </c>
      <c r="U12" s="17" t="b">
        <f t="shared" si="10"/>
        <v>1</v>
      </c>
      <c r="V12" s="17" t="b">
        <f t="shared" si="10"/>
        <v>1</v>
      </c>
      <c r="W12" s="17" t="b">
        <f t="shared" si="10"/>
        <v>1</v>
      </c>
      <c r="X12" s="20" t="b">
        <f t="shared" si="10"/>
        <v>0</v>
      </c>
      <c r="Y12" s="17"/>
      <c r="Z12" s="17"/>
      <c r="AA12" s="17"/>
      <c r="AB12" s="17" t="b">
        <f>AB2</f>
        <v>1</v>
      </c>
      <c r="AC12" s="17" t="b">
        <f>AC2</f>
        <v>1</v>
      </c>
      <c r="AD12" t="b">
        <f>AND(Table30[[#This Row],[Flavours]:[Soothe]])</f>
        <v>0</v>
      </c>
      <c r="AE12" s="28" t="s">
        <v>1554</v>
      </c>
    </row>
    <row r="13" spans="1:32">
      <c r="A13" t="b">
        <f>IF(Table30[[#This Row],[Column7]],Table30[[#This Row],[Product2]])</f>
        <v>0</v>
      </c>
      <c r="B13" s="17" t="b">
        <f>B5</f>
        <v>1</v>
      </c>
      <c r="C13" s="20" t="b">
        <f>C2</f>
        <v>0</v>
      </c>
      <c r="D13" s="17"/>
      <c r="E13" s="17"/>
      <c r="F13" s="17"/>
      <c r="G13" s="17"/>
      <c r="H13" s="20" t="b">
        <f>H2</f>
        <v>0</v>
      </c>
      <c r="I13" s="17" t="b">
        <f>I2</f>
        <v>1</v>
      </c>
      <c r="J13" s="17" t="b">
        <f>J2</f>
        <v>1</v>
      </c>
      <c r="K13" s="17" t="b">
        <f>K2</f>
        <v>1</v>
      </c>
      <c r="L13" s="20" t="b">
        <f>L3</f>
        <v>1</v>
      </c>
      <c r="M13" s="17" t="b">
        <f>M2</f>
        <v>1</v>
      </c>
      <c r="N13" s="17" t="b">
        <f>N8</f>
        <v>1</v>
      </c>
      <c r="O13" s="17" t="b">
        <f>O5</f>
        <v>1</v>
      </c>
      <c r="P13" s="17" t="b">
        <f>P5</f>
        <v>1</v>
      </c>
      <c r="Q13" s="17" t="b">
        <f>Q7</f>
        <v>1</v>
      </c>
      <c r="R13" s="17" t="b">
        <f>R3</f>
        <v>1</v>
      </c>
      <c r="S13" s="20" t="b">
        <f>S3</f>
        <v>1</v>
      </c>
      <c r="T13" s="17" t="b">
        <f>T2</f>
        <v>1</v>
      </c>
      <c r="U13" s="17" t="b">
        <f>U2</f>
        <v>1</v>
      </c>
      <c r="V13" s="17" t="b">
        <f>V2</f>
        <v>1</v>
      </c>
      <c r="W13" s="17" t="b">
        <f>W2</f>
        <v>1</v>
      </c>
      <c r="X13" s="17"/>
      <c r="Y13" s="20" t="b">
        <f>AND('Meal Replacement Criteria'!B26,'Meal Replacement Criteria'!C25,'Meal Replacement Criteria'!C27:C28)</f>
        <v>0</v>
      </c>
      <c r="Z13" s="17"/>
      <c r="AA13" s="17"/>
      <c r="AB13" s="17" t="b">
        <f>AB2</f>
        <v>1</v>
      </c>
      <c r="AC13" s="17" t="b">
        <f>AC2</f>
        <v>1</v>
      </c>
      <c r="AD13" t="b">
        <f>AND(Table30[[#This Row],[Flavours]:[Soothe]])</f>
        <v>0</v>
      </c>
      <c r="AE13" s="28" t="s">
        <v>1555</v>
      </c>
    </row>
    <row r="14" spans="1:32">
      <c r="A14" t="b">
        <f>IF(Table30[[#This Row],[Column7]],Table30[[#This Row],[Product2]])</f>
        <v>0</v>
      </c>
      <c r="B14" s="20" t="b">
        <f>B2</f>
        <v>1</v>
      </c>
      <c r="C14" s="20" t="b">
        <f>C2</f>
        <v>0</v>
      </c>
      <c r="D14" s="17"/>
      <c r="E14" s="17"/>
      <c r="F14" s="17"/>
      <c r="G14" s="17"/>
      <c r="H14" s="20" t="b">
        <f t="shared" ref="H14:N14" si="11">H2</f>
        <v>0</v>
      </c>
      <c r="I14" s="17" t="b">
        <f t="shared" si="11"/>
        <v>1</v>
      </c>
      <c r="J14" s="17" t="b">
        <f t="shared" si="11"/>
        <v>1</v>
      </c>
      <c r="K14" s="17" t="b">
        <f t="shared" si="11"/>
        <v>1</v>
      </c>
      <c r="L14" s="17" t="b">
        <f t="shared" si="11"/>
        <v>1</v>
      </c>
      <c r="M14" s="17" t="b">
        <f t="shared" si="11"/>
        <v>1</v>
      </c>
      <c r="N14" s="20" t="b">
        <f t="shared" si="11"/>
        <v>1</v>
      </c>
      <c r="O14" s="17" t="b">
        <f>O5</f>
        <v>1</v>
      </c>
      <c r="P14" s="17" t="b">
        <f>P5</f>
        <v>1</v>
      </c>
      <c r="Q14" s="20" t="b">
        <f>Q2</f>
        <v>1</v>
      </c>
      <c r="R14" s="17" t="b">
        <f>R3</f>
        <v>1</v>
      </c>
      <c r="S14" s="17" t="b">
        <f>S2</f>
        <v>1</v>
      </c>
      <c r="T14" s="17" t="b">
        <f>T2</f>
        <v>1</v>
      </c>
      <c r="U14" s="20" t="b">
        <f>U5</f>
        <v>1</v>
      </c>
      <c r="V14" s="17" t="b">
        <f>V2</f>
        <v>1</v>
      </c>
      <c r="W14" s="20" t="b">
        <f>W5</f>
        <v>1</v>
      </c>
      <c r="X14" s="17"/>
      <c r="Y14" s="17"/>
      <c r="Z14" s="17"/>
      <c r="AA14" s="20" t="b">
        <f>AND('Meal Replacement Criteria'!B28,'Meal Replacement Criteria'!C25:C27)</f>
        <v>0</v>
      </c>
      <c r="AB14" s="17" t="b">
        <f>AB2</f>
        <v>1</v>
      </c>
      <c r="AC14" s="17" t="b">
        <f>AC2</f>
        <v>1</v>
      </c>
      <c r="AD14" t="b">
        <f>AND(Table30[[#This Row],[Flavours]:[Soothe]])</f>
        <v>0</v>
      </c>
      <c r="AE14" s="28" t="s">
        <v>1556</v>
      </c>
    </row>
    <row r="15" spans="1:32">
      <c r="A15" t="b">
        <f>IF(Table30[[#This Row],[Column7]],Table30[[#This Row],[Product2]])</f>
        <v>0</v>
      </c>
      <c r="B15" s="20" t="b">
        <f>B2</f>
        <v>1</v>
      </c>
      <c r="C15" s="20" t="b">
        <f>C2</f>
        <v>0</v>
      </c>
      <c r="D15" s="17"/>
      <c r="E15" s="17"/>
      <c r="F15" s="17"/>
      <c r="G15" s="17"/>
      <c r="H15" s="20" t="b">
        <f t="shared" ref="H15:N15" si="12">H2</f>
        <v>0</v>
      </c>
      <c r="I15" s="17" t="b">
        <f t="shared" si="12"/>
        <v>1</v>
      </c>
      <c r="J15" s="17" t="b">
        <f t="shared" si="12"/>
        <v>1</v>
      </c>
      <c r="K15" s="17" t="b">
        <f t="shared" si="12"/>
        <v>1</v>
      </c>
      <c r="L15" s="17" t="b">
        <f t="shared" si="12"/>
        <v>1</v>
      </c>
      <c r="M15" s="17" t="b">
        <f t="shared" si="12"/>
        <v>1</v>
      </c>
      <c r="N15" s="20" t="b">
        <f t="shared" si="12"/>
        <v>1</v>
      </c>
      <c r="O15" s="17" t="b">
        <f>O5</f>
        <v>1</v>
      </c>
      <c r="P15" s="17" t="b">
        <f>P5</f>
        <v>1</v>
      </c>
      <c r="Q15" s="20" t="b">
        <f>Q2</f>
        <v>1</v>
      </c>
      <c r="R15" s="17" t="b">
        <f>R3</f>
        <v>1</v>
      </c>
      <c r="S15" s="17" t="b">
        <f>S2</f>
        <v>1</v>
      </c>
      <c r="T15" s="17" t="b">
        <f>T2</f>
        <v>1</v>
      </c>
      <c r="U15" s="20" t="b">
        <f>U5</f>
        <v>1</v>
      </c>
      <c r="V15" s="17" t="b">
        <f>V2</f>
        <v>1</v>
      </c>
      <c r="W15" s="17" t="b">
        <f>W2</f>
        <v>1</v>
      </c>
      <c r="X15" s="20" t="b">
        <f>X2</f>
        <v>0</v>
      </c>
      <c r="Y15" s="17"/>
      <c r="Z15" s="17"/>
      <c r="AA15" s="17"/>
      <c r="AB15" s="20" t="b">
        <f>AB11</f>
        <v>1</v>
      </c>
      <c r="AC15" s="20" t="b">
        <f>OR('Meal Replacement Criteria'!B29:C29)</f>
        <v>1</v>
      </c>
      <c r="AD15" t="b">
        <f>AND(Table30[[#This Row],[Flavours]:[Soothe]])</f>
        <v>0</v>
      </c>
      <c r="AE15" s="28" t="s">
        <v>1557</v>
      </c>
      <c r="AF15" t="s">
        <v>1597</v>
      </c>
    </row>
    <row r="16" spans="1:32">
      <c r="A16" s="16" t="e">
        <f>IF(Table30[[#This Row],[Column7]],Table30[[#This Row],[Product2]])</f>
        <v>#VALUE!</v>
      </c>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t="e">
        <f>AND(Table30[[#This Row],[Flavours]:[Soothe]])</f>
        <v>#VALUE!</v>
      </c>
      <c r="AE16" s="16"/>
    </row>
    <row r="17" spans="1:31">
      <c r="A17" t="b">
        <f>IF(Table30[[#This Row],[Column7]],Table30[[#This Row],[Product2]])</f>
        <v>0</v>
      </c>
      <c r="B17" s="20" t="b">
        <f>B2</f>
        <v>1</v>
      </c>
      <c r="C17" s="20" t="b">
        <f>C2</f>
        <v>0</v>
      </c>
      <c r="D17" s="17"/>
      <c r="E17" s="17"/>
      <c r="F17" s="17"/>
      <c r="G17" s="17"/>
      <c r="H17" s="20" t="b">
        <f>H2</f>
        <v>0</v>
      </c>
      <c r="I17" s="17" t="b">
        <f>I2</f>
        <v>1</v>
      </c>
      <c r="J17" s="17" t="b">
        <f>J2</f>
        <v>1</v>
      </c>
      <c r="K17" s="17" t="b">
        <f>K2</f>
        <v>1</v>
      </c>
      <c r="L17" s="20" t="b">
        <f>L3</f>
        <v>1</v>
      </c>
      <c r="M17" s="17" t="b">
        <f>M2</f>
        <v>1</v>
      </c>
      <c r="N17" s="20" t="b">
        <f>N2</f>
        <v>1</v>
      </c>
      <c r="O17" s="17" t="b">
        <f>O5</f>
        <v>1</v>
      </c>
      <c r="P17" s="17" t="b">
        <f>P5</f>
        <v>1</v>
      </c>
      <c r="Q17" s="20" t="b">
        <f>Q2</f>
        <v>1</v>
      </c>
      <c r="R17" s="17" t="b">
        <f>R3</f>
        <v>1</v>
      </c>
      <c r="S17" s="17" t="b">
        <f>S2</f>
        <v>1</v>
      </c>
      <c r="T17" s="17" t="b">
        <f>T2</f>
        <v>1</v>
      </c>
      <c r="U17" s="20" t="b">
        <f>U5</f>
        <v>1</v>
      </c>
      <c r="V17" s="17" t="b">
        <f>V2</f>
        <v>1</v>
      </c>
      <c r="W17" s="17" t="b">
        <f>W2</f>
        <v>1</v>
      </c>
      <c r="X17" s="20" t="b">
        <f>X2</f>
        <v>0</v>
      </c>
      <c r="Y17" s="17"/>
      <c r="Z17" s="17"/>
      <c r="AA17" s="17"/>
      <c r="AB17" s="17" t="b">
        <f>AB2</f>
        <v>1</v>
      </c>
      <c r="AC17" s="17" t="b">
        <f>AC2</f>
        <v>1</v>
      </c>
      <c r="AD17" t="b">
        <f>AND(Table30[[#This Row],[Flavours]:[Soothe]])</f>
        <v>0</v>
      </c>
      <c r="AE17" s="28" t="s">
        <v>1558</v>
      </c>
    </row>
    <row r="18" spans="1:31">
      <c r="A18" t="b">
        <f>IF(Table30[[#This Row],[Column7]],Table30[[#This Row],[Product2]])</f>
        <v>0</v>
      </c>
      <c r="B18" s="20" t="b">
        <f>B2</f>
        <v>1</v>
      </c>
      <c r="C18" s="20" t="b">
        <f>C2</f>
        <v>0</v>
      </c>
      <c r="D18" s="17"/>
      <c r="E18" s="17"/>
      <c r="F18" s="17"/>
      <c r="G18" s="17"/>
      <c r="H18" s="20" t="b">
        <f t="shared" ref="H18:N18" si="13">H2</f>
        <v>0</v>
      </c>
      <c r="I18" s="17" t="b">
        <f t="shared" si="13"/>
        <v>1</v>
      </c>
      <c r="J18" s="17" t="b">
        <f t="shared" si="13"/>
        <v>1</v>
      </c>
      <c r="K18" s="17" t="b">
        <f t="shared" si="13"/>
        <v>1</v>
      </c>
      <c r="L18" s="17" t="b">
        <f t="shared" si="13"/>
        <v>1</v>
      </c>
      <c r="M18" s="17" t="b">
        <f t="shared" si="13"/>
        <v>1</v>
      </c>
      <c r="N18" s="20" t="b">
        <f t="shared" si="13"/>
        <v>1</v>
      </c>
      <c r="O18" s="17" t="b">
        <f>O5</f>
        <v>1</v>
      </c>
      <c r="P18" s="17" t="b">
        <f>P5</f>
        <v>1</v>
      </c>
      <c r="Q18" s="20" t="b">
        <f>Q2</f>
        <v>1</v>
      </c>
      <c r="R18" s="17" t="b">
        <f>R3</f>
        <v>1</v>
      </c>
      <c r="S18" s="17" t="b">
        <f>S2</f>
        <v>1</v>
      </c>
      <c r="T18" s="17" t="b">
        <f>T2</f>
        <v>1</v>
      </c>
      <c r="U18" s="20" t="b">
        <f>U5</f>
        <v>1</v>
      </c>
      <c r="V18" s="17" t="b">
        <f>V2</f>
        <v>1</v>
      </c>
      <c r="W18" s="17" t="b">
        <f>W2</f>
        <v>1</v>
      </c>
      <c r="X18" s="20" t="b">
        <f>X2</f>
        <v>0</v>
      </c>
      <c r="Y18" s="17"/>
      <c r="Z18" s="17"/>
      <c r="AA18" s="17"/>
      <c r="AB18" s="17" t="b">
        <f>AB2</f>
        <v>1</v>
      </c>
      <c r="AC18" s="17" t="b">
        <f>AC2</f>
        <v>1</v>
      </c>
      <c r="AD18" t="b">
        <f>AND(Table30[[#This Row],[Flavours]:[Soothe]])</f>
        <v>0</v>
      </c>
      <c r="AE18" s="28" t="s">
        <v>1559</v>
      </c>
    </row>
    <row r="19" spans="1:31">
      <c r="A19" t="b">
        <f>IF(Table30[[#This Row],[Column7]],Table30[[#This Row],[Product2]])</f>
        <v>0</v>
      </c>
      <c r="B19" s="20" t="b">
        <f>B2</f>
        <v>1</v>
      </c>
      <c r="C19" s="20" t="b">
        <f>C2</f>
        <v>0</v>
      </c>
      <c r="D19" s="17"/>
      <c r="E19" s="17"/>
      <c r="F19" s="17"/>
      <c r="G19" s="17"/>
      <c r="H19" s="20" t="b">
        <f>H2</f>
        <v>0</v>
      </c>
      <c r="I19" s="17" t="b">
        <f>I2</f>
        <v>1</v>
      </c>
      <c r="J19" s="17" t="b">
        <f>J2</f>
        <v>1</v>
      </c>
      <c r="K19" s="17" t="b">
        <f>K2</f>
        <v>1</v>
      </c>
      <c r="L19" s="20" t="b">
        <f>L3</f>
        <v>1</v>
      </c>
      <c r="M19" s="17" t="b">
        <f>M2</f>
        <v>1</v>
      </c>
      <c r="N19" s="20" t="b">
        <f>N2</f>
        <v>1</v>
      </c>
      <c r="O19" s="17" t="b">
        <f>O5</f>
        <v>1</v>
      </c>
      <c r="P19" s="17" t="b">
        <f>P5</f>
        <v>1</v>
      </c>
      <c r="Q19" s="17" t="b">
        <f>Q7</f>
        <v>1</v>
      </c>
      <c r="R19" s="17" t="b">
        <f>R3</f>
        <v>1</v>
      </c>
      <c r="S19" s="17" t="b">
        <f>S2</f>
        <v>1</v>
      </c>
      <c r="T19" s="17" t="b">
        <f>T2</f>
        <v>1</v>
      </c>
      <c r="U19" s="20" t="b">
        <f>U5</f>
        <v>1</v>
      </c>
      <c r="V19" s="20" t="b">
        <f>V11</f>
        <v>1</v>
      </c>
      <c r="W19" s="17" t="b">
        <f>W2</f>
        <v>1</v>
      </c>
      <c r="X19" s="20" t="b">
        <f>X2</f>
        <v>0</v>
      </c>
      <c r="Y19" s="17"/>
      <c r="Z19" s="17"/>
      <c r="AA19" s="17"/>
      <c r="AB19" s="17" t="b">
        <f>AB2</f>
        <v>1</v>
      </c>
      <c r="AC19" s="17" t="b">
        <f>AC2</f>
        <v>1</v>
      </c>
      <c r="AD19" t="b">
        <f>AND(Table30[[#This Row],[Flavours]:[Soothe]])</f>
        <v>0</v>
      </c>
      <c r="AE19" s="29" t="s">
        <v>1560</v>
      </c>
    </row>
    <row r="20" spans="1:31">
      <c r="A20" t="b">
        <f>IF(Table30[[#This Row],[Column7]],Table30[[#This Row],[Product2]])</f>
        <v>0</v>
      </c>
      <c r="B20" s="20" t="b">
        <f>B2</f>
        <v>1</v>
      </c>
      <c r="C20" s="20" t="b">
        <f>C2</f>
        <v>0</v>
      </c>
      <c r="D20" s="17"/>
      <c r="E20" s="17"/>
      <c r="F20" s="17"/>
      <c r="G20" s="17"/>
      <c r="H20" s="20" t="b">
        <f>H2</f>
        <v>0</v>
      </c>
      <c r="I20" s="17" t="b">
        <f>I2</f>
        <v>1</v>
      </c>
      <c r="J20" s="17" t="b">
        <f>J2</f>
        <v>1</v>
      </c>
      <c r="K20" s="20" t="b">
        <f>OR('Meal Replacement Criteria'!B14:C14)</f>
        <v>1</v>
      </c>
      <c r="L20" s="20" t="b">
        <f>L3</f>
        <v>1</v>
      </c>
      <c r="M20" s="17" t="b">
        <f>M2</f>
        <v>1</v>
      </c>
      <c r="N20" s="20" t="b">
        <f>N2</f>
        <v>1</v>
      </c>
      <c r="O20" s="17" t="b">
        <f>O5</f>
        <v>1</v>
      </c>
      <c r="P20" s="17" t="b">
        <f>P5</f>
        <v>1</v>
      </c>
      <c r="Q20" s="20" t="b">
        <f>Q2</f>
        <v>1</v>
      </c>
      <c r="R20" s="20" t="b">
        <f>R2</f>
        <v>1</v>
      </c>
      <c r="S20" s="17" t="b">
        <f>S2</f>
        <v>1</v>
      </c>
      <c r="T20" s="17" t="b">
        <f>T2</f>
        <v>1</v>
      </c>
      <c r="U20" s="20" t="b">
        <f>U5</f>
        <v>1</v>
      </c>
      <c r="V20" s="17" t="b">
        <f>V2</f>
        <v>1</v>
      </c>
      <c r="W20" s="17" t="b">
        <f>W2</f>
        <v>1</v>
      </c>
      <c r="X20" s="20" t="b">
        <f>X2</f>
        <v>0</v>
      </c>
      <c r="Y20" s="17"/>
      <c r="Z20" s="17"/>
      <c r="AA20" s="17"/>
      <c r="AB20" s="17" t="b">
        <f>AB2</f>
        <v>1</v>
      </c>
      <c r="AC20" s="17" t="b">
        <f>AC2</f>
        <v>1</v>
      </c>
      <c r="AD20" t="b">
        <f>AND(Table30[[#This Row],[Flavours]:[Soothe]])</f>
        <v>0</v>
      </c>
      <c r="AE20" s="29" t="s">
        <v>1561</v>
      </c>
    </row>
    <row r="21" spans="1:31">
      <c r="A21" t="b">
        <f>IF(Table30[[#This Row],[Column7]],Table30[[#This Row],[Product2]])</f>
        <v>0</v>
      </c>
      <c r="B21" s="20" t="b">
        <f>B2</f>
        <v>1</v>
      </c>
      <c r="C21" s="20" t="b">
        <f>C2</f>
        <v>0</v>
      </c>
      <c r="D21" s="17"/>
      <c r="E21" s="17"/>
      <c r="F21" s="17"/>
      <c r="G21" s="17"/>
      <c r="H21" s="20" t="b">
        <f t="shared" ref="H21:N21" si="14">H2</f>
        <v>0</v>
      </c>
      <c r="I21" s="17" t="b">
        <f t="shared" si="14"/>
        <v>1</v>
      </c>
      <c r="J21" s="17" t="b">
        <f t="shared" si="14"/>
        <v>1</v>
      </c>
      <c r="K21" s="17" t="b">
        <f t="shared" si="14"/>
        <v>1</v>
      </c>
      <c r="L21" s="17" t="b">
        <f t="shared" si="14"/>
        <v>1</v>
      </c>
      <c r="M21" s="17" t="b">
        <f t="shared" si="14"/>
        <v>1</v>
      </c>
      <c r="N21" s="20" t="b">
        <f t="shared" si="14"/>
        <v>1</v>
      </c>
      <c r="O21" s="17" t="b">
        <f>O5</f>
        <v>1</v>
      </c>
      <c r="P21" s="17" t="b">
        <f>P5</f>
        <v>1</v>
      </c>
      <c r="Q21" s="20" t="b">
        <f>Q2</f>
        <v>1</v>
      </c>
      <c r="R21" s="17" t="b">
        <f>R3</f>
        <v>1</v>
      </c>
      <c r="S21" s="17" t="b">
        <f>S2</f>
        <v>1</v>
      </c>
      <c r="T21" s="17" t="b">
        <f>T2</f>
        <v>1</v>
      </c>
      <c r="U21" s="20" t="b">
        <f>U5</f>
        <v>1</v>
      </c>
      <c r="V21" s="17" t="b">
        <f>V2</f>
        <v>1</v>
      </c>
      <c r="W21" s="17" t="b">
        <f>W2</f>
        <v>1</v>
      </c>
      <c r="X21" s="20" t="b">
        <f>X2</f>
        <v>0</v>
      </c>
      <c r="Y21" s="17"/>
      <c r="Z21" s="17"/>
      <c r="AA21" s="17"/>
      <c r="AB21" s="17" t="b">
        <f>AB2</f>
        <v>1</v>
      </c>
      <c r="AC21" s="17" t="b">
        <f>AC2</f>
        <v>1</v>
      </c>
      <c r="AD21" t="b">
        <f>AND(Table30[[#This Row],[Flavours]:[Soothe]])</f>
        <v>0</v>
      </c>
      <c r="AE21" s="28" t="s">
        <v>1562</v>
      </c>
    </row>
    <row r="22" spans="1:31">
      <c r="A22" t="b">
        <f>IF(Table30[[#This Row],[Column7]],Table30[[#This Row],[Product2]])</f>
        <v>0</v>
      </c>
      <c r="B22" s="20" t="b">
        <f>B2</f>
        <v>1</v>
      </c>
      <c r="C22" s="20" t="b">
        <f>C2</f>
        <v>0</v>
      </c>
      <c r="D22" s="17"/>
      <c r="E22" s="17"/>
      <c r="F22" s="17"/>
      <c r="G22" s="17"/>
      <c r="H22" s="20" t="b">
        <f>H2</f>
        <v>0</v>
      </c>
      <c r="I22" s="17" t="b">
        <f>I2</f>
        <v>1</v>
      </c>
      <c r="J22" s="17" t="b">
        <f>J2</f>
        <v>1</v>
      </c>
      <c r="K22" s="20" t="b">
        <f>K20</f>
        <v>1</v>
      </c>
      <c r="L22" s="17" t="b">
        <f>L2</f>
        <v>1</v>
      </c>
      <c r="M22" s="17" t="b">
        <f>M2</f>
        <v>1</v>
      </c>
      <c r="N22" s="20" t="b">
        <f>N2</f>
        <v>1</v>
      </c>
      <c r="O22" s="17" t="b">
        <f>O5</f>
        <v>1</v>
      </c>
      <c r="P22" s="17" t="b">
        <f>P5</f>
        <v>1</v>
      </c>
      <c r="Q22" s="20" t="b">
        <f t="shared" ref="Q22:X22" si="15">Q2</f>
        <v>1</v>
      </c>
      <c r="R22" s="20" t="b">
        <f t="shared" si="15"/>
        <v>1</v>
      </c>
      <c r="S22" s="17" t="b">
        <f t="shared" si="15"/>
        <v>1</v>
      </c>
      <c r="T22" s="17" t="b">
        <f t="shared" si="15"/>
        <v>1</v>
      </c>
      <c r="U22" s="17" t="b">
        <f t="shared" si="15"/>
        <v>1</v>
      </c>
      <c r="V22" s="17" t="b">
        <f t="shared" si="15"/>
        <v>1</v>
      </c>
      <c r="W22" s="17" t="b">
        <f t="shared" si="15"/>
        <v>1</v>
      </c>
      <c r="X22" s="20" t="b">
        <f t="shared" si="15"/>
        <v>0</v>
      </c>
      <c r="Y22" s="17"/>
      <c r="Z22" s="17"/>
      <c r="AA22" s="17"/>
      <c r="AB22" s="17" t="b">
        <f>AB2</f>
        <v>1</v>
      </c>
      <c r="AC22" s="17" t="b">
        <f>AC2</f>
        <v>1</v>
      </c>
      <c r="AD22" t="b">
        <f>AND(Table30[[#This Row],[Flavours]:[Soothe]])</f>
        <v>0</v>
      </c>
      <c r="AE22" s="28" t="s">
        <v>1563</v>
      </c>
    </row>
    <row r="23" spans="1:31">
      <c r="A23" s="16" t="e">
        <f>IF(Table30[[#This Row],[Column7]],Table30[[#This Row],[Product2]])</f>
        <v>#VALUE!</v>
      </c>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t="e">
        <f>AND(Table30[[#This Row],[Flavours]:[Soothe]])</f>
        <v>#VALUE!</v>
      </c>
      <c r="AE23" s="16"/>
    </row>
    <row r="24" spans="1:31">
      <c r="A24" t="b">
        <f>IF(Table30[[#This Row],[Column7]],Table30[[#This Row],[Product2]])</f>
        <v>0</v>
      </c>
      <c r="B24" s="20" t="b">
        <f>B2</f>
        <v>1</v>
      </c>
      <c r="C24" s="20" t="b">
        <f>C2</f>
        <v>0</v>
      </c>
      <c r="D24" s="17"/>
      <c r="E24" s="17"/>
      <c r="F24" s="17"/>
      <c r="G24" s="17"/>
      <c r="H24" s="20" t="b">
        <f>H2</f>
        <v>0</v>
      </c>
      <c r="I24" s="17" t="b">
        <f>I2</f>
        <v>1</v>
      </c>
      <c r="J24" s="20" t="b">
        <f>J6</f>
        <v>1</v>
      </c>
      <c r="K24" s="17" t="b">
        <f>K2</f>
        <v>1</v>
      </c>
      <c r="L24" s="17" t="b">
        <f>L2</f>
        <v>1</v>
      </c>
      <c r="M24" s="17" t="b">
        <f>M2</f>
        <v>1</v>
      </c>
      <c r="N24" s="20" t="b">
        <f>N2</f>
        <v>1</v>
      </c>
      <c r="O24" s="17" t="b">
        <f>O5</f>
        <v>1</v>
      </c>
      <c r="P24" s="17" t="b">
        <f>P5</f>
        <v>1</v>
      </c>
      <c r="Q24" s="17" t="b">
        <f>Q7</f>
        <v>1</v>
      </c>
      <c r="R24" s="17" t="b">
        <f>R3</f>
        <v>1</v>
      </c>
      <c r="S24" s="17" t="b">
        <f>S2</f>
        <v>1</v>
      </c>
      <c r="T24" s="17" t="b">
        <f>T2</f>
        <v>1</v>
      </c>
      <c r="U24" s="20" t="b">
        <f>U5</f>
        <v>1</v>
      </c>
      <c r="V24" s="20" t="b">
        <f>V11</f>
        <v>1</v>
      </c>
      <c r="W24" s="17" t="b">
        <f>W2</f>
        <v>1</v>
      </c>
      <c r="X24" s="20" t="b">
        <f>X2</f>
        <v>0</v>
      </c>
      <c r="Y24" s="17"/>
      <c r="Z24" s="17"/>
      <c r="AA24" s="17"/>
      <c r="AB24" s="17" t="b">
        <f>AB2</f>
        <v>1</v>
      </c>
      <c r="AC24" s="17" t="b">
        <f>AC2</f>
        <v>1</v>
      </c>
      <c r="AD24" t="b">
        <f>AND(Table30[[#This Row],[Flavours]:[Soothe]])</f>
        <v>0</v>
      </c>
      <c r="AE24" s="29" t="s">
        <v>1564</v>
      </c>
    </row>
    <row r="25" spans="1:31">
      <c r="A25" t="b">
        <f>IF(Table30[[#This Row],[Column7]],Table30[[#This Row],[Product2]])</f>
        <v>0</v>
      </c>
      <c r="B25" s="20" t="b">
        <f>B2</f>
        <v>1</v>
      </c>
      <c r="C25" s="20" t="b">
        <f>C2</f>
        <v>0</v>
      </c>
      <c r="D25" s="17"/>
      <c r="E25" s="17"/>
      <c r="F25" s="17"/>
      <c r="G25" s="17"/>
      <c r="H25" s="20" t="b">
        <f>H2</f>
        <v>0</v>
      </c>
      <c r="I25" s="17" t="b">
        <f>I2</f>
        <v>1</v>
      </c>
      <c r="J25" s="20" t="b">
        <f>J6</f>
        <v>1</v>
      </c>
      <c r="K25" s="17" t="b">
        <f>K2</f>
        <v>1</v>
      </c>
      <c r="L25" s="17" t="b">
        <f>L2</f>
        <v>1</v>
      </c>
      <c r="M25" s="17" t="b">
        <f>M2</f>
        <v>1</v>
      </c>
      <c r="N25" s="20" t="b">
        <f>N2</f>
        <v>1</v>
      </c>
      <c r="O25" s="17" t="b">
        <f>O5</f>
        <v>1</v>
      </c>
      <c r="P25" s="17" t="b">
        <f>P5</f>
        <v>1</v>
      </c>
      <c r="Q25" s="17" t="b">
        <f>Q7</f>
        <v>1</v>
      </c>
      <c r="R25" s="17" t="b">
        <f>R3</f>
        <v>1</v>
      </c>
      <c r="S25" s="17" t="b">
        <f>S2</f>
        <v>1</v>
      </c>
      <c r="T25" s="17" t="b">
        <f>T2</f>
        <v>1</v>
      </c>
      <c r="U25" s="20" t="b">
        <f>U5</f>
        <v>1</v>
      </c>
      <c r="V25" s="17" t="b">
        <f>V2</f>
        <v>1</v>
      </c>
      <c r="W25" s="17" t="b">
        <f>W2</f>
        <v>1</v>
      </c>
      <c r="X25" s="17"/>
      <c r="Y25" s="17"/>
      <c r="Z25" s="20" t="b">
        <f>AND('Meal Replacement Criteria'!B27,'Meal Replacement Criteria'!C25:C26,'Meal Replacement Criteria'!C28)</f>
        <v>0</v>
      </c>
      <c r="AA25" s="17"/>
      <c r="AB25" s="17" t="b">
        <f>AB2</f>
        <v>1</v>
      </c>
      <c r="AC25" s="17" t="b">
        <f>AC2</f>
        <v>1</v>
      </c>
      <c r="AD25" t="b">
        <f>AND(Table30[[#This Row],[Flavours]:[Soothe]])</f>
        <v>0</v>
      </c>
      <c r="AE25" s="29" t="s">
        <v>1565</v>
      </c>
    </row>
    <row r="26" spans="1:31">
      <c r="A26" s="16" t="e">
        <f>IF(Table30[[#This Row],[Column7]],Table30[[#This Row],[Product2]])</f>
        <v>#VALUE!</v>
      </c>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t="e">
        <f>AND(Table30[[#This Row],[Flavours]:[Soothe]])</f>
        <v>#VALUE!</v>
      </c>
      <c r="AE26" s="16"/>
    </row>
    <row r="27" spans="1:31">
      <c r="A27" t="b">
        <f>IF(Table30[[#This Row],[Column7]],Table30[[#This Row],[Product2]])</f>
        <v>0</v>
      </c>
      <c r="B27" s="20" t="b">
        <f>B2</f>
        <v>1</v>
      </c>
      <c r="C27" s="20" t="b">
        <f>C2</f>
        <v>0</v>
      </c>
      <c r="D27" s="17"/>
      <c r="E27" s="17"/>
      <c r="F27" s="17"/>
      <c r="G27" s="20" t="b">
        <f>AND('Meal Replacement Criteria'!B3,'Meal Replacement Criteria'!C4)</f>
        <v>0</v>
      </c>
      <c r="H27" s="17"/>
      <c r="I27" s="17" t="b">
        <f>I2</f>
        <v>1</v>
      </c>
      <c r="J27" s="17" t="b">
        <f>J2</f>
        <v>1</v>
      </c>
      <c r="K27" s="17" t="b">
        <f>K2</f>
        <v>1</v>
      </c>
      <c r="L27" s="17" t="b">
        <f>L2</f>
        <v>1</v>
      </c>
      <c r="M27" s="17" t="b">
        <f>M2</f>
        <v>1</v>
      </c>
      <c r="N27" s="17" t="b">
        <f>N8</f>
        <v>1</v>
      </c>
      <c r="O27" s="17" t="b">
        <f>O5</f>
        <v>1</v>
      </c>
      <c r="P27" s="17" t="b">
        <f>P5</f>
        <v>1</v>
      </c>
      <c r="Q27" s="17" t="b">
        <f>Q7</f>
        <v>1</v>
      </c>
      <c r="R27" s="17" t="b">
        <f>R3</f>
        <v>1</v>
      </c>
      <c r="S27" s="17" t="b">
        <f t="shared" ref="S27:X27" si="16">S2</f>
        <v>1</v>
      </c>
      <c r="T27" s="17" t="b">
        <f t="shared" si="16"/>
        <v>1</v>
      </c>
      <c r="U27" s="17" t="b">
        <f t="shared" si="16"/>
        <v>1</v>
      </c>
      <c r="V27" s="17" t="b">
        <f t="shared" si="16"/>
        <v>1</v>
      </c>
      <c r="W27" s="17" t="b">
        <f t="shared" si="16"/>
        <v>1</v>
      </c>
      <c r="X27" s="20" t="b">
        <f t="shared" si="16"/>
        <v>0</v>
      </c>
      <c r="Y27" s="17"/>
      <c r="Z27" s="17"/>
      <c r="AA27" s="17"/>
      <c r="AB27" s="17" t="b">
        <f>AB2</f>
        <v>1</v>
      </c>
      <c r="AC27" s="17" t="b">
        <f>AC2</f>
        <v>1</v>
      </c>
      <c r="AD27" t="b">
        <f>AND(Table30[[#This Row],[Flavours]:[Soothe]])</f>
        <v>0</v>
      </c>
      <c r="AE27" s="29" t="s">
        <v>1567</v>
      </c>
    </row>
    <row r="28" spans="1:31">
      <c r="A28" t="b">
        <f>IF(Table30[[#This Row],[Column7]],Table30[[#This Row],[Product2]])</f>
        <v>0</v>
      </c>
      <c r="B28" s="20" t="b">
        <f>B2</f>
        <v>1</v>
      </c>
      <c r="C28" s="20" t="b">
        <f>C2</f>
        <v>0</v>
      </c>
      <c r="D28" s="17"/>
      <c r="E28" s="17"/>
      <c r="F28" s="17"/>
      <c r="G28" s="20" t="b">
        <f>G27</f>
        <v>0</v>
      </c>
      <c r="H28" s="17"/>
      <c r="I28" s="17" t="b">
        <f>I2</f>
        <v>1</v>
      </c>
      <c r="J28" s="17" t="b">
        <f>J2</f>
        <v>1</v>
      </c>
      <c r="K28" s="17" t="b">
        <f>K2</f>
        <v>1</v>
      </c>
      <c r="L28" s="17" t="b">
        <f>L2</f>
        <v>1</v>
      </c>
      <c r="M28" s="17" t="b">
        <f>M2</f>
        <v>1</v>
      </c>
      <c r="N28" s="17" t="b">
        <f>N8</f>
        <v>1</v>
      </c>
      <c r="O28" s="17" t="b">
        <f>O5</f>
        <v>1</v>
      </c>
      <c r="P28" s="17" t="b">
        <f>P5</f>
        <v>1</v>
      </c>
      <c r="Q28" s="17" t="b">
        <f>Q7</f>
        <v>1</v>
      </c>
      <c r="R28" s="17" t="b">
        <f>R3</f>
        <v>1</v>
      </c>
      <c r="S28" s="17" t="b">
        <f>S2</f>
        <v>1</v>
      </c>
      <c r="T28" s="17" t="b">
        <f>T2</f>
        <v>1</v>
      </c>
      <c r="U28" s="17" t="b">
        <f>U2</f>
        <v>1</v>
      </c>
      <c r="V28" s="17" t="b">
        <f>V2</f>
        <v>1</v>
      </c>
      <c r="W28" s="17" t="b">
        <f>W2</f>
        <v>1</v>
      </c>
      <c r="X28" s="17"/>
      <c r="Y28" s="20" t="b">
        <f>Y13</f>
        <v>0</v>
      </c>
      <c r="Z28" s="17"/>
      <c r="AA28" s="17"/>
      <c r="AB28" s="17" t="b">
        <f>AB2</f>
        <v>1</v>
      </c>
      <c r="AC28" s="17" t="b">
        <f>AC2</f>
        <v>1</v>
      </c>
      <c r="AD28" t="b">
        <f>AND(Table30[[#This Row],[Flavours]:[Soothe]])</f>
        <v>0</v>
      </c>
      <c r="AE28" s="29" t="s">
        <v>1568</v>
      </c>
    </row>
    <row r="29" spans="1:31">
      <c r="A29" t="b">
        <f>IF(Table30[[#This Row],[Column7]],Table30[[#This Row],[Product2]])</f>
        <v>0</v>
      </c>
      <c r="B29" s="20" t="b">
        <f>B2</f>
        <v>1</v>
      </c>
      <c r="C29" s="20" t="b">
        <f>C2</f>
        <v>0</v>
      </c>
      <c r="D29" s="17"/>
      <c r="E29" s="17"/>
      <c r="F29" s="17"/>
      <c r="G29" s="20" t="b">
        <f>G27</f>
        <v>0</v>
      </c>
      <c r="H29" s="17"/>
      <c r="I29" s="17" t="b">
        <f>I2</f>
        <v>1</v>
      </c>
      <c r="J29" s="17" t="b">
        <f>J2</f>
        <v>1</v>
      </c>
      <c r="K29" s="17" t="b">
        <f>K2</f>
        <v>1</v>
      </c>
      <c r="L29" s="20" t="b">
        <f>L3</f>
        <v>1</v>
      </c>
      <c r="M29" s="17" t="b">
        <f>M2</f>
        <v>1</v>
      </c>
      <c r="N29" s="20" t="b">
        <f>N2</f>
        <v>1</v>
      </c>
      <c r="O29" s="17" t="b">
        <f>O5</f>
        <v>1</v>
      </c>
      <c r="P29" s="17" t="b">
        <f>P5</f>
        <v>1</v>
      </c>
      <c r="Q29" s="17" t="b">
        <f>Q7</f>
        <v>1</v>
      </c>
      <c r="R29" s="17" t="b">
        <f>R3</f>
        <v>1</v>
      </c>
      <c r="S29" s="17" t="b">
        <f t="shared" ref="S29:X29" si="17">S2</f>
        <v>1</v>
      </c>
      <c r="T29" s="17" t="b">
        <f t="shared" si="17"/>
        <v>1</v>
      </c>
      <c r="U29" s="17" t="b">
        <f t="shared" si="17"/>
        <v>1</v>
      </c>
      <c r="V29" s="17" t="b">
        <f t="shared" si="17"/>
        <v>1</v>
      </c>
      <c r="W29" s="17" t="b">
        <f t="shared" si="17"/>
        <v>1</v>
      </c>
      <c r="X29" s="20" t="b">
        <f t="shared" si="17"/>
        <v>0</v>
      </c>
      <c r="Y29" s="17"/>
      <c r="Z29" s="17"/>
      <c r="AA29" s="17"/>
      <c r="AB29" s="17" t="b">
        <f>AB2</f>
        <v>1</v>
      </c>
      <c r="AC29" s="17" t="b">
        <f>AC2</f>
        <v>1</v>
      </c>
      <c r="AD29" t="b">
        <f>AND(Table30[[#This Row],[Flavours]:[Soothe]])</f>
        <v>0</v>
      </c>
      <c r="AE29" s="29" t="s">
        <v>1569</v>
      </c>
    </row>
    <row r="30" spans="1:31">
      <c r="A30" t="b">
        <f>IF(Table30[[#This Row],[Column7]],Table30[[#This Row],[Product2]])</f>
        <v>0</v>
      </c>
      <c r="B30" s="20" t="b">
        <f>B2</f>
        <v>1</v>
      </c>
      <c r="C30" s="20" t="b">
        <f>C2</f>
        <v>0</v>
      </c>
      <c r="D30" s="17"/>
      <c r="E30" s="17"/>
      <c r="F30" s="17"/>
      <c r="G30" s="20" t="b">
        <f>G27</f>
        <v>0</v>
      </c>
      <c r="H30" s="17"/>
      <c r="I30" s="17" t="b">
        <f>I2</f>
        <v>1</v>
      </c>
      <c r="J30" s="17" t="b">
        <f>J2</f>
        <v>1</v>
      </c>
      <c r="K30" s="17" t="b">
        <f>K2</f>
        <v>1</v>
      </c>
      <c r="L30" s="20" t="b">
        <f>L3</f>
        <v>1</v>
      </c>
      <c r="M30" s="17" t="b">
        <f>M2</f>
        <v>1</v>
      </c>
      <c r="N30" s="20" t="b">
        <f>N2</f>
        <v>1</v>
      </c>
      <c r="O30" s="17" t="b">
        <f>O5</f>
        <v>1</v>
      </c>
      <c r="P30" s="17" t="b">
        <f>P5</f>
        <v>1</v>
      </c>
      <c r="Q30" s="17" t="b">
        <f>Q7</f>
        <v>1</v>
      </c>
      <c r="R30" s="17" t="b">
        <f>R3</f>
        <v>1</v>
      </c>
      <c r="S30" s="17" t="b">
        <f>S2</f>
        <v>1</v>
      </c>
      <c r="T30" s="17" t="b">
        <f>T2</f>
        <v>1</v>
      </c>
      <c r="U30" s="17" t="b">
        <f>U2</f>
        <v>1</v>
      </c>
      <c r="V30" s="17" t="b">
        <f>V2</f>
        <v>1</v>
      </c>
      <c r="W30" s="17" t="b">
        <f>W2</f>
        <v>1</v>
      </c>
      <c r="X30" s="17"/>
      <c r="Y30" s="20" t="b">
        <f>Y13</f>
        <v>0</v>
      </c>
      <c r="Z30" s="17"/>
      <c r="AA30" s="17"/>
      <c r="AB30" s="17" t="b">
        <f>AB2</f>
        <v>1</v>
      </c>
      <c r="AC30" s="17" t="b">
        <f>AC2</f>
        <v>1</v>
      </c>
      <c r="AD30" t="b">
        <f>AND(Table30[[#This Row],[Flavours]:[Soothe]])</f>
        <v>0</v>
      </c>
      <c r="AE30" s="29" t="s">
        <v>1570</v>
      </c>
    </row>
    <row r="31" spans="1:31">
      <c r="A31" t="b">
        <f>IF(Table30[[#This Row],[Column7]],Table30[[#This Row],[Product2]])</f>
        <v>0</v>
      </c>
      <c r="B31" s="20" t="b">
        <f>B2</f>
        <v>1</v>
      </c>
      <c r="C31" s="20" t="b">
        <f>C2</f>
        <v>0</v>
      </c>
      <c r="D31" s="17"/>
      <c r="E31" s="17"/>
      <c r="F31" s="17"/>
      <c r="G31" s="20" t="b">
        <f>G27</f>
        <v>0</v>
      </c>
      <c r="H31" s="17"/>
      <c r="I31" s="17" t="b">
        <f t="shared" ref="I31:P31" si="18">I2</f>
        <v>1</v>
      </c>
      <c r="J31" s="17" t="b">
        <f t="shared" si="18"/>
        <v>1</v>
      </c>
      <c r="K31" s="17" t="b">
        <f t="shared" si="18"/>
        <v>1</v>
      </c>
      <c r="L31" s="17" t="b">
        <f t="shared" si="18"/>
        <v>1</v>
      </c>
      <c r="M31" s="17" t="b">
        <f t="shared" si="18"/>
        <v>1</v>
      </c>
      <c r="N31" s="20" t="b">
        <f t="shared" si="18"/>
        <v>1</v>
      </c>
      <c r="O31" s="20" t="b">
        <f t="shared" si="18"/>
        <v>1</v>
      </c>
      <c r="P31" s="20" t="b">
        <f t="shared" si="18"/>
        <v>1</v>
      </c>
      <c r="Q31" s="17" t="b">
        <f>Q7</f>
        <v>1</v>
      </c>
      <c r="R31" s="17" t="b">
        <f>R3</f>
        <v>1</v>
      </c>
      <c r="S31" s="17" t="b">
        <f>S2</f>
        <v>1</v>
      </c>
      <c r="T31" s="20" t="b">
        <f>OR('Meal Replacement Criteria'!B22:C22)</f>
        <v>1</v>
      </c>
      <c r="U31" s="17" t="b">
        <f>U2</f>
        <v>1</v>
      </c>
      <c r="V31" s="17" t="b">
        <f>V2</f>
        <v>1</v>
      </c>
      <c r="W31" s="17" t="b">
        <f>W2</f>
        <v>1</v>
      </c>
      <c r="X31" s="17"/>
      <c r="Y31" s="20" t="b">
        <f>Y13</f>
        <v>0</v>
      </c>
      <c r="Z31" s="17"/>
      <c r="AA31" s="17"/>
      <c r="AB31" s="17" t="b">
        <f>AB2</f>
        <v>1</v>
      </c>
      <c r="AC31" s="17" t="b">
        <f>AC2</f>
        <v>1</v>
      </c>
      <c r="AD31" t="b">
        <f>AND(Table30[[#This Row],[Flavours]:[Soothe]])</f>
        <v>0</v>
      </c>
      <c r="AE31" s="29" t="s">
        <v>1571</v>
      </c>
    </row>
    <row r="32" spans="1:31">
      <c r="A32" t="b">
        <f>IF(Table30[[#This Row],[Column7]],Table30[[#This Row],[Product2]])</f>
        <v>0</v>
      </c>
      <c r="B32" s="20" t="b">
        <f>B2</f>
        <v>1</v>
      </c>
      <c r="C32" s="20" t="b">
        <f>C2</f>
        <v>0</v>
      </c>
      <c r="D32" s="17"/>
      <c r="E32" s="17"/>
      <c r="F32" s="17"/>
      <c r="G32" s="20" t="b">
        <f>G27</f>
        <v>0</v>
      </c>
      <c r="H32" s="17"/>
      <c r="I32" s="17" t="b">
        <f t="shared" ref="I32:P32" si="19">I2</f>
        <v>1</v>
      </c>
      <c r="J32" s="17" t="b">
        <f t="shared" si="19"/>
        <v>1</v>
      </c>
      <c r="K32" s="17" t="b">
        <f t="shared" si="19"/>
        <v>1</v>
      </c>
      <c r="L32" s="17" t="b">
        <f t="shared" si="19"/>
        <v>1</v>
      </c>
      <c r="M32" s="17" t="b">
        <f t="shared" si="19"/>
        <v>1</v>
      </c>
      <c r="N32" s="20" t="b">
        <f t="shared" si="19"/>
        <v>1</v>
      </c>
      <c r="O32" s="20" t="b">
        <f t="shared" si="19"/>
        <v>1</v>
      </c>
      <c r="P32" s="20" t="b">
        <f t="shared" si="19"/>
        <v>1</v>
      </c>
      <c r="Q32" s="17" t="b">
        <f>Q7</f>
        <v>1</v>
      </c>
      <c r="R32" s="17" t="b">
        <f>R3</f>
        <v>1</v>
      </c>
      <c r="S32" s="17" t="b">
        <f>S2</f>
        <v>1</v>
      </c>
      <c r="T32" s="20" t="b">
        <f>T31</f>
        <v>1</v>
      </c>
      <c r="U32" s="17" t="b">
        <f>U2</f>
        <v>1</v>
      </c>
      <c r="V32" s="17" t="b">
        <f>V2</f>
        <v>1</v>
      </c>
      <c r="W32" s="17" t="b">
        <f>W2</f>
        <v>1</v>
      </c>
      <c r="X32" s="17"/>
      <c r="Y32" s="17"/>
      <c r="Z32" s="20" t="b">
        <f>Z25</f>
        <v>0</v>
      </c>
      <c r="AA32" s="17"/>
      <c r="AB32" s="17" t="b">
        <f>AB2</f>
        <v>1</v>
      </c>
      <c r="AC32" s="17" t="b">
        <f>AC2</f>
        <v>1</v>
      </c>
      <c r="AD32" t="b">
        <f>AND(Table30[[#This Row],[Flavours]:[Soothe]])</f>
        <v>0</v>
      </c>
      <c r="AE32" s="29" t="s">
        <v>1572</v>
      </c>
    </row>
    <row r="33" spans="1:31">
      <c r="A33" t="b">
        <f>IF(Table30[[#This Row],[Column7]],Table30[[#This Row],[Product2]])</f>
        <v>0</v>
      </c>
      <c r="B33" s="20" t="b">
        <f>B2</f>
        <v>1</v>
      </c>
      <c r="C33" s="20" t="b">
        <f>C2</f>
        <v>0</v>
      </c>
      <c r="D33" s="17"/>
      <c r="E33" s="17"/>
      <c r="F33" s="17"/>
      <c r="G33" s="20" t="b">
        <f>G27</f>
        <v>0</v>
      </c>
      <c r="H33" s="17"/>
      <c r="I33" s="17" t="b">
        <f t="shared" ref="I33:P33" si="20">I2</f>
        <v>1</v>
      </c>
      <c r="J33" s="17" t="b">
        <f t="shared" si="20"/>
        <v>1</v>
      </c>
      <c r="K33" s="17" t="b">
        <f t="shared" si="20"/>
        <v>1</v>
      </c>
      <c r="L33" s="17" t="b">
        <f t="shared" si="20"/>
        <v>1</v>
      </c>
      <c r="M33" s="17" t="b">
        <f t="shared" si="20"/>
        <v>1</v>
      </c>
      <c r="N33" s="20" t="b">
        <f t="shared" si="20"/>
        <v>1</v>
      </c>
      <c r="O33" s="20" t="b">
        <f t="shared" si="20"/>
        <v>1</v>
      </c>
      <c r="P33" s="20" t="b">
        <f t="shared" si="20"/>
        <v>1</v>
      </c>
      <c r="Q33" s="17" t="b">
        <f>Q7</f>
        <v>1</v>
      </c>
      <c r="R33" s="17" t="b">
        <f>R3</f>
        <v>1</v>
      </c>
      <c r="S33" s="17" t="b">
        <f>S2</f>
        <v>1</v>
      </c>
      <c r="T33" s="20" t="b">
        <f>T31</f>
        <v>1</v>
      </c>
      <c r="U33" s="17" t="b">
        <f>U2</f>
        <v>1</v>
      </c>
      <c r="V33" s="17" t="b">
        <f>V2</f>
        <v>1</v>
      </c>
      <c r="W33" s="17" t="b">
        <f>W2</f>
        <v>1</v>
      </c>
      <c r="X33" s="17"/>
      <c r="Y33" s="17"/>
      <c r="Z33" s="20" t="b">
        <f>Z25</f>
        <v>0</v>
      </c>
      <c r="AA33" s="17"/>
      <c r="AB33" s="17" t="b">
        <f>AB2</f>
        <v>1</v>
      </c>
      <c r="AC33" s="17" t="b">
        <f>AC2</f>
        <v>1</v>
      </c>
      <c r="AD33" t="b">
        <f>AND(Table30[[#This Row],[Flavours]:[Soothe]])</f>
        <v>0</v>
      </c>
      <c r="AE33" s="29" t="s">
        <v>1573</v>
      </c>
    </row>
    <row r="34" spans="1:31">
      <c r="A34" t="b">
        <f>IF(Table30[[#This Row],[Column7]],Table30[[#This Row],[Product2]])</f>
        <v>0</v>
      </c>
      <c r="B34" s="20" t="b">
        <f>B2</f>
        <v>1</v>
      </c>
      <c r="C34" s="20" t="b">
        <f>C2</f>
        <v>0</v>
      </c>
      <c r="D34" s="17"/>
      <c r="E34" s="17"/>
      <c r="F34" s="17"/>
      <c r="G34" s="20" t="b">
        <f>G27</f>
        <v>0</v>
      </c>
      <c r="H34" s="17"/>
      <c r="I34" s="17" t="b">
        <f>I2</f>
        <v>1</v>
      </c>
      <c r="J34" s="17" t="b">
        <f>J2</f>
        <v>1</v>
      </c>
      <c r="K34" s="20" t="b">
        <f>K20</f>
        <v>1</v>
      </c>
      <c r="L34" s="20" t="b">
        <f>L3</f>
        <v>1</v>
      </c>
      <c r="M34" s="17" t="b">
        <f>M2</f>
        <v>1</v>
      </c>
      <c r="N34" s="17" t="b">
        <f>N8</f>
        <v>1</v>
      </c>
      <c r="O34" s="17" t="b">
        <f>O5</f>
        <v>1</v>
      </c>
      <c r="P34" s="17" t="b">
        <f>P5</f>
        <v>1</v>
      </c>
      <c r="Q34" s="17" t="b">
        <f>Q7</f>
        <v>1</v>
      </c>
      <c r="R34" s="17" t="b">
        <f>R3</f>
        <v>1</v>
      </c>
      <c r="S34" s="17" t="b">
        <f>S2</f>
        <v>1</v>
      </c>
      <c r="T34" s="17" t="b">
        <f>T2</f>
        <v>1</v>
      </c>
      <c r="U34" s="17" t="b">
        <f>U2</f>
        <v>1</v>
      </c>
      <c r="V34" s="17" t="b">
        <f>V2</f>
        <v>1</v>
      </c>
      <c r="W34" s="17" t="b">
        <f>W2</f>
        <v>1</v>
      </c>
      <c r="X34" s="17"/>
      <c r="Y34" s="17"/>
      <c r="Z34" s="20" t="b">
        <f>Z25</f>
        <v>0</v>
      </c>
      <c r="AA34" s="17"/>
      <c r="AB34" s="17" t="b">
        <f>AB2</f>
        <v>1</v>
      </c>
      <c r="AC34" s="17" t="b">
        <f>AC2</f>
        <v>1</v>
      </c>
      <c r="AD34" t="b">
        <f>AND(Table30[[#This Row],[Flavours]:[Soothe]])</f>
        <v>0</v>
      </c>
      <c r="AE34" s="11" t="s">
        <v>1575</v>
      </c>
    </row>
    <row r="35" spans="1:31">
      <c r="A35" s="16" t="e">
        <f>IF(Table30[[#This Row],[Column7]],Table30[[#This Row],[Product2]])</f>
        <v>#VALUE!</v>
      </c>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t="e">
        <f>AND(Table30[[#This Row],[Flavours]:[Soothe]])</f>
        <v>#VALUE!</v>
      </c>
      <c r="AE35" s="16"/>
    </row>
    <row r="36" spans="1:31">
      <c r="A36" t="b">
        <f>IF(Table30[[#This Row],[Column7]],Table30[[#This Row],[Product2]])</f>
        <v>0</v>
      </c>
      <c r="B36" s="17" t="b">
        <f>B5</f>
        <v>1</v>
      </c>
      <c r="C36" s="17"/>
      <c r="D36" s="17"/>
      <c r="E36" s="17"/>
      <c r="F36" s="20" t="b">
        <f>AND('Meal Replacement Criteria'!B7,'Meal Replacement Criteria'!C5:C6,'Meal Replacement Criteria'!C8)</f>
        <v>0</v>
      </c>
      <c r="G36" s="17"/>
      <c r="H36" s="20" t="b">
        <f t="shared" ref="H36:M36" si="21">H2</f>
        <v>0</v>
      </c>
      <c r="I36" s="17" t="b">
        <f t="shared" si="21"/>
        <v>1</v>
      </c>
      <c r="J36" s="17" t="b">
        <f t="shared" si="21"/>
        <v>1</v>
      </c>
      <c r="K36" s="17" t="b">
        <f t="shared" si="21"/>
        <v>1</v>
      </c>
      <c r="L36" s="17" t="b">
        <f t="shared" si="21"/>
        <v>1</v>
      </c>
      <c r="M36" s="17" t="b">
        <f t="shared" si="21"/>
        <v>1</v>
      </c>
      <c r="N36" s="17" t="b">
        <f>N8</f>
        <v>1</v>
      </c>
      <c r="O36" s="17" t="b">
        <f>O5</f>
        <v>1</v>
      </c>
      <c r="P36" s="17" t="b">
        <f>P5</f>
        <v>1</v>
      </c>
      <c r="Q36" s="17" t="b">
        <f>Q7</f>
        <v>1</v>
      </c>
      <c r="R36" s="17" t="b">
        <f>R3</f>
        <v>1</v>
      </c>
      <c r="S36" s="17" t="b">
        <f t="shared" ref="S36:X36" si="22">S2</f>
        <v>1</v>
      </c>
      <c r="T36" s="17" t="b">
        <f t="shared" si="22"/>
        <v>1</v>
      </c>
      <c r="U36" s="17" t="b">
        <f t="shared" si="22"/>
        <v>1</v>
      </c>
      <c r="V36" s="17" t="b">
        <f t="shared" si="22"/>
        <v>1</v>
      </c>
      <c r="W36" s="17" t="b">
        <f t="shared" si="22"/>
        <v>1</v>
      </c>
      <c r="X36" s="20" t="b">
        <f t="shared" si="22"/>
        <v>0</v>
      </c>
      <c r="Y36" s="17"/>
      <c r="Z36" s="17"/>
      <c r="AA36" s="17"/>
      <c r="AB36" s="17" t="b">
        <f>AB2</f>
        <v>1</v>
      </c>
      <c r="AC36" s="17" t="b">
        <f>AC2</f>
        <v>1</v>
      </c>
      <c r="AD36" t="b">
        <f>AND(Table30[[#This Row],[Flavours]:[Soothe]])</f>
        <v>0</v>
      </c>
      <c r="AE36" s="11" t="s">
        <v>1657</v>
      </c>
    </row>
    <row r="37" spans="1:31">
      <c r="A37" s="16" t="e">
        <f>IF(Table30[[#This Row],[Column7]],Table30[[#This Row],[Product2]])</f>
        <v>#VALUE!</v>
      </c>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t="e">
        <f>AND(Table30[[#This Row],[Flavours]:[Soothe]])</f>
        <v>#VALUE!</v>
      </c>
      <c r="AE37" s="16"/>
    </row>
    <row r="38" spans="1:31">
      <c r="A38" t="e">
        <f>IF(Table30[[#This Row],[Column7]],Table30[[#This Row],[Product2]])</f>
        <v>#VALUE!</v>
      </c>
      <c r="AD38" t="e">
        <f>AND(Table30[[#This Row],[Flavours]:[Soothe]])</f>
        <v>#VALUE!</v>
      </c>
    </row>
    <row r="39" spans="1:31">
      <c r="A39" t="e">
        <f>IF(Table30[[#This Row],[Column7]],Table30[[#This Row],[Product2]])</f>
        <v>#VALUE!</v>
      </c>
      <c r="AD39" t="e">
        <f>AND(Table30[[#This Row],[Flavours]:[Soothe]])</f>
        <v>#VALUE!</v>
      </c>
    </row>
  </sheetData>
  <hyperlinks>
    <hyperlink ref="AE2" r:id="rId1" xr:uid="{00000000-0004-0000-3000-000000000000}"/>
    <hyperlink ref="AE3" r:id="rId2" xr:uid="{00000000-0004-0000-3000-000001000000}"/>
    <hyperlink ref="AE4" r:id="rId3" xr:uid="{00000000-0004-0000-3000-000002000000}"/>
    <hyperlink ref="AE5" r:id="rId4" xr:uid="{00000000-0004-0000-3000-000003000000}"/>
    <hyperlink ref="AE6" r:id="rId5" xr:uid="{00000000-0004-0000-3000-000004000000}"/>
    <hyperlink ref="AE7" r:id="rId6" xr:uid="{00000000-0004-0000-3000-000005000000}"/>
    <hyperlink ref="AE8" r:id="rId7" xr:uid="{00000000-0004-0000-3000-000006000000}"/>
    <hyperlink ref="AE9" r:id="rId8" xr:uid="{00000000-0004-0000-3000-000007000000}"/>
    <hyperlink ref="AE10" r:id="rId9" xr:uid="{00000000-0004-0000-3000-000008000000}"/>
    <hyperlink ref="AE11" r:id="rId10" xr:uid="{00000000-0004-0000-3000-000009000000}"/>
    <hyperlink ref="AE12" r:id="rId11" xr:uid="{00000000-0004-0000-3000-00000A000000}"/>
    <hyperlink ref="AE13" r:id="rId12" xr:uid="{00000000-0004-0000-3000-00000B000000}"/>
    <hyperlink ref="AE14" r:id="rId13" xr:uid="{00000000-0004-0000-3000-00000C000000}"/>
    <hyperlink ref="AE15" r:id="rId14" xr:uid="{00000000-0004-0000-3000-00000D000000}"/>
    <hyperlink ref="AE17" r:id="rId15" xr:uid="{00000000-0004-0000-3000-00000E000000}"/>
    <hyperlink ref="AE18" r:id="rId16" xr:uid="{00000000-0004-0000-3000-00000F000000}"/>
    <hyperlink ref="AE19" r:id="rId17" xr:uid="{00000000-0004-0000-3000-000010000000}"/>
    <hyperlink ref="AE20" r:id="rId18" xr:uid="{00000000-0004-0000-3000-000011000000}"/>
    <hyperlink ref="AE21" r:id="rId19" xr:uid="{00000000-0004-0000-3000-000012000000}"/>
    <hyperlink ref="AE22" r:id="rId20" xr:uid="{00000000-0004-0000-3000-000013000000}"/>
    <hyperlink ref="AE24" r:id="rId21" xr:uid="{00000000-0004-0000-3000-000014000000}"/>
    <hyperlink ref="AE25" r:id="rId22" xr:uid="{00000000-0004-0000-3000-000015000000}"/>
    <hyperlink ref="AE27" r:id="rId23" display="SlimFast Original" xr:uid="{00000000-0004-0000-3000-000016000000}"/>
    <hyperlink ref="AE28" r:id="rId24" display="SlimFast Original" xr:uid="{00000000-0004-0000-3000-000017000000}"/>
    <hyperlink ref="AE29" r:id="rId25" display="SlimFast Original" xr:uid="{00000000-0004-0000-3000-000018000000}"/>
    <hyperlink ref="AE30" r:id="rId26" display="SlimFast Original" xr:uid="{00000000-0004-0000-3000-000019000000}"/>
    <hyperlink ref="AE31" r:id="rId27" xr:uid="{00000000-0004-0000-3000-00001A000000}"/>
    <hyperlink ref="AE32:AE33" r:id="rId28" display="SlimFast Keto Shake Mix" xr:uid="{00000000-0004-0000-3000-00001B000000}"/>
    <hyperlink ref="AE34" r:id="rId29" xr:uid="{00000000-0004-0000-3000-00001C000000}"/>
    <hyperlink ref="AE36" r:id="rId30" xr:uid="{00000000-0004-0000-3000-00001D000000}"/>
  </hyperlinks>
  <pageMargins left="0.7" right="0.7" top="0.75" bottom="0.75" header="0.3" footer="0.3"/>
  <pageSetup orientation="portrait" r:id="rId31"/>
  <tableParts count="1">
    <tablePart r:id="rId3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6"/>
  <sheetViews>
    <sheetView workbookViewId="0">
      <selection activeCell="N2" sqref="N2"/>
    </sheetView>
  </sheetViews>
  <sheetFormatPr defaultRowHeight="15"/>
  <cols>
    <col min="1" max="1" width="30.5703125" customWidth="1"/>
    <col min="2" max="2" width="10.7109375" customWidth="1"/>
    <col min="5" max="5" width="14.85546875" customWidth="1"/>
    <col min="15" max="15" width="56.5703125" customWidth="1"/>
  </cols>
  <sheetData>
    <row r="1" spans="1:15" ht="16.5" thickTop="1" thickBot="1">
      <c r="A1" s="148" t="s">
        <v>1248</v>
      </c>
      <c r="B1" s="151" t="s">
        <v>2011</v>
      </c>
      <c r="C1" s="151" t="s">
        <v>2010</v>
      </c>
      <c r="D1" s="151" t="s">
        <v>81</v>
      </c>
      <c r="E1" s="151" t="s">
        <v>1321</v>
      </c>
      <c r="F1" s="151" t="s">
        <v>2009</v>
      </c>
      <c r="G1" s="151" t="s">
        <v>1076</v>
      </c>
      <c r="H1" s="151" t="s">
        <v>636</v>
      </c>
      <c r="I1" s="151" t="s">
        <v>2007</v>
      </c>
      <c r="J1" s="155" t="s">
        <v>1353</v>
      </c>
      <c r="K1" s="155" t="s">
        <v>595</v>
      </c>
      <c r="L1" s="155" t="s">
        <v>2006</v>
      </c>
      <c r="M1" s="155" t="s">
        <v>1354</v>
      </c>
      <c r="N1" s="151" t="s">
        <v>25</v>
      </c>
      <c r="O1" s="152" t="s">
        <v>26</v>
      </c>
    </row>
    <row r="2" spans="1:15" ht="15.75" thickTop="1">
      <c r="A2" t="b">
        <f>IF(N2=TRUE,O2)</f>
        <v>0</v>
      </c>
      <c r="B2" s="20" t="b">
        <f>AND('Hemorrhoid Criteria'!B5,'Hemorrhoid Criteria'!B12)</f>
        <v>0</v>
      </c>
      <c r="C2" s="20" t="b">
        <f>AND(OR('Hemorrhoid Criteria'!B3,'Hemorrhoid Criteria'!B5),'Hemorrhoid Criteria'!B11)</f>
        <v>0</v>
      </c>
      <c r="D2" s="17"/>
      <c r="E2" s="17"/>
      <c r="F2" s="20" t="b">
        <f>AND(OR('Hemorrhoid Criteria'!B3,'Hemorrhoid Criteria'!B5),'Hemorrhoid Criteria'!B13)</f>
        <v>0</v>
      </c>
      <c r="G2" s="20" t="b">
        <f>AND('Hemorrhoid Criteria'!C17)</f>
        <v>1</v>
      </c>
      <c r="H2" s="17" t="b">
        <f>OR('Hemorrhoid Criteria'!B16:C16)</f>
        <v>1</v>
      </c>
      <c r="I2" s="17"/>
      <c r="J2" s="17"/>
      <c r="K2" s="20" t="b">
        <f>AND('Hemorrhoid Criteria'!B7,'Hemorrhoid Criteria'!C6,'Hemorrhoid Criteria'!C8:C10)</f>
        <v>0</v>
      </c>
      <c r="L2" s="17"/>
      <c r="M2" s="17"/>
      <c r="N2" t="b">
        <f>AND(B2:M2)</f>
        <v>0</v>
      </c>
      <c r="O2" s="11" t="s">
        <v>1304</v>
      </c>
    </row>
    <row r="3" spans="1:15">
      <c r="A3" t="b">
        <f t="shared" ref="A3:A25" si="0">IF(N3=TRUE,O3)</f>
        <v>0</v>
      </c>
      <c r="B3" s="17"/>
      <c r="C3" s="20" t="b">
        <f>C2</f>
        <v>0</v>
      </c>
      <c r="D3" s="17"/>
      <c r="E3" s="17"/>
      <c r="F3" s="20" t="b">
        <f>F2</f>
        <v>0</v>
      </c>
      <c r="G3" s="20" t="b">
        <f>G2</f>
        <v>1</v>
      </c>
      <c r="H3" s="17" t="b">
        <f>H2</f>
        <v>1</v>
      </c>
      <c r="I3" s="17"/>
      <c r="J3" s="17"/>
      <c r="K3" s="20" t="b">
        <f>K2</f>
        <v>0</v>
      </c>
      <c r="L3" s="17"/>
      <c r="M3" s="17"/>
      <c r="N3" t="b">
        <f t="shared" ref="N3:N26" si="1">AND(B3:M3)</f>
        <v>0</v>
      </c>
      <c r="O3" s="11" t="s">
        <v>1305</v>
      </c>
    </row>
    <row r="4" spans="1:15">
      <c r="A4" t="b">
        <f t="shared" si="0"/>
        <v>0</v>
      </c>
      <c r="B4" s="17"/>
      <c r="C4" s="20" t="b">
        <f>C2</f>
        <v>0</v>
      </c>
      <c r="D4" s="17"/>
      <c r="E4" s="17"/>
      <c r="F4" s="17"/>
      <c r="G4" s="17" t="b">
        <f>OR('Hemorrhoid Criteria'!B17:C17)</f>
        <v>1</v>
      </c>
      <c r="H4" s="17" t="b">
        <f>H2</f>
        <v>1</v>
      </c>
      <c r="I4" s="17"/>
      <c r="J4" s="17"/>
      <c r="K4" s="17"/>
      <c r="L4" s="17"/>
      <c r="M4" s="20" t="b">
        <f>AND('Hemorrhoid Criteria'!B9,'Hemorrhoid Criteria'!C6:C8,'Hemorrhoid Criteria'!C10)</f>
        <v>0</v>
      </c>
      <c r="N4" t="b">
        <f t="shared" si="1"/>
        <v>0</v>
      </c>
      <c r="O4" s="11" t="s">
        <v>1306</v>
      </c>
    </row>
    <row r="5" spans="1:15">
      <c r="A5" t="b">
        <f t="shared" si="0"/>
        <v>0</v>
      </c>
      <c r="B5" s="20" t="b">
        <f>B2</f>
        <v>0</v>
      </c>
      <c r="C5" s="20" t="b">
        <f>C2</f>
        <v>0</v>
      </c>
      <c r="D5" s="17"/>
      <c r="E5" s="17"/>
      <c r="F5" s="20" t="b">
        <f>F2</f>
        <v>0</v>
      </c>
      <c r="G5" s="20" t="b">
        <f>G2</f>
        <v>1</v>
      </c>
      <c r="H5" s="17" t="b">
        <f>H2</f>
        <v>1</v>
      </c>
      <c r="I5" s="17"/>
      <c r="J5" s="20" t="b">
        <f>AND('Hemorrhoid Criteria'!B8,'Hemorrhoid Criteria'!C6:C7,'Hemorrhoid Criteria'!C9:C10)</f>
        <v>0</v>
      </c>
      <c r="K5" s="17"/>
      <c r="L5" s="17"/>
      <c r="M5" s="17"/>
      <c r="N5" t="b">
        <f t="shared" si="1"/>
        <v>0</v>
      </c>
      <c r="O5" s="11" t="s">
        <v>1307</v>
      </c>
    </row>
    <row r="6" spans="1:15">
      <c r="A6" t="b">
        <f t="shared" si="0"/>
        <v>0</v>
      </c>
      <c r="B6" s="17"/>
      <c r="C6" s="20" t="b">
        <f>C2</f>
        <v>0</v>
      </c>
      <c r="D6" s="17"/>
      <c r="E6" s="17"/>
      <c r="F6" s="20" t="b">
        <f>F2</f>
        <v>0</v>
      </c>
      <c r="G6" s="20" t="b">
        <f>G2</f>
        <v>1</v>
      </c>
      <c r="H6" s="17" t="b">
        <f>H2</f>
        <v>1</v>
      </c>
      <c r="I6" s="17"/>
      <c r="J6" s="20" t="b">
        <f>J5</f>
        <v>0</v>
      </c>
      <c r="K6" s="17"/>
      <c r="L6" s="17"/>
      <c r="M6" s="17"/>
      <c r="N6" t="b">
        <f t="shared" si="1"/>
        <v>0</v>
      </c>
      <c r="O6" s="11" t="s">
        <v>1308</v>
      </c>
    </row>
    <row r="7" spans="1:15">
      <c r="A7" s="16" t="e">
        <f t="shared" si="0"/>
        <v>#VALUE!</v>
      </c>
      <c r="B7" s="18"/>
      <c r="C7" s="18"/>
      <c r="D7" s="18"/>
      <c r="E7" s="18"/>
      <c r="F7" s="18"/>
      <c r="G7" s="18"/>
      <c r="H7" s="18"/>
      <c r="I7" s="18"/>
      <c r="J7" s="18"/>
      <c r="K7" s="18"/>
      <c r="L7" s="18"/>
      <c r="M7" s="18"/>
      <c r="N7" s="16" t="e">
        <f t="shared" si="1"/>
        <v>#VALUE!</v>
      </c>
      <c r="O7" s="18"/>
    </row>
    <row r="8" spans="1:15">
      <c r="A8" t="b">
        <f t="shared" si="0"/>
        <v>0</v>
      </c>
      <c r="B8" s="17"/>
      <c r="C8" s="20" t="b">
        <f>C2</f>
        <v>0</v>
      </c>
      <c r="D8" s="17"/>
      <c r="E8" s="17"/>
      <c r="F8" s="17"/>
      <c r="G8" s="17" t="b">
        <f>G4</f>
        <v>1</v>
      </c>
      <c r="H8" s="17" t="b">
        <f>H2</f>
        <v>1</v>
      </c>
      <c r="I8" s="17"/>
      <c r="J8" s="17"/>
      <c r="K8" s="17"/>
      <c r="L8" s="17"/>
      <c r="M8" s="20" t="b">
        <f>M4</f>
        <v>0</v>
      </c>
      <c r="N8" t="b">
        <f t="shared" si="1"/>
        <v>0</v>
      </c>
      <c r="O8" s="28" t="s">
        <v>1309</v>
      </c>
    </row>
    <row r="9" spans="1:15">
      <c r="A9" t="b">
        <f t="shared" si="0"/>
        <v>0</v>
      </c>
      <c r="B9" s="17"/>
      <c r="C9" s="17"/>
      <c r="D9" s="20" t="b">
        <f>AND(OR('Hemorrhoid Criteria'!B3,'Hemorrhoid Criteria'!B4,'Hemorrhoid Criteria'!B5),'Hemorrhoid Criteria'!B14)</f>
        <v>0</v>
      </c>
      <c r="E9" s="17"/>
      <c r="F9" s="20" t="b">
        <f>F2</f>
        <v>0</v>
      </c>
      <c r="G9" s="20" t="b">
        <f>G2</f>
        <v>1</v>
      </c>
      <c r="H9" s="17" t="b">
        <f>H2</f>
        <v>1</v>
      </c>
      <c r="I9" s="17"/>
      <c r="J9" s="17"/>
      <c r="K9" s="17"/>
      <c r="L9" s="20" t="b">
        <f>AND('Hemorrhoid Criteria'!B6,'Hemorrhoid Criteria'!C7:C10)</f>
        <v>0</v>
      </c>
      <c r="M9" s="17"/>
      <c r="N9" t="b">
        <f t="shared" si="1"/>
        <v>0</v>
      </c>
      <c r="O9" s="28" t="s">
        <v>1310</v>
      </c>
    </row>
    <row r="10" spans="1:15">
      <c r="A10" t="b">
        <f t="shared" si="0"/>
        <v>0</v>
      </c>
      <c r="B10" s="20" t="b">
        <f>B2</f>
        <v>0</v>
      </c>
      <c r="C10" s="17"/>
      <c r="D10" s="17"/>
      <c r="E10" s="20" t="b">
        <f>AND('Hemorrhoid Criteria'!B15,'Hemorrhoid Criteria'!B4)</f>
        <v>0</v>
      </c>
      <c r="F10" s="20" t="b">
        <f>F2</f>
        <v>0</v>
      </c>
      <c r="G10" s="20" t="b">
        <f>G2</f>
        <v>1</v>
      </c>
      <c r="H10" s="17" t="b">
        <f>H2</f>
        <v>1</v>
      </c>
      <c r="I10" s="17"/>
      <c r="J10" s="17"/>
      <c r="K10" s="17"/>
      <c r="L10" s="20" t="b">
        <f>L9</f>
        <v>0</v>
      </c>
      <c r="M10" s="17"/>
      <c r="N10" t="b">
        <f t="shared" si="1"/>
        <v>0</v>
      </c>
      <c r="O10" s="28" t="s">
        <v>1311</v>
      </c>
    </row>
    <row r="11" spans="1:15">
      <c r="A11" t="b">
        <f t="shared" si="0"/>
        <v>0</v>
      </c>
      <c r="B11" s="20" t="b">
        <f>B2</f>
        <v>0</v>
      </c>
      <c r="C11" s="17"/>
      <c r="D11" s="17"/>
      <c r="E11" s="20" t="b">
        <f>E10</f>
        <v>0</v>
      </c>
      <c r="F11" s="17"/>
      <c r="G11" s="20" t="b">
        <f>G2</f>
        <v>1</v>
      </c>
      <c r="H11" s="17" t="b">
        <f>H2</f>
        <v>1</v>
      </c>
      <c r="I11" s="17"/>
      <c r="J11" s="17"/>
      <c r="K11" s="17"/>
      <c r="L11" s="17"/>
      <c r="M11" s="20" t="b">
        <f>M4</f>
        <v>0</v>
      </c>
      <c r="N11" t="b">
        <f t="shared" si="1"/>
        <v>0</v>
      </c>
      <c r="O11" s="28" t="s">
        <v>1312</v>
      </c>
    </row>
    <row r="12" spans="1:15">
      <c r="A12" t="b">
        <f t="shared" si="0"/>
        <v>0</v>
      </c>
      <c r="B12" s="17"/>
      <c r="C12" s="17"/>
      <c r="D12" s="17"/>
      <c r="E12" s="20" t="b">
        <f>E10</f>
        <v>0</v>
      </c>
      <c r="F12" s="20" t="b">
        <f>F2</f>
        <v>0</v>
      </c>
      <c r="G12" s="20" t="b">
        <f>G2</f>
        <v>1</v>
      </c>
      <c r="H12" s="20" t="b">
        <f>AND('Hemorrhoid Criteria'!C16)</f>
        <v>1</v>
      </c>
      <c r="I12" s="17"/>
      <c r="J12" s="17"/>
      <c r="K12" s="20" t="b">
        <f>K2</f>
        <v>0</v>
      </c>
      <c r="L12" s="17"/>
      <c r="M12" s="17"/>
      <c r="N12" t="b">
        <f t="shared" si="1"/>
        <v>0</v>
      </c>
      <c r="O12" s="28" t="s">
        <v>1313</v>
      </c>
    </row>
    <row r="13" spans="1:15">
      <c r="A13" t="b">
        <f t="shared" si="0"/>
        <v>0</v>
      </c>
      <c r="B13" s="20" t="b">
        <f>B2</f>
        <v>0</v>
      </c>
      <c r="C13" s="17"/>
      <c r="D13" s="17"/>
      <c r="E13" s="20" t="b">
        <f>E10</f>
        <v>0</v>
      </c>
      <c r="F13" s="20" t="b">
        <f>F2</f>
        <v>0</v>
      </c>
      <c r="G13" s="20" t="b">
        <f>G2</f>
        <v>1</v>
      </c>
      <c r="H13" s="17" t="b">
        <f>H2</f>
        <v>1</v>
      </c>
      <c r="I13" s="17"/>
      <c r="J13" s="17"/>
      <c r="K13" s="17"/>
      <c r="L13" s="20" t="b">
        <f>L9</f>
        <v>0</v>
      </c>
      <c r="M13" s="17"/>
      <c r="N13" t="b">
        <f t="shared" si="1"/>
        <v>0</v>
      </c>
      <c r="O13" s="28" t="s">
        <v>1314</v>
      </c>
    </row>
    <row r="14" spans="1:15">
      <c r="A14" t="b">
        <f t="shared" si="0"/>
        <v>0</v>
      </c>
      <c r="B14" s="17"/>
      <c r="C14" s="20" t="b">
        <f>C2</f>
        <v>0</v>
      </c>
      <c r="D14" s="17"/>
      <c r="E14" s="20" t="b">
        <f>E10</f>
        <v>0</v>
      </c>
      <c r="F14" s="20" t="b">
        <f>F2</f>
        <v>0</v>
      </c>
      <c r="G14" s="20" t="b">
        <f>G2</f>
        <v>1</v>
      </c>
      <c r="H14" s="17" t="b">
        <f>H2</f>
        <v>1</v>
      </c>
      <c r="I14" s="17"/>
      <c r="J14" s="17"/>
      <c r="K14" s="17"/>
      <c r="L14" s="20" t="b">
        <f>L9</f>
        <v>0</v>
      </c>
      <c r="M14" s="17"/>
      <c r="N14" t="b">
        <f t="shared" si="1"/>
        <v>0</v>
      </c>
      <c r="O14" s="28" t="s">
        <v>1315</v>
      </c>
    </row>
    <row r="15" spans="1:15">
      <c r="A15" t="b">
        <f t="shared" si="0"/>
        <v>0</v>
      </c>
      <c r="B15" s="17"/>
      <c r="C15" s="17"/>
      <c r="D15" s="20" t="b">
        <f>D9</f>
        <v>0</v>
      </c>
      <c r="E15" s="17"/>
      <c r="F15" s="20" t="b">
        <f>F2</f>
        <v>0</v>
      </c>
      <c r="G15" s="20" t="b">
        <f>G2</f>
        <v>1</v>
      </c>
      <c r="H15" s="20" t="b">
        <f>H12</f>
        <v>1</v>
      </c>
      <c r="I15" s="17"/>
      <c r="J15" s="17"/>
      <c r="K15" s="17"/>
      <c r="L15" s="20" t="b">
        <f>L9</f>
        <v>0</v>
      </c>
      <c r="M15" s="17"/>
      <c r="N15" t="b">
        <f t="shared" si="1"/>
        <v>0</v>
      </c>
      <c r="O15" s="28" t="s">
        <v>1316</v>
      </c>
    </row>
    <row r="16" spans="1:15">
      <c r="A16" t="b">
        <f t="shared" si="0"/>
        <v>0</v>
      </c>
      <c r="B16" s="17"/>
      <c r="C16" s="17"/>
      <c r="D16" s="17"/>
      <c r="E16" s="20" t="b">
        <f>E10</f>
        <v>0</v>
      </c>
      <c r="F16" s="20" t="b">
        <f>F2</f>
        <v>0</v>
      </c>
      <c r="G16" s="20" t="b">
        <f>G2</f>
        <v>1</v>
      </c>
      <c r="H16" s="17" t="b">
        <f>H2</f>
        <v>1</v>
      </c>
      <c r="I16" s="17"/>
      <c r="J16" s="20" t="b">
        <f>J5</f>
        <v>0</v>
      </c>
      <c r="K16" s="17"/>
      <c r="L16" s="17"/>
      <c r="M16" s="17"/>
      <c r="N16" t="b">
        <f t="shared" si="1"/>
        <v>0</v>
      </c>
      <c r="O16" s="28" t="s">
        <v>1317</v>
      </c>
    </row>
    <row r="17" spans="1:17">
      <c r="A17" t="b">
        <f t="shared" si="0"/>
        <v>0</v>
      </c>
      <c r="B17" s="17"/>
      <c r="C17" s="20" t="b">
        <f>C2</f>
        <v>0</v>
      </c>
      <c r="D17" s="17"/>
      <c r="E17" s="17"/>
      <c r="F17" s="17"/>
      <c r="G17" s="20" t="b">
        <f>G2</f>
        <v>1</v>
      </c>
      <c r="H17" s="17" t="b">
        <f>H2</f>
        <v>1</v>
      </c>
      <c r="I17" s="17"/>
      <c r="J17" s="17"/>
      <c r="K17" s="17"/>
      <c r="L17" s="17"/>
      <c r="M17" s="20" t="b">
        <f>M4</f>
        <v>0</v>
      </c>
      <c r="N17" t="b">
        <f t="shared" si="1"/>
        <v>0</v>
      </c>
      <c r="O17" s="28" t="s">
        <v>1318</v>
      </c>
    </row>
    <row r="18" spans="1:17">
      <c r="A18" t="b">
        <f t="shared" si="0"/>
        <v>0</v>
      </c>
      <c r="B18" s="17"/>
      <c r="C18" s="20" t="b">
        <f>C2</f>
        <v>0</v>
      </c>
      <c r="D18" s="17"/>
      <c r="E18" s="17"/>
      <c r="F18" s="17"/>
      <c r="G18" s="20" t="b">
        <f>G2</f>
        <v>1</v>
      </c>
      <c r="H18" s="17" t="b">
        <f>H2</f>
        <v>1</v>
      </c>
      <c r="I18" s="17"/>
      <c r="J18" s="17"/>
      <c r="K18" s="17"/>
      <c r="L18" s="17"/>
      <c r="M18" s="20" t="b">
        <f>M4</f>
        <v>0</v>
      </c>
      <c r="N18" t="b">
        <f t="shared" si="1"/>
        <v>0</v>
      </c>
      <c r="O18" s="28" t="s">
        <v>1319</v>
      </c>
    </row>
    <row r="19" spans="1:17">
      <c r="A19" t="b">
        <f t="shared" si="0"/>
        <v>0</v>
      </c>
      <c r="B19" s="17"/>
      <c r="C19" s="20" t="b">
        <f>C2</f>
        <v>0</v>
      </c>
      <c r="D19" s="17"/>
      <c r="E19" s="17"/>
      <c r="F19" s="17"/>
      <c r="G19" s="20" t="b">
        <f>G2</f>
        <v>1</v>
      </c>
      <c r="H19" s="17" t="b">
        <f>H2</f>
        <v>1</v>
      </c>
      <c r="I19" s="17"/>
      <c r="J19" s="17"/>
      <c r="K19" s="17"/>
      <c r="L19" s="17"/>
      <c r="M19" s="20" t="b">
        <f>M4</f>
        <v>0</v>
      </c>
      <c r="N19" t="b">
        <f t="shared" si="1"/>
        <v>0</v>
      </c>
      <c r="O19" s="28" t="s">
        <v>1320</v>
      </c>
    </row>
    <row r="20" spans="1:17">
      <c r="A20" s="16" t="e">
        <f t="shared" si="0"/>
        <v>#VALUE!</v>
      </c>
      <c r="B20" s="16"/>
      <c r="C20" s="16"/>
      <c r="D20" s="16"/>
      <c r="E20" s="16"/>
      <c r="F20" s="16"/>
      <c r="G20" s="16"/>
      <c r="H20" s="16"/>
      <c r="I20" s="16"/>
      <c r="J20" s="16"/>
      <c r="K20" s="16"/>
      <c r="L20" s="16"/>
      <c r="M20" s="16"/>
      <c r="N20" s="16" t="e">
        <f t="shared" si="1"/>
        <v>#VALUE!</v>
      </c>
      <c r="O20" s="16"/>
    </row>
    <row r="21" spans="1:17">
      <c r="A21" t="b">
        <f t="shared" si="0"/>
        <v>0</v>
      </c>
      <c r="B21" s="17"/>
      <c r="C21" s="20" t="b">
        <f>C2</f>
        <v>0</v>
      </c>
      <c r="D21" s="17"/>
      <c r="E21" s="17"/>
      <c r="F21" s="17"/>
      <c r="G21" s="17" t="b">
        <f>G4</f>
        <v>1</v>
      </c>
      <c r="H21" s="17" t="b">
        <f>H2</f>
        <v>1</v>
      </c>
      <c r="I21" s="17"/>
      <c r="J21" s="17"/>
      <c r="K21" s="17"/>
      <c r="L21" s="17"/>
      <c r="M21" s="17"/>
      <c r="N21" t="b">
        <f t="shared" si="1"/>
        <v>0</v>
      </c>
      <c r="O21" s="29" t="s">
        <v>1327</v>
      </c>
    </row>
    <row r="22" spans="1:17">
      <c r="A22" s="16" t="e">
        <f t="shared" si="0"/>
        <v>#VALUE!</v>
      </c>
      <c r="B22" s="16"/>
      <c r="C22" s="16"/>
      <c r="D22" s="16"/>
      <c r="E22" s="16"/>
      <c r="F22" s="16"/>
      <c r="G22" s="16"/>
      <c r="H22" s="16"/>
      <c r="I22" s="16"/>
      <c r="J22" s="16"/>
      <c r="K22" s="16"/>
      <c r="L22" s="16"/>
      <c r="M22" s="16"/>
      <c r="N22" s="16" t="e">
        <f t="shared" si="1"/>
        <v>#VALUE!</v>
      </c>
      <c r="O22" s="16"/>
    </row>
    <row r="23" spans="1:17">
      <c r="A23" t="b">
        <f t="shared" si="0"/>
        <v>0</v>
      </c>
      <c r="B23" s="17"/>
      <c r="C23" s="17"/>
      <c r="D23" s="17"/>
      <c r="E23" s="17"/>
      <c r="F23" s="17"/>
      <c r="G23" s="17" t="b">
        <f>G4</f>
        <v>1</v>
      </c>
      <c r="H23" s="17" t="b">
        <f>H2</f>
        <v>1</v>
      </c>
      <c r="I23" s="20" t="b">
        <f>AND('Hemorrhoid Criteria'!B10,'Hemorrhoid Criteria'!C6:C9)</f>
        <v>0</v>
      </c>
      <c r="J23" s="17"/>
      <c r="K23" s="17"/>
      <c r="L23" s="17"/>
      <c r="M23" s="17"/>
      <c r="N23" t="b">
        <f t="shared" si="1"/>
        <v>0</v>
      </c>
      <c r="O23" s="11" t="s">
        <v>1322</v>
      </c>
      <c r="P23" t="s">
        <v>1324</v>
      </c>
      <c r="Q23" t="s">
        <v>1326</v>
      </c>
    </row>
    <row r="24" spans="1:17">
      <c r="A24" s="16" t="e">
        <f t="shared" si="0"/>
        <v>#VALUE!</v>
      </c>
      <c r="B24" s="16"/>
      <c r="C24" s="16"/>
      <c r="D24" s="16"/>
      <c r="E24" s="16"/>
      <c r="F24" s="16"/>
      <c r="G24" s="16"/>
      <c r="H24" s="16"/>
      <c r="I24" s="16"/>
      <c r="J24" s="16"/>
      <c r="K24" s="16"/>
      <c r="L24" s="16"/>
      <c r="M24" s="16"/>
      <c r="N24" s="16" t="e">
        <f t="shared" si="1"/>
        <v>#VALUE!</v>
      </c>
      <c r="O24" s="16"/>
    </row>
    <row r="25" spans="1:17">
      <c r="A25" t="b">
        <f t="shared" si="0"/>
        <v>0</v>
      </c>
      <c r="B25" s="17"/>
      <c r="C25" s="17"/>
      <c r="D25" s="17"/>
      <c r="E25" s="17"/>
      <c r="F25" s="17"/>
      <c r="G25" s="17" t="b">
        <f>G4</f>
        <v>1</v>
      </c>
      <c r="H25" s="17" t="b">
        <f>H2</f>
        <v>1</v>
      </c>
      <c r="I25" s="20" t="b">
        <f>I23</f>
        <v>0</v>
      </c>
      <c r="J25" s="17"/>
      <c r="K25" s="17"/>
      <c r="L25" s="17"/>
      <c r="M25" s="17"/>
      <c r="N25" t="b">
        <f t="shared" si="1"/>
        <v>0</v>
      </c>
      <c r="O25" s="11" t="s">
        <v>1323</v>
      </c>
      <c r="P25" t="s">
        <v>1325</v>
      </c>
    </row>
    <row r="26" spans="1:17">
      <c r="A26" s="16"/>
      <c r="B26" s="16"/>
      <c r="C26" s="16"/>
      <c r="D26" s="16"/>
      <c r="E26" s="16"/>
      <c r="F26" s="16"/>
      <c r="G26" s="16"/>
      <c r="H26" s="16"/>
      <c r="I26" s="16"/>
      <c r="J26" s="16"/>
      <c r="K26" s="16"/>
      <c r="L26" s="16"/>
      <c r="M26" s="16"/>
      <c r="N26" s="16" t="e">
        <f t="shared" si="1"/>
        <v>#VALUE!</v>
      </c>
      <c r="O26" s="16"/>
    </row>
  </sheetData>
  <hyperlinks>
    <hyperlink ref="O2" r:id="rId1" xr:uid="{00000000-0004-0000-0400-000000000000}"/>
    <hyperlink ref="O3" r:id="rId2" xr:uid="{00000000-0004-0000-0400-000001000000}"/>
    <hyperlink ref="O4" r:id="rId3" xr:uid="{00000000-0004-0000-0400-000002000000}"/>
    <hyperlink ref="O5" r:id="rId4" xr:uid="{00000000-0004-0000-0400-000003000000}"/>
    <hyperlink ref="O6" r:id="rId5" xr:uid="{00000000-0004-0000-0400-000004000000}"/>
    <hyperlink ref="O8" r:id="rId6" display="https://www.preparationh.com/products/soothing-relief-cleansing-cooling-wipes/" xr:uid="{00000000-0004-0000-0400-000005000000}"/>
    <hyperlink ref="O9" r:id="rId7" display="https://www.preparationh.com/products/soothing-relief-anti-itch-cream/" xr:uid="{00000000-0004-0000-0400-000006000000}"/>
    <hyperlink ref="O10" r:id="rId8" display="https://www.preparationh.com/products/rapid-relief-with-lidocaine-cream/" xr:uid="{00000000-0004-0000-0400-000007000000}"/>
    <hyperlink ref="O11" r:id="rId9" display="https://www.preparationh.com/products/rapid-relief-wipes/" xr:uid="{00000000-0004-0000-0400-000008000000}"/>
    <hyperlink ref="O12" r:id="rId10" display="https://www.preparationh.com/products/ointment/" xr:uid="{00000000-0004-0000-0400-000009000000}"/>
    <hyperlink ref="O13" r:id="rId11" display="https://www.preparationh.com/products/cream-with-maximum-strength-pain-relief/" xr:uid="{00000000-0004-0000-0400-00000A000000}"/>
    <hyperlink ref="O14" r:id="rId12" display="https://www.preparationh.com/products/cooling-gel/" xr:uid="{00000000-0004-0000-0400-00000B000000}"/>
    <hyperlink ref="O15" r:id="rId13" display="https://www.preparationh.com/products/anti-itch-hydrocortisone/" xr:uid="{00000000-0004-0000-0400-00000C000000}"/>
    <hyperlink ref="O16" r:id="rId14" display="https://www.preparationh.com/products/suppositories/" xr:uid="{00000000-0004-0000-0400-00000D000000}"/>
    <hyperlink ref="O17" r:id="rId15" display="https://www.preparationh.com/products/totables/" xr:uid="{00000000-0004-0000-0400-00000E000000}"/>
    <hyperlink ref="O18" r:id="rId16" display="https://www.preparationh.com/products/medicated-portable-wipes/" xr:uid="{00000000-0004-0000-0400-00000F000000}"/>
    <hyperlink ref="O19" r:id="rId17" display="https://www.preparationh.com/products/preparation-h-medicated-wipes-women/" xr:uid="{00000000-0004-0000-0400-000010000000}"/>
    <hyperlink ref="O23" r:id="rId18" xr:uid="{00000000-0004-0000-0400-000011000000}"/>
    <hyperlink ref="O25" r:id="rId19" xr:uid="{00000000-0004-0000-0400-000012000000}"/>
    <hyperlink ref="O21" r:id="rId20" xr:uid="{00000000-0004-0000-0400-000013000000}"/>
  </hyperlinks>
  <pageMargins left="0.7" right="0.7" top="0.75" bottom="0.75" header="0.3" footer="0.3"/>
  <pageSetup paperSize="9" orientation="portrait" horizontalDpi="0" verticalDpi="0" r:id="rId2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C28"/>
  <sheetViews>
    <sheetView workbookViewId="0">
      <selection activeCell="M24" sqref="M24"/>
    </sheetView>
  </sheetViews>
  <sheetFormatPr defaultRowHeight="15"/>
  <cols>
    <col min="1" max="1" width="60.5703125" customWidth="1"/>
  </cols>
  <sheetData>
    <row r="1" spans="1:3" ht="15.75" thickTop="1">
      <c r="A1" s="3" t="s">
        <v>15</v>
      </c>
      <c r="B1" s="7" t="s">
        <v>18</v>
      </c>
    </row>
    <row r="2" spans="1:3" ht="15.75" thickBot="1">
      <c r="B2" s="4"/>
    </row>
    <row r="3" spans="1:3" ht="15.75" thickBot="1">
      <c r="A3" s="170" t="s">
        <v>1856</v>
      </c>
      <c r="B3" s="180" t="b">
        <v>0</v>
      </c>
      <c r="C3" t="b">
        <f>NOT(B3)</f>
        <v>1</v>
      </c>
    </row>
    <row r="4" spans="1:3" ht="15.75" thickBot="1">
      <c r="A4" s="170" t="s">
        <v>1857</v>
      </c>
      <c r="B4" s="180" t="b">
        <v>0</v>
      </c>
      <c r="C4" t="b">
        <f>NOT(B4)</f>
        <v>1</v>
      </c>
    </row>
    <row r="5" spans="1:3" ht="15.75" thickBot="1">
      <c r="A5" s="170" t="s">
        <v>1858</v>
      </c>
      <c r="B5" s="180" t="b">
        <v>0</v>
      </c>
      <c r="C5" t="b">
        <f t="shared" ref="C5:C10" si="0">NOT(B5)</f>
        <v>1</v>
      </c>
    </row>
    <row r="6" spans="1:3" ht="15.75" thickBot="1">
      <c r="A6" s="161" t="s">
        <v>1859</v>
      </c>
      <c r="B6" s="181" t="b">
        <v>0</v>
      </c>
      <c r="C6" t="b">
        <f t="shared" si="0"/>
        <v>1</v>
      </c>
    </row>
    <row r="7" spans="1:3" ht="15.75" thickBot="1">
      <c r="A7" s="161" t="s">
        <v>1860</v>
      </c>
      <c r="B7" s="181" t="b">
        <v>0</v>
      </c>
      <c r="C7" t="b">
        <f t="shared" si="0"/>
        <v>1</v>
      </c>
    </row>
    <row r="8" spans="1:3" ht="15.75" thickBot="1">
      <c r="A8" s="1" t="s">
        <v>1861</v>
      </c>
      <c r="B8" s="33" t="b">
        <v>0</v>
      </c>
      <c r="C8" t="b">
        <f t="shared" si="0"/>
        <v>1</v>
      </c>
    </row>
    <row r="9" spans="1:3" ht="15.75" thickBot="1">
      <c r="A9" s="1" t="s">
        <v>1970</v>
      </c>
      <c r="B9" s="33" t="b">
        <v>0</v>
      </c>
      <c r="C9" t="b">
        <f t="shared" si="0"/>
        <v>1</v>
      </c>
    </row>
    <row r="10" spans="1:3" ht="15.75" thickBot="1">
      <c r="A10" s="1" t="s">
        <v>1973</v>
      </c>
      <c r="B10" s="33" t="b">
        <v>0</v>
      </c>
      <c r="C10" t="b">
        <f t="shared" si="0"/>
        <v>1</v>
      </c>
    </row>
    <row r="11" spans="1:3" ht="15.75" thickBot="1">
      <c r="A11" s="186" t="s">
        <v>1862</v>
      </c>
      <c r="B11" s="187" t="b">
        <v>0</v>
      </c>
      <c r="C11" t="b">
        <f>NOT(B11)</f>
        <v>1</v>
      </c>
    </row>
    <row r="12" spans="1:3" ht="15.75" thickBot="1">
      <c r="A12" s="186" t="s">
        <v>1863</v>
      </c>
      <c r="B12" s="187" t="b">
        <v>0</v>
      </c>
      <c r="C12" t="b">
        <f t="shared" ref="C12:C28" si="1">NOT(B12)</f>
        <v>1</v>
      </c>
    </row>
    <row r="13" spans="1:3" ht="15.75" thickBot="1">
      <c r="A13" s="186" t="s">
        <v>1864</v>
      </c>
      <c r="B13" s="187" t="b">
        <v>0</v>
      </c>
      <c r="C13" t="b">
        <f t="shared" si="1"/>
        <v>1</v>
      </c>
    </row>
    <row r="14" spans="1:3" ht="15.75" thickBot="1">
      <c r="A14" s="186" t="s">
        <v>1865</v>
      </c>
      <c r="B14" s="187" t="b">
        <v>0</v>
      </c>
      <c r="C14" t="b">
        <f t="shared" si="1"/>
        <v>1</v>
      </c>
    </row>
    <row r="15" spans="1:3" ht="15.75" thickBot="1">
      <c r="A15" s="186" t="s">
        <v>1866</v>
      </c>
      <c r="B15" s="187" t="b">
        <v>0</v>
      </c>
      <c r="C15" t="b">
        <f t="shared" si="1"/>
        <v>1</v>
      </c>
    </row>
    <row r="16" spans="1:3" ht="15.75" thickBot="1">
      <c r="A16" s="165" t="s">
        <v>1867</v>
      </c>
      <c r="B16" s="191" t="b">
        <v>0</v>
      </c>
      <c r="C16" t="b">
        <f t="shared" si="1"/>
        <v>1</v>
      </c>
    </row>
    <row r="17" spans="1:3" ht="15.75" thickBot="1">
      <c r="A17" s="165" t="s">
        <v>1868</v>
      </c>
      <c r="B17" s="191" t="b">
        <v>0</v>
      </c>
      <c r="C17" t="b">
        <f t="shared" si="1"/>
        <v>1</v>
      </c>
    </row>
    <row r="18" spans="1:3" ht="15.75" thickBot="1">
      <c r="A18" s="165" t="s">
        <v>1869</v>
      </c>
      <c r="B18" s="191" t="b">
        <v>0</v>
      </c>
      <c r="C18" t="b">
        <f t="shared" si="1"/>
        <v>1</v>
      </c>
    </row>
    <row r="19" spans="1:3" ht="15.75" thickBot="1">
      <c r="A19" s="165" t="s">
        <v>1870</v>
      </c>
      <c r="B19" s="191" t="b">
        <v>0</v>
      </c>
      <c r="C19" t="b">
        <f t="shared" si="1"/>
        <v>1</v>
      </c>
    </row>
    <row r="20" spans="1:3" ht="15.75" thickBot="1">
      <c r="A20" s="165" t="s">
        <v>1871</v>
      </c>
      <c r="B20" s="191" t="b">
        <v>0</v>
      </c>
      <c r="C20" t="b">
        <f t="shared" si="1"/>
        <v>1</v>
      </c>
    </row>
    <row r="21" spans="1:3" ht="15.75" thickBot="1">
      <c r="A21" s="192" t="s">
        <v>1872</v>
      </c>
      <c r="B21" s="193" t="b">
        <v>0</v>
      </c>
      <c r="C21" t="b">
        <f t="shared" si="1"/>
        <v>1</v>
      </c>
    </row>
    <row r="22" spans="1:3" ht="15.75" thickBot="1">
      <c r="A22" s="192" t="s">
        <v>1873</v>
      </c>
      <c r="B22" s="193" t="b">
        <v>0</v>
      </c>
      <c r="C22" t="b">
        <f t="shared" si="1"/>
        <v>1</v>
      </c>
    </row>
    <row r="23" spans="1:3" ht="15.75" thickBot="1">
      <c r="A23" s="194" t="s">
        <v>1874</v>
      </c>
      <c r="B23" s="195" t="b">
        <v>0</v>
      </c>
      <c r="C23" t="b">
        <f t="shared" si="1"/>
        <v>1</v>
      </c>
    </row>
    <row r="24" spans="1:3" ht="15.75" thickBot="1">
      <c r="A24" s="194" t="s">
        <v>1875</v>
      </c>
      <c r="B24" s="195" t="b">
        <v>0</v>
      </c>
      <c r="C24" t="b">
        <f t="shared" si="1"/>
        <v>1</v>
      </c>
    </row>
    <row r="25" spans="1:3" ht="15.75" thickBot="1">
      <c r="A25" s="194" t="s">
        <v>1876</v>
      </c>
      <c r="B25" s="195" t="b">
        <v>0</v>
      </c>
      <c r="C25" t="b">
        <f t="shared" si="1"/>
        <v>1</v>
      </c>
    </row>
    <row r="26" spans="1:3" ht="15.75" thickBot="1">
      <c r="A26" s="194" t="s">
        <v>1877</v>
      </c>
      <c r="B26" s="195" t="b">
        <v>0</v>
      </c>
      <c r="C26" t="b">
        <f t="shared" si="1"/>
        <v>1</v>
      </c>
    </row>
    <row r="27" spans="1:3" ht="15.75" thickBot="1">
      <c r="A27" s="194" t="s">
        <v>1879</v>
      </c>
      <c r="B27" s="195" t="b">
        <v>0</v>
      </c>
      <c r="C27" t="b">
        <f t="shared" si="1"/>
        <v>1</v>
      </c>
    </row>
    <row r="28" spans="1:3" ht="15.75" thickBot="1">
      <c r="A28" s="194" t="s">
        <v>1878</v>
      </c>
      <c r="B28" s="195" t="b">
        <v>0</v>
      </c>
      <c r="C28" t="b">
        <f t="shared" si="1"/>
        <v>1</v>
      </c>
    </row>
  </sheetData>
  <dataValidations count="1">
    <dataValidation allowBlank="1" showInputMessage="1" showErrorMessage="1" prompt="Consult your pharmacist if unsure" sqref="A3:A28" xr:uid="{00000000-0002-0000-31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6">
        <x14:dataValidation type="list" showInputMessage="1" showErrorMessage="1" error="Please answer as Yes or No" prompt="Some products are specifically designed to fit men comfortably" xr:uid="{00000000-0002-0000-3100-000001000000}">
          <x14:formula1>
            <xm:f>random!$A$2:$A$3</xm:f>
          </x14:formula1>
          <xm:sqref>B3</xm:sqref>
        </x14:dataValidation>
        <x14:dataValidation type="list" showInputMessage="1" showErrorMessage="1" error="Please answer as Yes or No" prompt="Some products are specifically designed to fit women comfortably" xr:uid="{00000000-0002-0000-3100-000002000000}">
          <x14:formula1>
            <xm:f>random!$A$2:$A$3</xm:f>
          </x14:formula1>
          <xm:sqref>B4</xm:sqref>
        </x14:dataValidation>
        <x14:dataValidation type="list" showInputMessage="1" showErrorMessage="1" error="Please answer as Yes or No" prompt="Some products are specifically designed to fit both men or women comfortably" xr:uid="{00000000-0002-0000-3100-000003000000}">
          <x14:formula1>
            <xm:f>random!$A$2:$A$3</xm:f>
          </x14:formula1>
          <xm:sqref>B5</xm:sqref>
        </x14:dataValidation>
        <x14:dataValidation type="list" showInputMessage="1" showErrorMessage="1" error="Please answer as Yes or No" prompt="Some products are best worn for a few hours or during the day when item can be replaced if it becomes saturated" xr:uid="{00000000-0002-0000-3100-000004000000}">
          <x14:formula1>
            <xm:f>random!$A$2:$A$3</xm:f>
          </x14:formula1>
          <xm:sqref>B6</xm:sqref>
        </x14:dataValidation>
        <x14:dataValidation type="list" showInputMessage="1" showErrorMessage="1" error="Please answer as Yes or No" prompt="Some products may be worn for extended periods of time including overnight as they are less likely to become saturated" xr:uid="{00000000-0002-0000-3100-000005000000}">
          <x14:formula1>
            <xm:f>random!$A$2:$A$3</xm:f>
          </x14:formula1>
          <xm:sqref>B7</xm:sqref>
        </x14:dataValidation>
        <x14:dataValidation type="list" showInputMessage="1" showErrorMessage="1" error="Please answer as Yes or No" prompt="Some products are recommended for post-partum incontinence. Only some Tena pads fit this criteria." xr:uid="{00000000-0002-0000-3100-000006000000}">
          <x14:formula1>
            <xm:f>random!$A$2:$A$3</xm:f>
          </x14:formula1>
          <xm:sqref>B8</xm:sqref>
        </x14:dataValidation>
        <x14:dataValidation type="list" showInputMessage="1" showErrorMessage="1" error="Please answer as Yes or No" prompt="Designed for infrequent and very light urinary incontinence" xr:uid="{00000000-0002-0000-3100-000007000000}">
          <x14:formula1>
            <xm:f>random!$A$2:$A$3</xm:f>
          </x14:formula1>
          <xm:sqref>B16</xm:sqref>
        </x14:dataValidation>
        <x14:dataValidation type="list" showInputMessage="1" showErrorMessage="1" error="Please answer as Yes or No" prompt="size small (-) inches. Applies to briefs and underwear." xr:uid="{00000000-0002-0000-3100-000008000000}">
          <x14:formula1>
            <xm:f>random!$A$2:$A$3</xm:f>
          </x14:formula1>
          <xm:sqref>B23</xm:sqref>
        </x14:dataValidation>
        <x14:dataValidation type="list" showInputMessage="1" showErrorMessage="1" error="Please answer as Yes or No" prompt="size medium (-) inches. Applies to briefs and underwear." xr:uid="{00000000-0002-0000-3100-000009000000}">
          <x14:formula1>
            <xm:f>random!$A$2:$A$3</xm:f>
          </x14:formula1>
          <xm:sqref>B24</xm:sqref>
        </x14:dataValidation>
        <x14:dataValidation type="list" showInputMessage="1" showErrorMessage="1" error="Please answer as Yes or No" prompt="size large (-) inches. Applies to briefs and underwear." xr:uid="{00000000-0002-0000-3100-00000A000000}">
          <x14:formula1>
            <xm:f>random!$A$2:$A$3</xm:f>
          </x14:formula1>
          <xm:sqref>B25</xm:sqref>
        </x14:dataValidation>
        <x14:dataValidation type="list" showInputMessage="1" showErrorMessage="1" error="Please answer as Yes or No" prompt="size extra large (-) inches. Applies to briefs and underwear." xr:uid="{00000000-0002-0000-3100-00000B000000}">
          <x14:formula1>
            <xm:f>random!$A$2:$A$3</xm:f>
          </x14:formula1>
          <xm:sqref>B26</xm:sqref>
        </x14:dataValidation>
        <x14:dataValidation type="list" showInputMessage="1" showErrorMessage="1" error="Please answer as Yes or No" prompt="size double extra large (-) inches. Applies to briefs and underwear." xr:uid="{00000000-0002-0000-3100-00000C000000}">
          <x14:formula1>
            <xm:f>random!$A$2:$A$3</xm:f>
          </x14:formula1>
          <xm:sqref>B27</xm:sqref>
        </x14:dataValidation>
        <x14:dataValidation type="list" showInputMessage="1" showErrorMessage="1" error="Please answer as Yes or No" prompt="Specifical designed for individuals with weight and/or obesity challenges. Applies to briefs and underwear." xr:uid="{00000000-0002-0000-3100-00000D000000}">
          <x14:formula1>
            <xm:f>random!$A$2:$A$3</xm:f>
          </x14:formula1>
          <xm:sqref>B28</xm:sqref>
        </x14:dataValidation>
        <x14:dataValidation type="list" showInputMessage="1" showErrorMessage="1" error="Please answer as Yes or No" prompt="Briefs can be easily removed or changed with side fasteners. Ideal for individuals requiring assistance with daily care. Provide highest level or absorption and can be used for both urinary or bowel incontinence.  " xr:uid="{00000000-0002-0000-3100-00000E000000}">
          <x14:formula1>
            <xm:f>random!$A$2:$A$3</xm:f>
          </x14:formula1>
          <xm:sqref>B15</xm:sqref>
        </x14:dataValidation>
        <x14:dataValidation type="list" showInputMessage="1" showErrorMessage="1" error="Please answer as Yes or No" prompt="Underwear provide greater incontinence protection than pads, panty liners, guards or shields. Mimic the feel and/or look of traditional underwear and can provide discretion. Some products look like lace or real fabric." xr:uid="{00000000-0002-0000-3100-00000F000000}">
          <x14:formula1>
            <xm:f>random!$A$2:$A$3</xm:f>
          </x14:formula1>
          <xm:sqref>B11</xm:sqref>
        </x14:dataValidation>
        <x14:dataValidation type="list" showInputMessage="1" showErrorMessage="1" error="Please answer as Yes or No" prompt="Panty liners provide lightest urinary incontinence protection. Can be used to protect undergarments." xr:uid="{00000000-0002-0000-3100-000010000000}">
          <x14:formula1>
            <xm:f>random!$A$2:$A$3</xm:f>
          </x14:formula1>
          <xm:sqref>B13</xm:sqref>
        </x14:dataValidation>
        <x14:dataValidation type="list" showInputMessage="1" showErrorMessage="1" error="Please answer as Yes or No" prompt="The male equivalent to panty liner or pad product. Can be worn beneath underwear, provides protection for mild urinary incontinence.  " xr:uid="{00000000-0002-0000-3100-000011000000}">
          <x14:formula1>
            <xm:f>random!$A$2:$A$3</xm:f>
          </x14:formula1>
          <xm:sqref>B14</xm:sqref>
        </x14:dataValidation>
        <x14:dataValidation type="list" showInputMessage="1" showErrorMessage="1" error="Please answer as Yes or No" prompt="Provide greater urinary incontinence protection than panty liners but generally thicker and less discrete. Can be used to protect undergarments." xr:uid="{00000000-0002-0000-3100-000012000000}">
          <x14:formula1>
            <xm:f>random!$A$2:$A$3</xm:f>
          </x14:formula1>
          <xm:sqref>B12</xm:sqref>
        </x14:dataValidation>
        <x14:dataValidation type="list" showInputMessage="1" showErrorMessage="1" error="Please answer as Yes or No" prompt="Designed for infrequent light urinary incontinence" xr:uid="{00000000-0002-0000-3100-000013000000}">
          <x14:formula1>
            <xm:f>random!$A$2:$A$3</xm:f>
          </x14:formula1>
          <xm:sqref>B17</xm:sqref>
        </x14:dataValidation>
        <x14:dataValidation type="list" showInputMessage="1" showErrorMessage="1" error="Please answer as Yes or No" prompt="Designed for moderate urinary incontinence" xr:uid="{00000000-0002-0000-3100-000014000000}">
          <x14:formula1>
            <xm:f>random!$A$2:$A$3</xm:f>
          </x14:formula1>
          <xm:sqref>B18</xm:sqref>
        </x14:dataValidation>
        <x14:dataValidation type="list" showInputMessage="1" showErrorMessage="1" error="Please answer as Yes or No" prompt="Designed for heavy urinary incontinence. May also be appropriate for bowel incontinence." xr:uid="{00000000-0002-0000-3100-000015000000}">
          <x14:formula1>
            <xm:f>random!$A$2:$A$3</xm:f>
          </x14:formula1>
          <xm:sqref>B19</xm:sqref>
        </x14:dataValidation>
        <x14:dataValidation type="list" showInputMessage="1" showErrorMessage="1" error="Please answer as Yes or No" prompt="Designed for heavy urinary or bowel incontinence" xr:uid="{00000000-0002-0000-3100-000016000000}">
          <x14:formula1>
            <xm:f>random!$A$2:$A$3</xm:f>
          </x14:formula1>
          <xm:sqref>B20</xm:sqref>
        </x14:dataValidation>
        <x14:dataValidation type="list" showInputMessage="1" showErrorMessage="1" error="Please answer as Yes or No" prompt="For women for which a regular sized pad or panty liner provides sufficient protection." xr:uid="{00000000-0002-0000-3100-000017000000}">
          <x14:formula1>
            <xm:f>random!$A$2:$A$3</xm:f>
          </x14:formula1>
          <xm:sqref>B21</xm:sqref>
        </x14:dataValidation>
        <x14:dataValidation type="list" showInputMessage="1" showErrorMessage="1" error="Please answer as Yes or No" prompt="For women for which a regular sized pad or panty liner does not provide sufficient protection." xr:uid="{00000000-0002-0000-3100-000018000000}">
          <x14:formula1>
            <xm:f>random!$A$2:$A$3</xm:f>
          </x14:formula1>
          <xm:sqref>B22</xm:sqref>
        </x14:dataValidation>
        <x14:dataValidation type="list" showInputMessage="1" showErrorMessage="1" error="Please answer as Yes or No" prompt="Some products are made to be more flexible or have wings to reduce the risk of leaks with movement and motion. These products are ideal for more active users." xr:uid="{00000000-0002-0000-3100-000019000000}">
          <x14:formula1>
            <xm:f>random!$A$2:$A$3</xm:f>
          </x14:formula1>
          <xm:sqref>B9</xm:sqref>
        </x14:dataValidation>
        <x14:dataValidation type="list" showInputMessage="1" showErrorMessage="1" error="Please answer as Yes or No" prompt="Individuals with latex sensitivities or allergies may react negatively to products which may contain latex or rubber. Such individuals should select products that are latex-free. Only some Tena pads and underwear meet this criteria." xr:uid="{00000000-0002-0000-3100-00001A000000}">
          <x14:formula1>
            <xm:f>random!$A$2:$A$3</xm:f>
          </x14:formula1>
          <xm:sqref>B10</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AD132"/>
  <sheetViews>
    <sheetView workbookViewId="0">
      <selection activeCell="B25" sqref="B25"/>
    </sheetView>
  </sheetViews>
  <sheetFormatPr defaultRowHeight="15"/>
  <cols>
    <col min="1" max="1" width="33.140625" customWidth="1"/>
    <col min="2" max="16" width="11" customWidth="1"/>
    <col min="17" max="18" width="12.28515625" customWidth="1"/>
    <col min="19" max="29" width="11" customWidth="1"/>
    <col min="30" max="30" width="58.7109375" customWidth="1"/>
    <col min="31" max="31" width="24.42578125" customWidth="1"/>
  </cols>
  <sheetData>
    <row r="1" spans="1:30">
      <c r="A1" s="70" t="s">
        <v>1248</v>
      </c>
      <c r="B1" t="s">
        <v>1880</v>
      </c>
      <c r="C1" t="s">
        <v>1720</v>
      </c>
      <c r="D1" t="s">
        <v>1721</v>
      </c>
      <c r="E1" t="s">
        <v>1730</v>
      </c>
      <c r="F1" t="s">
        <v>1731</v>
      </c>
      <c r="G1" t="s">
        <v>1737</v>
      </c>
      <c r="H1" t="s">
        <v>1971</v>
      </c>
      <c r="I1" t="s">
        <v>1972</v>
      </c>
      <c r="J1" t="s">
        <v>1528</v>
      </c>
      <c r="K1" t="s">
        <v>1529</v>
      </c>
      <c r="L1" t="s">
        <v>1722</v>
      </c>
      <c r="M1" t="s">
        <v>1769</v>
      </c>
      <c r="N1" t="s">
        <v>1717</v>
      </c>
      <c r="O1" t="s">
        <v>1718</v>
      </c>
      <c r="P1" t="s">
        <v>1742</v>
      </c>
      <c r="Q1" t="s">
        <v>1727</v>
      </c>
      <c r="R1" t="s">
        <v>1739</v>
      </c>
      <c r="S1" t="s">
        <v>1736</v>
      </c>
      <c r="T1" t="s">
        <v>1754</v>
      </c>
      <c r="U1" t="s">
        <v>1723</v>
      </c>
      <c r="V1" t="s">
        <v>1725</v>
      </c>
      <c r="W1" t="s">
        <v>1402</v>
      </c>
      <c r="X1" t="s">
        <v>1403</v>
      </c>
      <c r="Y1" t="s">
        <v>1404</v>
      </c>
      <c r="Z1" t="s">
        <v>1755</v>
      </c>
      <c r="AA1" t="s">
        <v>1756</v>
      </c>
      <c r="AB1" t="s">
        <v>1762</v>
      </c>
      <c r="AC1" s="9" t="s">
        <v>592</v>
      </c>
      <c r="AD1" s="124" t="s">
        <v>593</v>
      </c>
    </row>
    <row r="2" spans="1:30">
      <c r="A2" s="70" t="b">
        <f>IF(Table31[[#This Row],[Column8]],Table31[[#This Row],[Column9]])</f>
        <v>0</v>
      </c>
      <c r="B2" s="17"/>
      <c r="C2" s="17"/>
      <c r="D2" s="20" t="b">
        <f>AND('Incontinence Criteria'!B4,'Incontinence Criteria'!C3,'Incontinence Criteria'!C5)</f>
        <v>0</v>
      </c>
      <c r="E2" s="20" t="b">
        <f>AND('Incontinence Criteria'!B6,'Incontinence Criteria'!C7)</f>
        <v>0</v>
      </c>
      <c r="F2" s="17"/>
      <c r="G2" s="17" t="b">
        <f>AND('Incontinence Criteria'!C8)</f>
        <v>1</v>
      </c>
      <c r="H2" s="17" t="b">
        <f>AND('Incontinence Criteria'!C9)</f>
        <v>1</v>
      </c>
      <c r="I2" s="17" t="b">
        <f>AND('Incontinence Criteria'!C10)</f>
        <v>1</v>
      </c>
      <c r="J2" s="17"/>
      <c r="K2" s="17"/>
      <c r="L2" s="20" t="b">
        <f>AND('Incontinence Criteria'!B13,'Incontinence Criteria'!C11:C12,'Incontinence Criteria'!C14:C15)</f>
        <v>0</v>
      </c>
      <c r="M2" s="17"/>
      <c r="N2" s="17"/>
      <c r="O2" s="17"/>
      <c r="P2" s="17"/>
      <c r="Q2" s="20" t="b">
        <f>AND('Incontinence Criteria'!B17,'Incontinence Criteria'!C16,'Incontinence Criteria'!C18:C20)</f>
        <v>0</v>
      </c>
      <c r="R2" s="17"/>
      <c r="S2" s="17"/>
      <c r="T2" s="17"/>
      <c r="U2" s="20" t="b">
        <f>AND('Incontinence Criteria'!B22,'Incontinence Criteria'!C21)</f>
        <v>0</v>
      </c>
      <c r="V2" s="17"/>
      <c r="W2" s="17"/>
      <c r="X2" s="17"/>
      <c r="Y2" s="17"/>
      <c r="Z2" s="17"/>
      <c r="AA2" s="17"/>
      <c r="AB2" s="17"/>
      <c r="AC2" t="b">
        <f>AND((Table31[[#This Row],[Unisex]:[Bariatric (XXXL)]]))</f>
        <v>0</v>
      </c>
      <c r="AD2" s="29" t="s">
        <v>1719</v>
      </c>
    </row>
    <row r="3" spans="1:30">
      <c r="A3" s="70" t="b">
        <f>IF(Table31[[#This Row],[Column8]],Table31[[#This Row],[Column9]])</f>
        <v>0</v>
      </c>
      <c r="B3" s="17"/>
      <c r="C3" s="17"/>
      <c r="D3" s="20" t="b">
        <f>D2</f>
        <v>0</v>
      </c>
      <c r="E3" s="20" t="b">
        <f>E2</f>
        <v>0</v>
      </c>
      <c r="F3" s="17"/>
      <c r="G3" s="17" t="b">
        <f>G2</f>
        <v>1</v>
      </c>
      <c r="H3" s="17" t="b">
        <f>H2</f>
        <v>1</v>
      </c>
      <c r="I3" s="17" t="b">
        <f>I2</f>
        <v>1</v>
      </c>
      <c r="J3" s="17"/>
      <c r="K3" s="17"/>
      <c r="L3" s="20" t="b">
        <f>L2</f>
        <v>0</v>
      </c>
      <c r="M3" s="17"/>
      <c r="N3" s="17"/>
      <c r="O3" s="17"/>
      <c r="P3" s="17"/>
      <c r="Q3" s="20" t="b">
        <f>Q2</f>
        <v>0</v>
      </c>
      <c r="R3" s="17"/>
      <c r="S3" s="17"/>
      <c r="T3" s="17"/>
      <c r="U3" s="17"/>
      <c r="V3" s="20" t="b">
        <f>AND('Incontinence Criteria'!B21,'Incontinence Criteria'!C22)</f>
        <v>0</v>
      </c>
      <c r="W3" s="17"/>
      <c r="X3" s="17"/>
      <c r="Y3" s="17"/>
      <c r="Z3" s="17"/>
      <c r="AA3" s="17"/>
      <c r="AB3" s="17"/>
      <c r="AC3" t="b">
        <f>AND((Table31[[#This Row],[Unisex]:[Bariatric (XXXL)]]))</f>
        <v>0</v>
      </c>
      <c r="AD3" s="29" t="s">
        <v>1724</v>
      </c>
    </row>
    <row r="4" spans="1:30">
      <c r="A4" s="70" t="b">
        <f>IF(Table31[[#This Row],[Column8]],Table31[[#This Row],[Column9]])</f>
        <v>0</v>
      </c>
      <c r="B4" s="17"/>
      <c r="C4" s="17"/>
      <c r="D4" s="20" t="b">
        <f>D2</f>
        <v>0</v>
      </c>
      <c r="E4" s="20" t="b">
        <f>E2</f>
        <v>0</v>
      </c>
      <c r="F4" s="17"/>
      <c r="G4" s="17" t="b">
        <f>G2</f>
        <v>1</v>
      </c>
      <c r="H4" s="17" t="b">
        <f>H2</f>
        <v>1</v>
      </c>
      <c r="I4" s="17" t="b">
        <f>I2</f>
        <v>1</v>
      </c>
      <c r="J4" s="17"/>
      <c r="K4" s="20" t="b">
        <f>AND('Incontinence Criteria'!B12,'Incontinence Criteria'!C11,'Incontinence Criteria'!C13:C15)</f>
        <v>0</v>
      </c>
      <c r="L4" s="17"/>
      <c r="M4" s="17"/>
      <c r="N4" s="17"/>
      <c r="O4" s="17"/>
      <c r="P4" s="17"/>
      <c r="Q4" s="20" t="b">
        <f>Q2</f>
        <v>0</v>
      </c>
      <c r="R4" s="17"/>
      <c r="S4" s="17"/>
      <c r="T4" s="17"/>
      <c r="U4" s="17"/>
      <c r="V4" s="20" t="b">
        <f>V3</f>
        <v>0</v>
      </c>
      <c r="W4" s="17"/>
      <c r="X4" s="17"/>
      <c r="Y4" s="17"/>
      <c r="Z4" s="17"/>
      <c r="AA4" s="17"/>
      <c r="AB4" s="17"/>
      <c r="AC4" t="b">
        <f>AND((Table31[[#This Row],[Unisex]:[Bariatric (XXXL)]]))</f>
        <v>0</v>
      </c>
      <c r="AD4" s="29" t="s">
        <v>1726</v>
      </c>
    </row>
    <row r="5" spans="1:30">
      <c r="A5" s="70" t="b">
        <f>IF(Table31[[#This Row],[Column8]],Table31[[#This Row],[Column9]])</f>
        <v>0</v>
      </c>
      <c r="B5" s="17"/>
      <c r="C5" s="17"/>
      <c r="D5" s="20" t="b">
        <f>D2</f>
        <v>0</v>
      </c>
      <c r="E5" s="20" t="b">
        <f>E2</f>
        <v>0</v>
      </c>
      <c r="F5" s="17"/>
      <c r="G5" s="17" t="b">
        <f>G2</f>
        <v>1</v>
      </c>
      <c r="H5" s="17" t="b">
        <f>H2</f>
        <v>1</v>
      </c>
      <c r="I5" s="17" t="b">
        <f>I2</f>
        <v>1</v>
      </c>
      <c r="J5" s="17"/>
      <c r="K5" s="20" t="b">
        <f>K4</f>
        <v>0</v>
      </c>
      <c r="L5" s="17"/>
      <c r="M5" s="17"/>
      <c r="N5" s="17"/>
      <c r="O5" s="17"/>
      <c r="P5" s="17"/>
      <c r="Q5" s="20" t="b">
        <f>Q2</f>
        <v>0</v>
      </c>
      <c r="R5" s="17"/>
      <c r="S5" s="17"/>
      <c r="T5" s="17"/>
      <c r="U5" s="20" t="b">
        <f>U2</f>
        <v>0</v>
      </c>
      <c r="V5" s="17"/>
      <c r="W5" s="17"/>
      <c r="X5" s="17"/>
      <c r="Y5" s="17"/>
      <c r="Z5" s="17"/>
      <c r="AA5" s="17"/>
      <c r="AB5" s="17"/>
      <c r="AC5" t="b">
        <f>AND((Table31[[#This Row],[Unisex]:[Bariatric (XXXL)]]))</f>
        <v>0</v>
      </c>
      <c r="AD5" s="29" t="s">
        <v>1728</v>
      </c>
    </row>
    <row r="6" spans="1:30">
      <c r="A6" s="70" t="b">
        <f>IF(Table31[[#This Row],[Column8]],Table31[[#This Row],[Column9]])</f>
        <v>0</v>
      </c>
      <c r="B6" s="17"/>
      <c r="C6" s="17"/>
      <c r="D6" s="20" t="b">
        <f>D2</f>
        <v>0</v>
      </c>
      <c r="E6" s="20" t="b">
        <f>E2</f>
        <v>0</v>
      </c>
      <c r="F6" s="17"/>
      <c r="G6" s="17" t="b">
        <f>G2</f>
        <v>1</v>
      </c>
      <c r="H6" s="17" t="b">
        <f>H2</f>
        <v>1</v>
      </c>
      <c r="I6" s="17" t="b">
        <f>I2</f>
        <v>1</v>
      </c>
      <c r="J6" s="17"/>
      <c r="K6" s="20" t="b">
        <f>K4</f>
        <v>0</v>
      </c>
      <c r="L6" s="17"/>
      <c r="M6" s="17"/>
      <c r="N6" s="17"/>
      <c r="O6" s="17"/>
      <c r="P6" s="17"/>
      <c r="Q6" s="17"/>
      <c r="R6" s="20" t="b">
        <f>AND('Incontinence Criteria'!B18,'Incontinence Criteria'!C16:C17,'Incontinence Criteria'!C19:C20)</f>
        <v>0</v>
      </c>
      <c r="S6" s="17"/>
      <c r="T6" s="17"/>
      <c r="U6" s="20" t="b">
        <f>U2</f>
        <v>0</v>
      </c>
      <c r="V6" s="17"/>
      <c r="W6" s="17"/>
      <c r="X6" s="17"/>
      <c r="Y6" s="17"/>
      <c r="Z6" s="17"/>
      <c r="AA6" s="17"/>
      <c r="AB6" s="17"/>
      <c r="AC6" t="b">
        <f>AND((Table31[[#This Row],[Unisex]:[Bariatric (XXXL)]]))</f>
        <v>0</v>
      </c>
      <c r="AD6" s="29" t="s">
        <v>1729</v>
      </c>
    </row>
    <row r="7" spans="1:30">
      <c r="A7" s="70" t="b">
        <f>IF(Table31[[#This Row],[Column8]],Table31[[#This Row],[Column9]])</f>
        <v>0</v>
      </c>
      <c r="B7" s="17"/>
      <c r="C7" s="17"/>
      <c r="D7" s="20" t="b">
        <f>D2</f>
        <v>0</v>
      </c>
      <c r="E7" s="17"/>
      <c r="F7" s="20" t="b">
        <f>AND('Incontinence Criteria'!B7,'Incontinence Criteria'!C6)</f>
        <v>0</v>
      </c>
      <c r="G7" s="20" t="b">
        <f>OR('Incontinence Criteria'!B8:C8)</f>
        <v>1</v>
      </c>
      <c r="H7" s="17" t="b">
        <f>H2</f>
        <v>1</v>
      </c>
      <c r="I7" s="17" t="b">
        <f>I2</f>
        <v>1</v>
      </c>
      <c r="J7" s="17"/>
      <c r="K7" s="20" t="b">
        <f>K4</f>
        <v>0</v>
      </c>
      <c r="L7" s="17"/>
      <c r="M7" s="17"/>
      <c r="N7" s="17"/>
      <c r="O7" s="17"/>
      <c r="P7" s="17"/>
      <c r="Q7" s="17"/>
      <c r="R7" s="17"/>
      <c r="S7" s="20" t="b">
        <f>AND('Incontinence Criteria'!B19,'Incontinence Criteria'!C16:C18,'Incontinence Criteria'!C20)</f>
        <v>0</v>
      </c>
      <c r="T7" s="17"/>
      <c r="U7" s="17"/>
      <c r="V7" s="17"/>
      <c r="W7" s="17"/>
      <c r="X7" s="17"/>
      <c r="Y7" s="17"/>
      <c r="Z7" s="17"/>
      <c r="AA7" s="17"/>
      <c r="AB7" s="17"/>
      <c r="AC7" t="b">
        <f>AND((Table31[[#This Row],[Unisex]:[Bariatric (XXXL)]]))</f>
        <v>0</v>
      </c>
      <c r="AD7" s="29" t="s">
        <v>1732</v>
      </c>
    </row>
    <row r="8" spans="1:30">
      <c r="A8" s="70" t="b">
        <f>IF(Table31[[#This Row],[Column8]],Table31[[#This Row],[Column9]])</f>
        <v>0</v>
      </c>
      <c r="B8" s="17"/>
      <c r="C8" s="17"/>
      <c r="D8" s="20" t="b">
        <f>D2</f>
        <v>0</v>
      </c>
      <c r="E8" s="20" t="b">
        <f>E2</f>
        <v>0</v>
      </c>
      <c r="F8" s="17"/>
      <c r="G8" s="17" t="b">
        <f>G2</f>
        <v>1</v>
      </c>
      <c r="H8" s="17" t="b">
        <f>H2</f>
        <v>1</v>
      </c>
      <c r="I8" s="17" t="b">
        <f>I2</f>
        <v>1</v>
      </c>
      <c r="J8" s="17"/>
      <c r="K8" s="20" t="b">
        <f>K4</f>
        <v>0</v>
      </c>
      <c r="L8" s="17"/>
      <c r="M8" s="17"/>
      <c r="N8" s="17"/>
      <c r="O8" s="17"/>
      <c r="P8" s="17"/>
      <c r="Q8" s="17"/>
      <c r="R8" s="20" t="b">
        <f>R6</f>
        <v>0</v>
      </c>
      <c r="S8" s="17"/>
      <c r="T8" s="17"/>
      <c r="U8" s="17"/>
      <c r="V8" s="20" t="b">
        <f>V3</f>
        <v>0</v>
      </c>
      <c r="W8" s="17"/>
      <c r="X8" s="17"/>
      <c r="Y8" s="17"/>
      <c r="Z8" s="17"/>
      <c r="AA8" s="17"/>
      <c r="AB8" s="17"/>
      <c r="AC8" t="b">
        <f>AND((Table31[[#This Row],[Unisex]:[Bariatric (XXXL)]]))</f>
        <v>0</v>
      </c>
      <c r="AD8" s="29" t="s">
        <v>1733</v>
      </c>
    </row>
    <row r="9" spans="1:30">
      <c r="A9" s="70" t="b">
        <f>IF(Table31[[#This Row],[Column8]],Table31[[#This Row],[Column9]])</f>
        <v>0</v>
      </c>
      <c r="B9" s="17"/>
      <c r="C9" s="17"/>
      <c r="D9" s="20" t="b">
        <f>D2</f>
        <v>0</v>
      </c>
      <c r="E9" s="20" t="b">
        <f>E2</f>
        <v>0</v>
      </c>
      <c r="F9" s="17"/>
      <c r="G9" s="17" t="b">
        <f>G2</f>
        <v>1</v>
      </c>
      <c r="H9" s="17" t="b">
        <f>H2</f>
        <v>1</v>
      </c>
      <c r="I9" s="17" t="b">
        <f>I2</f>
        <v>1</v>
      </c>
      <c r="J9" s="17"/>
      <c r="K9" s="20" t="b">
        <f>K4</f>
        <v>0</v>
      </c>
      <c r="L9" s="17"/>
      <c r="M9" s="17"/>
      <c r="N9" s="17"/>
      <c r="O9" s="17"/>
      <c r="P9" s="17"/>
      <c r="Q9" s="17"/>
      <c r="R9" s="20" t="b">
        <f>R6</f>
        <v>0</v>
      </c>
      <c r="S9" s="17"/>
      <c r="T9" s="17"/>
      <c r="U9" s="20" t="b">
        <f>U2</f>
        <v>0</v>
      </c>
      <c r="V9" s="17"/>
      <c r="W9" s="17"/>
      <c r="X9" s="17"/>
      <c r="Y9" s="17"/>
      <c r="Z9" s="17"/>
      <c r="AA9" s="17"/>
      <c r="AB9" s="17"/>
      <c r="AC9" t="b">
        <f>AND((Table31[[#This Row],[Unisex]:[Bariatric (XXXL)]]))</f>
        <v>0</v>
      </c>
      <c r="AD9" s="29" t="s">
        <v>1734</v>
      </c>
    </row>
    <row r="10" spans="1:30">
      <c r="A10" s="70" t="b">
        <f>IF(Table31[[#This Row],[Column8]],Table31[[#This Row],[Column9]])</f>
        <v>0</v>
      </c>
      <c r="B10" s="17"/>
      <c r="C10" s="17"/>
      <c r="D10" s="20" t="b">
        <f>D2</f>
        <v>0</v>
      </c>
      <c r="E10" s="20" t="b">
        <f>E2</f>
        <v>0</v>
      </c>
      <c r="F10" s="17"/>
      <c r="G10" s="20" t="b">
        <f>G7</f>
        <v>1</v>
      </c>
      <c r="H10" s="17" t="b">
        <f>H2</f>
        <v>1</v>
      </c>
      <c r="I10" s="17" t="b">
        <f>I2</f>
        <v>1</v>
      </c>
      <c r="J10" s="17"/>
      <c r="K10" s="20" t="b">
        <f>K4</f>
        <v>0</v>
      </c>
      <c r="L10" s="17"/>
      <c r="M10" s="17"/>
      <c r="N10" s="17"/>
      <c r="O10" s="17"/>
      <c r="P10" s="17"/>
      <c r="Q10" s="17"/>
      <c r="R10" s="17"/>
      <c r="S10" s="20" t="b">
        <f>S7</f>
        <v>0</v>
      </c>
      <c r="T10" s="17"/>
      <c r="U10" s="17"/>
      <c r="V10" s="20" t="b">
        <f>V3</f>
        <v>0</v>
      </c>
      <c r="W10" s="17"/>
      <c r="X10" s="17"/>
      <c r="Y10" s="17"/>
      <c r="Z10" s="17"/>
      <c r="AA10" s="17"/>
      <c r="AB10" s="17"/>
      <c r="AC10" t="b">
        <f>AND((Table31[[#This Row],[Unisex]:[Bariatric (XXXL)]]))</f>
        <v>0</v>
      </c>
      <c r="AD10" s="29" t="s">
        <v>1735</v>
      </c>
    </row>
    <row r="11" spans="1:30">
      <c r="A11" s="70" t="b">
        <f>IF(Table31[[#This Row],[Column8]],Table31[[#This Row],[Column9]])</f>
        <v>0</v>
      </c>
      <c r="B11" s="17"/>
      <c r="C11" s="17"/>
      <c r="D11" s="20" t="b">
        <f>D2</f>
        <v>0</v>
      </c>
      <c r="E11" s="20" t="b">
        <f>E2</f>
        <v>0</v>
      </c>
      <c r="F11" s="17"/>
      <c r="G11" s="20" t="b">
        <f>G7</f>
        <v>1</v>
      </c>
      <c r="H11" s="17" t="b">
        <f>H2</f>
        <v>1</v>
      </c>
      <c r="I11" s="17" t="b">
        <f>I2</f>
        <v>1</v>
      </c>
      <c r="J11" s="17"/>
      <c r="K11" s="20" t="b">
        <f>K4</f>
        <v>0</v>
      </c>
      <c r="L11" s="17"/>
      <c r="M11" s="17"/>
      <c r="N11" s="17"/>
      <c r="O11" s="17"/>
      <c r="P11" s="17"/>
      <c r="Q11" s="17"/>
      <c r="R11" s="20" t="b">
        <f>R6</f>
        <v>0</v>
      </c>
      <c r="S11" s="17"/>
      <c r="T11" s="17"/>
      <c r="U11" s="20" t="b">
        <f>U2</f>
        <v>0</v>
      </c>
      <c r="V11" s="17"/>
      <c r="W11" s="17"/>
      <c r="X11" s="17"/>
      <c r="Y11" s="17"/>
      <c r="Z11" s="17"/>
      <c r="AA11" s="17"/>
      <c r="AB11" s="17"/>
      <c r="AC11" t="b">
        <f>AND((Table31[[#This Row],[Unisex]:[Bariatric (XXXL)]]))</f>
        <v>0</v>
      </c>
      <c r="AD11" s="29" t="s">
        <v>1738</v>
      </c>
    </row>
    <row r="12" spans="1:30">
      <c r="A12" s="70" t="b">
        <f>IF(Table31[[#This Row],[Column8]],Table31[[#This Row],[Column9]])</f>
        <v>0</v>
      </c>
      <c r="B12" s="17"/>
      <c r="C12" s="17"/>
      <c r="D12" s="20" t="b">
        <f>D2</f>
        <v>0</v>
      </c>
      <c r="E12" s="20" t="b">
        <f>E2</f>
        <v>0</v>
      </c>
      <c r="F12" s="17"/>
      <c r="G12" s="17" t="b">
        <f>G2</f>
        <v>1</v>
      </c>
      <c r="H12" s="17" t="b">
        <f>H2</f>
        <v>1</v>
      </c>
      <c r="I12" s="20" t="b">
        <f>OR('Incontinence Criteria'!B10:C10)</f>
        <v>1</v>
      </c>
      <c r="J12" s="17"/>
      <c r="K12" s="20" t="b">
        <f>K4</f>
        <v>0</v>
      </c>
      <c r="L12" s="17"/>
      <c r="M12" s="17"/>
      <c r="N12" s="17"/>
      <c r="O12" s="17"/>
      <c r="P12" s="17"/>
      <c r="Q12" s="20" t="b">
        <f>Q2</f>
        <v>0</v>
      </c>
      <c r="R12" s="17"/>
      <c r="S12" s="17"/>
      <c r="T12" s="17"/>
      <c r="U12" s="20" t="b">
        <f>U2</f>
        <v>0</v>
      </c>
      <c r="V12" s="17"/>
      <c r="W12" s="17"/>
      <c r="X12" s="17"/>
      <c r="Y12" s="17"/>
      <c r="Z12" s="17"/>
      <c r="AA12" s="17"/>
      <c r="AB12" s="17"/>
      <c r="AC12" t="b">
        <f>AND((Table31[[#This Row],[Unisex]:[Bariatric (XXXL)]]))</f>
        <v>0</v>
      </c>
      <c r="AD12" s="29" t="s">
        <v>1740</v>
      </c>
    </row>
    <row r="13" spans="1:30">
      <c r="A13" s="70" t="b">
        <f>IF(Table31[[#This Row],[Column8]],Table31[[#This Row],[Column9]])</f>
        <v>0</v>
      </c>
      <c r="B13" s="17"/>
      <c r="C13" s="20" t="b">
        <f>AND('Incontinence Criteria'!B3,'Incontinence Criteria'!C4:C5)</f>
        <v>0</v>
      </c>
      <c r="D13" s="17"/>
      <c r="E13" s="20" t="b">
        <f>E2</f>
        <v>0</v>
      </c>
      <c r="F13" s="17"/>
      <c r="G13" s="17" t="b">
        <f>G2</f>
        <v>1</v>
      </c>
      <c r="H13" s="17" t="b">
        <f>H2</f>
        <v>1</v>
      </c>
      <c r="I13" s="17" t="b">
        <f>I2</f>
        <v>1</v>
      </c>
      <c r="J13" s="17"/>
      <c r="K13" s="17"/>
      <c r="L13" s="17"/>
      <c r="M13" s="17"/>
      <c r="N13" s="20" t="b">
        <f>AND('Incontinence Criteria'!B14,'Incontinence Criteria'!C11:C13,'Incontinence Criteria'!C15)</f>
        <v>0</v>
      </c>
      <c r="O13" s="17"/>
      <c r="P13" s="20" t="b">
        <f>AND('Incontinence Criteria'!B16,'Incontinence Criteria'!C17:C20)</f>
        <v>0</v>
      </c>
      <c r="Q13" s="17"/>
      <c r="R13" s="17"/>
      <c r="S13" s="17"/>
      <c r="T13" s="17"/>
      <c r="U13" s="17"/>
      <c r="V13" s="17"/>
      <c r="W13" s="17"/>
      <c r="X13" s="17"/>
      <c r="Y13" s="17"/>
      <c r="Z13" s="17"/>
      <c r="AA13" s="17"/>
      <c r="AB13" s="17"/>
      <c r="AC13" t="b">
        <f>AND((Table31[[#This Row],[Unisex]:[Bariatric (XXXL)]]))</f>
        <v>0</v>
      </c>
      <c r="AD13" s="29" t="s">
        <v>1741</v>
      </c>
    </row>
    <row r="14" spans="1:30">
      <c r="A14" s="70" t="b">
        <f>IF(Table31[[#This Row],[Column8]],Table31[[#This Row],[Column9]])</f>
        <v>0</v>
      </c>
      <c r="B14" s="17"/>
      <c r="C14" s="20" t="b">
        <f>C13</f>
        <v>0</v>
      </c>
      <c r="D14" s="17"/>
      <c r="E14" s="20" t="b">
        <f>E2</f>
        <v>0</v>
      </c>
      <c r="F14" s="17"/>
      <c r="G14" s="17" t="b">
        <f>G2</f>
        <v>1</v>
      </c>
      <c r="H14" s="17" t="b">
        <f>H2</f>
        <v>1</v>
      </c>
      <c r="I14" s="17" t="b">
        <f>I2</f>
        <v>1</v>
      </c>
      <c r="J14" s="17"/>
      <c r="K14" s="17"/>
      <c r="L14" s="17"/>
      <c r="M14" s="17"/>
      <c r="N14" s="20" t="b">
        <f>N13</f>
        <v>0</v>
      </c>
      <c r="O14" s="17"/>
      <c r="P14" s="17"/>
      <c r="Q14" s="20" t="b">
        <f>Q2</f>
        <v>0</v>
      </c>
      <c r="R14" s="17"/>
      <c r="S14" s="17"/>
      <c r="T14" s="17"/>
      <c r="U14" s="17"/>
      <c r="V14" s="17"/>
      <c r="W14" s="17"/>
      <c r="X14" s="17"/>
      <c r="Y14" s="17"/>
      <c r="Z14" s="17"/>
      <c r="AA14" s="17"/>
      <c r="AB14" s="17"/>
      <c r="AC14" t="b">
        <f>AND((Table31[[#This Row],[Unisex]:[Bariatric (XXXL)]]))</f>
        <v>0</v>
      </c>
      <c r="AD14" s="29" t="s">
        <v>1743</v>
      </c>
    </row>
    <row r="15" spans="1:30">
      <c r="A15" s="70" t="b">
        <f>IF(Table31[[#This Row],[Column8]],Table31[[#This Row],[Column9]])</f>
        <v>0</v>
      </c>
      <c r="B15" s="17"/>
      <c r="C15" s="20" t="b">
        <f>C13</f>
        <v>0</v>
      </c>
      <c r="D15" s="17"/>
      <c r="E15" s="20" t="b">
        <f>E2</f>
        <v>0</v>
      </c>
      <c r="F15" s="17"/>
      <c r="G15" s="17" t="b">
        <f>G2</f>
        <v>1</v>
      </c>
      <c r="H15" s="17" t="b">
        <f>H2</f>
        <v>1</v>
      </c>
      <c r="I15" s="17" t="b">
        <f>I2</f>
        <v>1</v>
      </c>
      <c r="J15" s="17"/>
      <c r="K15" s="17"/>
      <c r="L15" s="17"/>
      <c r="M15" s="17"/>
      <c r="N15" s="20" t="b">
        <f>N13</f>
        <v>0</v>
      </c>
      <c r="O15" s="17"/>
      <c r="P15" s="17"/>
      <c r="Q15" s="20" t="b">
        <f>Q2</f>
        <v>0</v>
      </c>
      <c r="R15" s="17"/>
      <c r="S15" s="17"/>
      <c r="T15" s="17"/>
      <c r="U15" s="17"/>
      <c r="V15" s="17"/>
      <c r="W15" s="17"/>
      <c r="X15" s="17"/>
      <c r="Y15" s="17"/>
      <c r="Z15" s="17"/>
      <c r="AA15" s="17"/>
      <c r="AB15" s="17"/>
      <c r="AC15" t="b">
        <f>AND((Table31[[#This Row],[Unisex]:[Bariatric (XXXL)]]))</f>
        <v>0</v>
      </c>
      <c r="AD15" s="29" t="s">
        <v>1744</v>
      </c>
    </row>
    <row r="16" spans="1:30">
      <c r="A16" s="70" t="b">
        <f>IF(Table31[[#This Row],[Column8]],Table31[[#This Row],[Column9]])</f>
        <v>0</v>
      </c>
      <c r="B16" s="17"/>
      <c r="C16" s="20" t="b">
        <f>C13</f>
        <v>0</v>
      </c>
      <c r="D16" s="17"/>
      <c r="E16" s="20" t="b">
        <f>E2</f>
        <v>0</v>
      </c>
      <c r="F16" s="17"/>
      <c r="G16" s="17" t="b">
        <f>G2</f>
        <v>1</v>
      </c>
      <c r="H16" s="17" t="b">
        <f>H2</f>
        <v>1</v>
      </c>
      <c r="I16" s="17" t="b">
        <f>I2</f>
        <v>1</v>
      </c>
      <c r="J16" s="17"/>
      <c r="K16" s="17"/>
      <c r="L16" s="17"/>
      <c r="M16" s="17"/>
      <c r="N16" s="20" t="b">
        <f>N13</f>
        <v>0</v>
      </c>
      <c r="O16" s="17"/>
      <c r="P16" s="17"/>
      <c r="Q16" s="17"/>
      <c r="R16" s="20" t="b">
        <f>R6</f>
        <v>0</v>
      </c>
      <c r="S16" s="17"/>
      <c r="T16" s="17"/>
      <c r="U16" s="17"/>
      <c r="V16" s="17"/>
      <c r="W16" s="17"/>
      <c r="X16" s="17"/>
      <c r="Y16" s="17"/>
      <c r="Z16" s="17"/>
      <c r="AA16" s="17"/>
      <c r="AB16" s="17"/>
      <c r="AC16" t="b">
        <f>AND((Table31[[#This Row],[Unisex]:[Bariatric (XXXL)]]))</f>
        <v>0</v>
      </c>
      <c r="AD16" s="29" t="s">
        <v>1745</v>
      </c>
    </row>
    <row r="17" spans="1:30">
      <c r="A17" s="70" t="b">
        <f>IF(Table31[[#This Row],[Column8]],Table31[[#This Row],[Column9]])</f>
        <v>0</v>
      </c>
      <c r="B17" s="17"/>
      <c r="C17" s="17"/>
      <c r="D17" s="20" t="b">
        <f>D2</f>
        <v>0</v>
      </c>
      <c r="E17" s="17"/>
      <c r="F17" s="20" t="b">
        <f>F7</f>
        <v>0</v>
      </c>
      <c r="G17" s="17" t="b">
        <f>G2</f>
        <v>1</v>
      </c>
      <c r="H17" s="17" t="b">
        <f>H2</f>
        <v>1</v>
      </c>
      <c r="I17" s="17" t="b">
        <f>I2</f>
        <v>1</v>
      </c>
      <c r="J17" s="20" t="b">
        <f>AND('Incontinence Criteria'!B11,'Incontinence Criteria'!C12:C15)</f>
        <v>0</v>
      </c>
      <c r="K17" s="17"/>
      <c r="L17" s="17"/>
      <c r="M17" s="17"/>
      <c r="N17" s="17"/>
      <c r="O17" s="17"/>
      <c r="P17" s="17"/>
      <c r="Q17" s="17"/>
      <c r="R17" s="17"/>
      <c r="S17" s="20" t="b">
        <f>S7</f>
        <v>0</v>
      </c>
      <c r="T17" s="17"/>
      <c r="U17" s="17"/>
      <c r="V17" s="17"/>
      <c r="W17" s="17"/>
      <c r="X17" s="17"/>
      <c r="Y17" s="17"/>
      <c r="Z17" s="17"/>
      <c r="AA17" s="17"/>
      <c r="AB17" s="17"/>
      <c r="AC17" t="b">
        <f>AND((Table31[[#This Row],[Unisex]:[Bariatric (XXXL)]]))</f>
        <v>0</v>
      </c>
      <c r="AD17" s="29" t="s">
        <v>1746</v>
      </c>
    </row>
    <row r="18" spans="1:30">
      <c r="A18" s="70" t="b">
        <f>IF(Table31[[#This Row],[Column8]],Table31[[#This Row],[Column9]])</f>
        <v>0</v>
      </c>
      <c r="B18" s="17"/>
      <c r="C18" s="17"/>
      <c r="D18" s="20" t="b">
        <f>D2</f>
        <v>0</v>
      </c>
      <c r="E18" s="20" t="b">
        <f>E2</f>
        <v>0</v>
      </c>
      <c r="F18" s="17"/>
      <c r="G18" s="17" t="b">
        <f>G2</f>
        <v>1</v>
      </c>
      <c r="H18" s="17" t="b">
        <f>H2</f>
        <v>1</v>
      </c>
      <c r="I18" s="17" t="b">
        <f>I2</f>
        <v>1</v>
      </c>
      <c r="J18" s="20" t="b">
        <f>J17</f>
        <v>0</v>
      </c>
      <c r="K18" s="17"/>
      <c r="L18" s="17"/>
      <c r="M18" s="17"/>
      <c r="N18" s="17"/>
      <c r="O18" s="17"/>
      <c r="P18" s="17"/>
      <c r="Q18" s="17"/>
      <c r="R18" s="17"/>
      <c r="S18" s="20" t="b">
        <f>S7</f>
        <v>0</v>
      </c>
      <c r="T18" s="17"/>
      <c r="U18" s="17"/>
      <c r="V18" s="17"/>
      <c r="W18" s="17"/>
      <c r="X18" s="17"/>
      <c r="Y18" s="17"/>
      <c r="Z18" s="17"/>
      <c r="AA18" s="17"/>
      <c r="AB18" s="17"/>
      <c r="AC18" t="b">
        <f>AND((Table31[[#This Row],[Unisex]:[Bariatric (XXXL)]]))</f>
        <v>0</v>
      </c>
      <c r="AD18" s="29" t="s">
        <v>1747</v>
      </c>
    </row>
    <row r="19" spans="1:30">
      <c r="A19" s="70" t="b">
        <f>IF(Table31[[#This Row],[Column8]],Table31[[#This Row],[Column9]])</f>
        <v>0</v>
      </c>
      <c r="B19" s="17"/>
      <c r="C19" s="17"/>
      <c r="D19" s="20" t="b">
        <f>D2</f>
        <v>0</v>
      </c>
      <c r="E19" s="20" t="b">
        <f>E2</f>
        <v>0</v>
      </c>
      <c r="F19" s="17"/>
      <c r="G19" s="17" t="b">
        <f>G2</f>
        <v>1</v>
      </c>
      <c r="H19" s="17" t="b">
        <f>H2</f>
        <v>1</v>
      </c>
      <c r="I19" s="20" t="b">
        <f>I12</f>
        <v>1</v>
      </c>
      <c r="J19" s="20" t="b">
        <f>J17</f>
        <v>0</v>
      </c>
      <c r="K19" s="17"/>
      <c r="L19" s="17"/>
      <c r="M19" s="17"/>
      <c r="N19" s="17"/>
      <c r="O19" s="17"/>
      <c r="P19" s="17"/>
      <c r="Q19" s="20" t="b">
        <f>Q2</f>
        <v>0</v>
      </c>
      <c r="R19" s="17"/>
      <c r="S19" s="17"/>
      <c r="T19" s="17"/>
      <c r="U19" s="17"/>
      <c r="V19" s="17"/>
      <c r="W19" s="17"/>
      <c r="X19" s="17"/>
      <c r="Y19" s="17"/>
      <c r="Z19" s="17"/>
      <c r="AA19" s="17"/>
      <c r="AB19" s="17"/>
      <c r="AC19" t="b">
        <f>AND((Table31[[#This Row],[Unisex]:[Bariatric (XXXL)]]))</f>
        <v>0</v>
      </c>
      <c r="AD19" s="29" t="s">
        <v>1748</v>
      </c>
    </row>
    <row r="20" spans="1:30">
      <c r="A20" s="70" t="b">
        <f>IF(Table31[[#This Row],[Column8]],Table31[[#This Row],[Column9]])</f>
        <v>0</v>
      </c>
      <c r="B20" s="17"/>
      <c r="C20" s="17"/>
      <c r="D20" s="20" t="b">
        <f>D2</f>
        <v>0</v>
      </c>
      <c r="E20" s="20" t="b">
        <f>E2</f>
        <v>0</v>
      </c>
      <c r="F20" s="17"/>
      <c r="G20" s="17" t="b">
        <f>G2</f>
        <v>1</v>
      </c>
      <c r="H20" s="17" t="b">
        <f>H2</f>
        <v>1</v>
      </c>
      <c r="I20" s="17" t="b">
        <f>I2</f>
        <v>1</v>
      </c>
      <c r="J20" s="20" t="b">
        <f>J17</f>
        <v>0</v>
      </c>
      <c r="K20" s="17"/>
      <c r="L20" s="17"/>
      <c r="M20" s="17"/>
      <c r="N20" s="17"/>
      <c r="O20" s="17"/>
      <c r="P20" s="17"/>
      <c r="Q20" s="17"/>
      <c r="R20" s="20" t="b">
        <f>R6</f>
        <v>0</v>
      </c>
      <c r="S20" s="17"/>
      <c r="T20" s="17"/>
      <c r="U20" s="17"/>
      <c r="V20" s="17"/>
      <c r="W20" s="17"/>
      <c r="X20" s="17"/>
      <c r="Y20" s="17"/>
      <c r="Z20" s="17"/>
      <c r="AA20" s="17"/>
      <c r="AB20" s="17"/>
      <c r="AC20" t="b">
        <f>AND((Table31[[#This Row],[Unisex]:[Bariatric (XXXL)]]))</f>
        <v>0</v>
      </c>
      <c r="AD20" s="29" t="s">
        <v>1749</v>
      </c>
    </row>
    <row r="21" spans="1:30">
      <c r="A21" s="70" t="b">
        <f>IF(Table31[[#This Row],[Column8]],Table31[[#This Row],[Column9]])</f>
        <v>0</v>
      </c>
      <c r="B21" s="17"/>
      <c r="C21" s="17"/>
      <c r="D21" s="20" t="b">
        <f>D2</f>
        <v>0</v>
      </c>
      <c r="E21" s="20" t="b">
        <f>E2</f>
        <v>0</v>
      </c>
      <c r="F21" s="17"/>
      <c r="G21" s="17" t="b">
        <f>G2</f>
        <v>1</v>
      </c>
      <c r="H21" s="17" t="b">
        <f>H2</f>
        <v>1</v>
      </c>
      <c r="I21" s="17" t="b">
        <f>I2</f>
        <v>1</v>
      </c>
      <c r="J21" s="20" t="b">
        <f>J17</f>
        <v>0</v>
      </c>
      <c r="K21" s="17"/>
      <c r="L21" s="17"/>
      <c r="M21" s="17"/>
      <c r="N21" s="17"/>
      <c r="O21" s="17"/>
      <c r="P21" s="17"/>
      <c r="Q21" s="17"/>
      <c r="R21" s="20" t="b">
        <f>R6</f>
        <v>0</v>
      </c>
      <c r="S21" s="17"/>
      <c r="T21" s="17"/>
      <c r="U21" s="17"/>
      <c r="V21" s="17"/>
      <c r="W21" s="17"/>
      <c r="X21" s="17"/>
      <c r="Y21" s="17"/>
      <c r="Z21" s="17"/>
      <c r="AA21" s="17"/>
      <c r="AB21" s="17"/>
      <c r="AC21" t="b">
        <f>AND((Table31[[#This Row],[Unisex]:[Bariatric (XXXL)]]))</f>
        <v>0</v>
      </c>
      <c r="AD21" s="29" t="s">
        <v>1750</v>
      </c>
    </row>
    <row r="22" spans="1:30">
      <c r="A22" s="70" t="b">
        <f>IF(Table31[[#This Row],[Column8]],Table31[[#This Row],[Column9]])</f>
        <v>0</v>
      </c>
      <c r="B22" s="17"/>
      <c r="C22" s="20" t="b">
        <f>C13</f>
        <v>0</v>
      </c>
      <c r="D22" s="17"/>
      <c r="E22" s="20" t="b">
        <f>E2</f>
        <v>0</v>
      </c>
      <c r="F22" s="17"/>
      <c r="G22" s="17" t="b">
        <f>G2</f>
        <v>1</v>
      </c>
      <c r="H22" s="17" t="b">
        <f>H2</f>
        <v>1</v>
      </c>
      <c r="I22" s="17" t="b">
        <f>I2</f>
        <v>1</v>
      </c>
      <c r="J22" s="20" t="b">
        <f>J17</f>
        <v>0</v>
      </c>
      <c r="K22" s="17"/>
      <c r="L22" s="17"/>
      <c r="M22" s="17"/>
      <c r="N22" s="17"/>
      <c r="O22" s="17"/>
      <c r="P22" s="17"/>
      <c r="Q22" s="17"/>
      <c r="R22" s="17"/>
      <c r="S22" s="20" t="b">
        <f>S7</f>
        <v>0</v>
      </c>
      <c r="T22" s="17"/>
      <c r="U22" s="17"/>
      <c r="V22" s="17"/>
      <c r="W22" s="17"/>
      <c r="X22" s="17"/>
      <c r="Y22" s="17"/>
      <c r="Z22" s="17"/>
      <c r="AA22" s="17"/>
      <c r="AB22" s="17"/>
      <c r="AC22" t="b">
        <f>AND((Table31[[#This Row],[Unisex]:[Bariatric (XXXL)]]))</f>
        <v>0</v>
      </c>
      <c r="AD22" s="29" t="s">
        <v>1747</v>
      </c>
    </row>
    <row r="23" spans="1:30">
      <c r="A23" s="70" t="b">
        <f>IF(Table31[[#This Row],[Column8]],Table31[[#This Row],[Column9]])</f>
        <v>0</v>
      </c>
      <c r="B23" s="17"/>
      <c r="C23" s="20" t="b">
        <f>C13</f>
        <v>0</v>
      </c>
      <c r="D23" s="17"/>
      <c r="E23" s="20" t="b">
        <f>E2</f>
        <v>0</v>
      </c>
      <c r="F23" s="17"/>
      <c r="G23" s="17" t="b">
        <f>G2</f>
        <v>1</v>
      </c>
      <c r="H23" s="17" t="b">
        <f>H2</f>
        <v>1</v>
      </c>
      <c r="I23" s="17" t="b">
        <f>I2</f>
        <v>1</v>
      </c>
      <c r="J23" s="20" t="b">
        <f>J17</f>
        <v>0</v>
      </c>
      <c r="K23" s="17"/>
      <c r="L23" s="17"/>
      <c r="M23" s="17"/>
      <c r="N23" s="17"/>
      <c r="O23" s="17"/>
      <c r="P23" s="17"/>
      <c r="Q23" s="17"/>
      <c r="R23" s="20" t="b">
        <f>R6</f>
        <v>0</v>
      </c>
      <c r="S23" s="17"/>
      <c r="T23" s="17"/>
      <c r="U23" s="17"/>
      <c r="V23" s="17"/>
      <c r="W23" s="17"/>
      <c r="X23" s="17"/>
      <c r="Y23" s="17"/>
      <c r="Z23" s="17"/>
      <c r="AA23" s="17"/>
      <c r="AB23" s="17"/>
      <c r="AC23" t="b">
        <f>AND((Table31[[#This Row],[Unisex]:[Bariatric (XXXL)]]))</f>
        <v>0</v>
      </c>
      <c r="AD23" s="29" t="s">
        <v>1751</v>
      </c>
    </row>
    <row r="24" spans="1:30">
      <c r="A24" s="70" t="b">
        <f>IF(Table31[[#This Row],[Column8]],Table31[[#This Row],[Column9]])</f>
        <v>0</v>
      </c>
      <c r="B24" s="17"/>
      <c r="C24" s="20" t="b">
        <f>C13</f>
        <v>0</v>
      </c>
      <c r="D24" s="17"/>
      <c r="E24" s="20" t="b">
        <f>E2</f>
        <v>0</v>
      </c>
      <c r="F24" s="17"/>
      <c r="G24" s="17" t="b">
        <f>G2</f>
        <v>1</v>
      </c>
      <c r="H24" s="17" t="b">
        <f>H2</f>
        <v>1</v>
      </c>
      <c r="I24" s="17" t="b">
        <f>I2</f>
        <v>1</v>
      </c>
      <c r="J24" s="20" t="b">
        <f>J17</f>
        <v>0</v>
      </c>
      <c r="K24" s="17"/>
      <c r="L24" s="17"/>
      <c r="M24" s="17"/>
      <c r="N24" s="17"/>
      <c r="O24" s="17"/>
      <c r="P24" s="17"/>
      <c r="Q24" s="17"/>
      <c r="R24" s="20" t="b">
        <f>R6</f>
        <v>0</v>
      </c>
      <c r="S24" s="17"/>
      <c r="T24" s="17"/>
      <c r="U24" s="17"/>
      <c r="V24" s="17"/>
      <c r="W24" s="17"/>
      <c r="X24" s="17"/>
      <c r="Y24" s="17"/>
      <c r="Z24" s="17"/>
      <c r="AA24" s="17"/>
      <c r="AB24" s="17"/>
      <c r="AC24" t="b">
        <f>AND((Table31[[#This Row],[Unisex]:[Bariatric (XXXL)]]))</f>
        <v>0</v>
      </c>
      <c r="AD24" s="29" t="s">
        <v>1752</v>
      </c>
    </row>
    <row r="25" spans="1:30">
      <c r="A25" s="70" t="b">
        <f>IF(Table31[[#This Row],[Column8]],Table31[[#This Row],[Column9]])</f>
        <v>0</v>
      </c>
      <c r="B25" s="20" t="b">
        <f>AND('Incontinence Criteria'!B5,'Incontinence Criteria'!C3:C4)</f>
        <v>0</v>
      </c>
      <c r="C25" s="17"/>
      <c r="D25" s="17"/>
      <c r="E25" s="20" t="b">
        <f>E2</f>
        <v>0</v>
      </c>
      <c r="F25" s="17"/>
      <c r="G25" s="17" t="b">
        <f>G2</f>
        <v>1</v>
      </c>
      <c r="H25" s="17" t="b">
        <f>H2</f>
        <v>1</v>
      </c>
      <c r="I25" s="17" t="b">
        <f>I2</f>
        <v>1</v>
      </c>
      <c r="J25" s="17"/>
      <c r="K25" s="17"/>
      <c r="L25" s="17"/>
      <c r="M25" s="17"/>
      <c r="N25" s="17"/>
      <c r="O25" s="20" t="b">
        <f>AND('Incontinence Criteria'!B15,'Incontinence Criteria'!C11:C14)</f>
        <v>0</v>
      </c>
      <c r="P25" s="17"/>
      <c r="Q25" s="17"/>
      <c r="R25" s="17"/>
      <c r="S25" s="20" t="b">
        <f>S7</f>
        <v>0</v>
      </c>
      <c r="T25" s="17"/>
      <c r="U25" s="17"/>
      <c r="V25" s="17"/>
      <c r="W25" s="17"/>
      <c r="X25" s="20" t="b">
        <f>AND('Incontinence Criteria'!B24)</f>
        <v>0</v>
      </c>
      <c r="Y25" s="20" t="b">
        <f>AND('Incontinence Criteria'!B25)</f>
        <v>0</v>
      </c>
      <c r="Z25" s="20" t="b">
        <f>AND('Incontinence Criteria'!B26)</f>
        <v>0</v>
      </c>
      <c r="AA25" s="20" t="b">
        <f>AND('Incontinence Criteria'!B27)</f>
        <v>0</v>
      </c>
      <c r="AB25" s="17"/>
      <c r="AC25" s="106" t="b">
        <f>AND((Table31[[#This Row],[Unisex]:[Regular]]),OR(Table31[[#This Row],[Small]:[Bariatric (XXXL)]]))</f>
        <v>0</v>
      </c>
      <c r="AD25" s="29" t="s">
        <v>1753</v>
      </c>
    </row>
    <row r="26" spans="1:30">
      <c r="A26" s="70" t="b">
        <f>IF(Table31[[#This Row],[Column8]],Table31[[#This Row],[Column9]])</f>
        <v>0</v>
      </c>
      <c r="B26" s="20" t="b">
        <f>B25</f>
        <v>0</v>
      </c>
      <c r="C26" s="17"/>
      <c r="D26" s="17"/>
      <c r="E26" s="17"/>
      <c r="F26" s="20" t="b">
        <f>F7</f>
        <v>0</v>
      </c>
      <c r="G26" s="17" t="b">
        <f>G2</f>
        <v>1</v>
      </c>
      <c r="H26" s="17" t="b">
        <f>H2</f>
        <v>1</v>
      </c>
      <c r="I26" s="17" t="b">
        <f>I2</f>
        <v>1</v>
      </c>
      <c r="J26" s="17"/>
      <c r="K26" s="17"/>
      <c r="L26" s="17"/>
      <c r="M26" s="17"/>
      <c r="N26" s="17"/>
      <c r="O26" s="20" t="b">
        <f>O25</f>
        <v>0</v>
      </c>
      <c r="P26" s="17"/>
      <c r="Q26" s="17"/>
      <c r="R26" s="17"/>
      <c r="S26" s="17"/>
      <c r="T26" s="20" t="b">
        <f>AND('Incontinence Criteria'!B20,'Incontinence Criteria'!C16:C19)</f>
        <v>0</v>
      </c>
      <c r="U26" s="17"/>
      <c r="V26" s="17"/>
      <c r="W26" s="17"/>
      <c r="X26" s="20" t="b">
        <f>X25</f>
        <v>0</v>
      </c>
      <c r="Y26" s="20" t="b">
        <f>Y25</f>
        <v>0</v>
      </c>
      <c r="Z26" s="20" t="b">
        <f>Z25</f>
        <v>0</v>
      </c>
      <c r="AA26" s="17"/>
      <c r="AB26" s="17"/>
      <c r="AC26" s="106" t="b">
        <f>AND((Table31[[#This Row],[Unisex]:[Regular]]),OR(Table31[[#This Row],[Small]:[Bariatric (XXXL)]]))</f>
        <v>0</v>
      </c>
      <c r="AD26" s="29" t="s">
        <v>1757</v>
      </c>
    </row>
    <row r="27" spans="1:30">
      <c r="A27" s="70" t="b">
        <f>IF(Table31[[#This Row],[Column8]],Table31[[#This Row],[Column9]])</f>
        <v>0</v>
      </c>
      <c r="B27" s="20" t="b">
        <f>B25</f>
        <v>0</v>
      </c>
      <c r="C27" s="17"/>
      <c r="D27" s="17"/>
      <c r="E27" s="20" t="b">
        <f>E2</f>
        <v>0</v>
      </c>
      <c r="F27" s="17"/>
      <c r="G27" s="17" t="b">
        <f>G2</f>
        <v>1</v>
      </c>
      <c r="H27" s="17" t="b">
        <f>H2</f>
        <v>1</v>
      </c>
      <c r="I27" s="17" t="b">
        <f>I2</f>
        <v>1</v>
      </c>
      <c r="J27" s="17"/>
      <c r="K27" s="17"/>
      <c r="L27" s="17"/>
      <c r="M27" s="17"/>
      <c r="N27" s="17"/>
      <c r="O27" s="20" t="b">
        <f>O25</f>
        <v>0</v>
      </c>
      <c r="P27" s="17"/>
      <c r="Q27" s="17"/>
      <c r="R27" s="17"/>
      <c r="S27" s="20" t="b">
        <f>S7</f>
        <v>0</v>
      </c>
      <c r="T27" s="17"/>
      <c r="U27" s="17"/>
      <c r="V27" s="17"/>
      <c r="W27" s="20" t="b">
        <f>AND('Incontinence Criteria'!B23)</f>
        <v>0</v>
      </c>
      <c r="X27" s="17"/>
      <c r="Y27" s="17"/>
      <c r="Z27" s="17"/>
      <c r="AA27" s="17"/>
      <c r="AB27" s="17"/>
      <c r="AC27" s="106" t="b">
        <f>AND((Table31[[#This Row],[Unisex]:[Regular]]),OR(Table31[[#This Row],[Small]:[Bariatric (XXXL)]]))</f>
        <v>0</v>
      </c>
      <c r="AD27" s="29" t="s">
        <v>1758</v>
      </c>
    </row>
    <row r="28" spans="1:30">
      <c r="A28" s="70" t="b">
        <f>IF(Table31[[#This Row],[Column8]],Table31[[#This Row],[Column9]])</f>
        <v>0</v>
      </c>
      <c r="B28" s="20" t="b">
        <f>B25</f>
        <v>0</v>
      </c>
      <c r="C28" s="17"/>
      <c r="D28" s="17"/>
      <c r="E28" s="20" t="b">
        <f>E2</f>
        <v>0</v>
      </c>
      <c r="F28" s="17"/>
      <c r="G28" s="17" t="b">
        <f>G2</f>
        <v>1</v>
      </c>
      <c r="H28" s="17" t="b">
        <f>H2</f>
        <v>1</v>
      </c>
      <c r="I28" s="17" t="b">
        <f>I2</f>
        <v>1</v>
      </c>
      <c r="J28" s="17"/>
      <c r="K28" s="17"/>
      <c r="L28" s="17"/>
      <c r="M28" s="17"/>
      <c r="N28" s="17"/>
      <c r="O28" s="20" t="b">
        <f>O25</f>
        <v>0</v>
      </c>
      <c r="P28" s="17"/>
      <c r="Q28" s="17"/>
      <c r="R28" s="17"/>
      <c r="S28" s="17"/>
      <c r="T28" s="17"/>
      <c r="U28" s="17"/>
      <c r="V28" s="17"/>
      <c r="W28" s="17"/>
      <c r="X28" s="20" t="b">
        <f>X25</f>
        <v>0</v>
      </c>
      <c r="Y28" s="20" t="b">
        <f>Y25</f>
        <v>0</v>
      </c>
      <c r="Z28" s="17"/>
      <c r="AA28" s="17"/>
      <c r="AB28" s="17"/>
      <c r="AC28" s="106" t="b">
        <f>AND((Table31[[#This Row],[Unisex]:[Regular]]),OR(Table31[[#This Row],[Small]:[Bariatric (XXXL)]]))</f>
        <v>0</v>
      </c>
      <c r="AD28" s="29" t="s">
        <v>1759</v>
      </c>
    </row>
    <row r="29" spans="1:30">
      <c r="A29" s="70" t="b">
        <f>IF(Table31[[#This Row],[Column8]],Table31[[#This Row],[Column9]])</f>
        <v>0</v>
      </c>
      <c r="B29" s="20" t="b">
        <f>B25</f>
        <v>0</v>
      </c>
      <c r="C29" s="17"/>
      <c r="D29" s="17"/>
      <c r="E29" s="20" t="b">
        <f>E2</f>
        <v>0</v>
      </c>
      <c r="F29" s="17"/>
      <c r="G29" s="17" t="b">
        <f>G2</f>
        <v>1</v>
      </c>
      <c r="H29" s="17" t="b">
        <f>H2</f>
        <v>1</v>
      </c>
      <c r="I29" s="17" t="b">
        <f>I2</f>
        <v>1</v>
      </c>
      <c r="J29" s="17"/>
      <c r="K29" s="17"/>
      <c r="L29" s="17"/>
      <c r="M29" s="17"/>
      <c r="N29" s="17"/>
      <c r="O29" s="20" t="b">
        <f>O25</f>
        <v>0</v>
      </c>
      <c r="P29" s="17"/>
      <c r="Q29" s="17"/>
      <c r="R29" s="17"/>
      <c r="S29" s="17"/>
      <c r="T29" s="20" t="b">
        <f>T26</f>
        <v>0</v>
      </c>
      <c r="U29" s="17"/>
      <c r="V29" s="17"/>
      <c r="W29" s="17"/>
      <c r="X29" s="20" t="b">
        <f>X25</f>
        <v>0</v>
      </c>
      <c r="Y29" s="20" t="b">
        <f>Y25</f>
        <v>0</v>
      </c>
      <c r="Z29" s="20" t="b">
        <f>Z25</f>
        <v>0</v>
      </c>
      <c r="AA29" s="17"/>
      <c r="AB29" s="17"/>
      <c r="AC29" s="106" t="b">
        <f>AND((Table31[[#This Row],[Unisex]:[Regular]]),OR(Table31[[#This Row],[Small]:[Bariatric (XXXL)]]))</f>
        <v>0</v>
      </c>
      <c r="AD29" s="29" t="s">
        <v>1760</v>
      </c>
    </row>
    <row r="30" spans="1:30">
      <c r="A30" s="70" t="b">
        <f>IF(Table31[[#This Row],[Column8]],Table31[[#This Row],[Column9]])</f>
        <v>0</v>
      </c>
      <c r="B30" s="20" t="b">
        <f>B25</f>
        <v>0</v>
      </c>
      <c r="C30" s="17"/>
      <c r="D30" s="17"/>
      <c r="E30" s="20" t="b">
        <f>E2</f>
        <v>0</v>
      </c>
      <c r="F30" s="17"/>
      <c r="G30" s="17" t="b">
        <f>G2</f>
        <v>1</v>
      </c>
      <c r="H30" s="17" t="b">
        <f>H2</f>
        <v>1</v>
      </c>
      <c r="I30" s="17" t="b">
        <f>I2</f>
        <v>1</v>
      </c>
      <c r="J30" s="17"/>
      <c r="K30" s="17"/>
      <c r="L30" s="17"/>
      <c r="M30" s="17"/>
      <c r="N30" s="17"/>
      <c r="O30" s="20" t="b">
        <f>O25</f>
        <v>0</v>
      </c>
      <c r="P30" s="17"/>
      <c r="Q30" s="17"/>
      <c r="R30" s="17"/>
      <c r="S30" s="20" t="b">
        <f>S7</f>
        <v>0</v>
      </c>
      <c r="T30" s="17"/>
      <c r="U30" s="17"/>
      <c r="V30" s="17"/>
      <c r="W30" s="17"/>
      <c r="X30" s="17"/>
      <c r="Y30" s="17"/>
      <c r="Z30" s="17"/>
      <c r="AA30" s="17"/>
      <c r="AB30" s="20" t="b">
        <f>AND('Incontinence Criteria'!B28)</f>
        <v>0</v>
      </c>
      <c r="AC30" s="106" t="b">
        <f>AND((Table31[[#This Row],[Unisex]:[Regular]]),OR(Table31[[#This Row],[Small]:[Bariatric (XXXL)]]))</f>
        <v>0</v>
      </c>
      <c r="AD30" s="29" t="s">
        <v>1761</v>
      </c>
    </row>
    <row r="31" spans="1:30">
      <c r="A31" s="70" t="b">
        <f>IF(Table31[[#This Row],[Column8]],Table31[[#This Row],[Column9]])</f>
        <v>0</v>
      </c>
      <c r="B31" s="20" t="b">
        <f>B25</f>
        <v>0</v>
      </c>
      <c r="C31" s="17"/>
      <c r="D31" s="17"/>
      <c r="E31" s="17"/>
      <c r="F31" s="20" t="b">
        <f>F7</f>
        <v>0</v>
      </c>
      <c r="G31" s="17" t="b">
        <f>G2</f>
        <v>1</v>
      </c>
      <c r="H31" s="17" t="b">
        <f>H2</f>
        <v>1</v>
      </c>
      <c r="I31" s="17" t="b">
        <f>I2</f>
        <v>1</v>
      </c>
      <c r="J31" s="17"/>
      <c r="K31" s="17"/>
      <c r="L31" s="17"/>
      <c r="M31" s="17"/>
      <c r="N31" s="17"/>
      <c r="O31" s="20" t="b">
        <f>O25</f>
        <v>0</v>
      </c>
      <c r="P31" s="17"/>
      <c r="Q31" s="17"/>
      <c r="R31" s="17"/>
      <c r="S31" s="17"/>
      <c r="T31" s="20" t="b">
        <f>T26</f>
        <v>0</v>
      </c>
      <c r="U31" s="17"/>
      <c r="V31" s="17"/>
      <c r="W31" s="17"/>
      <c r="X31" s="20" t="b">
        <f>X25</f>
        <v>0</v>
      </c>
      <c r="Y31" s="20" t="b">
        <f>Y25</f>
        <v>0</v>
      </c>
      <c r="Z31" s="20" t="b">
        <f>Z25</f>
        <v>0</v>
      </c>
      <c r="AA31" s="17"/>
      <c r="AB31" s="17"/>
      <c r="AC31" s="106" t="b">
        <f>AND((Table31[[#This Row],[Unisex]:[Regular]]),OR(Table31[[#This Row],[Small]:[Bariatric (XXXL)]]))</f>
        <v>0</v>
      </c>
      <c r="AD31" s="29" t="s">
        <v>1763</v>
      </c>
    </row>
    <row r="32" spans="1:30">
      <c r="A32" s="18" t="b">
        <f>IF(Table31[[#This Row],[Column8]],Table31[[#This Row],[Column9]])</f>
        <v>0</v>
      </c>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90"/>
    </row>
    <row r="33" spans="1:30">
      <c r="A33" s="70" t="b">
        <f>IF(Table31[[#This Row],[Column8]],Table31[[#This Row],[Column9]])</f>
        <v>0</v>
      </c>
      <c r="B33" s="17"/>
      <c r="C33" s="17"/>
      <c r="D33" s="20" t="b">
        <f>D2</f>
        <v>0</v>
      </c>
      <c r="E33" s="20" t="b">
        <f>E2</f>
        <v>0</v>
      </c>
      <c r="F33" s="17"/>
      <c r="G33" s="17" t="b">
        <f>G2</f>
        <v>1</v>
      </c>
      <c r="H33" s="20" t="b">
        <f>OR('Incontinence Criteria'!B9:C9)</f>
        <v>1</v>
      </c>
      <c r="I33" s="17" t="b">
        <f>I2</f>
        <v>1</v>
      </c>
      <c r="J33" s="20" t="b">
        <f>J17</f>
        <v>0</v>
      </c>
      <c r="K33" s="17"/>
      <c r="L33" s="17"/>
      <c r="M33" s="17"/>
      <c r="N33" s="17"/>
      <c r="O33" s="17"/>
      <c r="P33" s="17"/>
      <c r="Q33" s="17"/>
      <c r="R33" s="17"/>
      <c r="S33" s="20" t="b">
        <f>S7</f>
        <v>0</v>
      </c>
      <c r="T33" s="17"/>
      <c r="U33" s="17"/>
      <c r="V33" s="17"/>
      <c r="W33" s="20" t="b">
        <f>W27</f>
        <v>0</v>
      </c>
      <c r="X33" s="20" t="b">
        <f>X25</f>
        <v>0</v>
      </c>
      <c r="Y33" s="20" t="b">
        <f>Y25</f>
        <v>0</v>
      </c>
      <c r="Z33" s="20" t="b">
        <f>Z25</f>
        <v>0</v>
      </c>
      <c r="AA33" s="17"/>
      <c r="AB33" s="17"/>
      <c r="AC33" s="106" t="b">
        <f>AND((Table31[[#This Row],[Unisex]:[Regular]]),OR(Table31[[#This Row],[Small]:[Bariatric (XXXL)]]))</f>
        <v>0</v>
      </c>
      <c r="AD33" s="29" t="s">
        <v>1764</v>
      </c>
    </row>
    <row r="34" spans="1:30">
      <c r="A34" s="70" t="b">
        <f>IF(Table31[[#This Row],[Column8]],Table31[[#This Row],[Column9]])</f>
        <v>0</v>
      </c>
      <c r="B34" s="17"/>
      <c r="C34" s="17"/>
      <c r="D34" s="20" t="b">
        <f>D2</f>
        <v>0</v>
      </c>
      <c r="E34" s="20" t="b">
        <f>E2</f>
        <v>0</v>
      </c>
      <c r="F34" s="17"/>
      <c r="G34" s="17" t="b">
        <f>G2</f>
        <v>1</v>
      </c>
      <c r="H34" s="17" t="b">
        <f>H2</f>
        <v>1</v>
      </c>
      <c r="I34" s="17" t="b">
        <f>I2</f>
        <v>1</v>
      </c>
      <c r="J34" s="20" t="b">
        <f>J17</f>
        <v>0</v>
      </c>
      <c r="K34" s="17"/>
      <c r="L34" s="17"/>
      <c r="M34" s="17"/>
      <c r="N34" s="17"/>
      <c r="O34" s="17"/>
      <c r="P34" s="17"/>
      <c r="Q34" s="17"/>
      <c r="R34" s="17"/>
      <c r="S34" s="20" t="b">
        <f>S7</f>
        <v>0</v>
      </c>
      <c r="T34" s="17"/>
      <c r="U34" s="17"/>
      <c r="V34" s="17"/>
      <c r="W34" s="20" t="b">
        <f>W27</f>
        <v>0</v>
      </c>
      <c r="X34" s="20" t="b">
        <f>X25</f>
        <v>0</v>
      </c>
      <c r="Y34" s="20" t="b">
        <f>Y25</f>
        <v>0</v>
      </c>
      <c r="Z34" s="20" t="b">
        <f>Z25</f>
        <v>0</v>
      </c>
      <c r="AA34" s="17"/>
      <c r="AB34" s="17"/>
      <c r="AC34" s="106" t="b">
        <f>AND((Table31[[#This Row],[Unisex]:[Regular]]),OR(Table31[[#This Row],[Small]:[Bariatric (XXXL)]]))</f>
        <v>0</v>
      </c>
      <c r="AD34" s="29" t="s">
        <v>1765</v>
      </c>
    </row>
    <row r="35" spans="1:30">
      <c r="A35" s="70" t="b">
        <f>IF(Table31[[#This Row],[Column8]],Table31[[#This Row],[Column9]])</f>
        <v>0</v>
      </c>
      <c r="B35" s="17"/>
      <c r="C35" s="17"/>
      <c r="D35" s="20" t="b">
        <f>D2</f>
        <v>0</v>
      </c>
      <c r="E35" s="20" t="b">
        <f>E2</f>
        <v>0</v>
      </c>
      <c r="F35" s="17"/>
      <c r="G35" s="17" t="b">
        <f>G2</f>
        <v>1</v>
      </c>
      <c r="H35" s="17" t="b">
        <f>H2</f>
        <v>1</v>
      </c>
      <c r="I35" s="17" t="b">
        <f>I2</f>
        <v>1</v>
      </c>
      <c r="J35" s="20" t="b">
        <f>J17</f>
        <v>0</v>
      </c>
      <c r="K35" s="17"/>
      <c r="L35" s="17"/>
      <c r="M35" s="17"/>
      <c r="N35" s="17"/>
      <c r="O35" s="17"/>
      <c r="P35" s="17"/>
      <c r="Q35" s="17"/>
      <c r="R35" s="17"/>
      <c r="S35" s="20" t="b">
        <f>S7</f>
        <v>0</v>
      </c>
      <c r="T35" s="17"/>
      <c r="U35" s="17"/>
      <c r="V35" s="17"/>
      <c r="W35" s="20" t="b">
        <f>W27</f>
        <v>0</v>
      </c>
      <c r="X35" s="20" t="b">
        <f>X25</f>
        <v>0</v>
      </c>
      <c r="Y35" s="20" t="b">
        <f>Y25</f>
        <v>0</v>
      </c>
      <c r="Z35" s="20" t="b">
        <f>Z25</f>
        <v>0</v>
      </c>
      <c r="AA35" s="17"/>
      <c r="AB35" s="17"/>
      <c r="AC35" s="106" t="b">
        <f>AND((Table31[[#This Row],[Unisex]:[Regular]]),OR(Table31[[#This Row],[Small]:[Bariatric (XXXL)]]))</f>
        <v>0</v>
      </c>
      <c r="AD35" s="29" t="s">
        <v>1766</v>
      </c>
    </row>
    <row r="36" spans="1:30">
      <c r="A36" s="70" t="b">
        <f>IF(Table31[[#This Row],[Column8]],Table31[[#This Row],[Column9]])</f>
        <v>0</v>
      </c>
      <c r="B36" s="17"/>
      <c r="C36" s="17"/>
      <c r="D36" s="20" t="b">
        <f>D2</f>
        <v>0</v>
      </c>
      <c r="E36" s="17"/>
      <c r="F36" s="20" t="b">
        <f>F7</f>
        <v>0</v>
      </c>
      <c r="G36" s="17" t="b">
        <f>G2</f>
        <v>1</v>
      </c>
      <c r="H36" s="17" t="b">
        <f>H2</f>
        <v>1</v>
      </c>
      <c r="I36" s="17" t="b">
        <f>I2</f>
        <v>1</v>
      </c>
      <c r="J36" s="20" t="b">
        <f>J17</f>
        <v>0</v>
      </c>
      <c r="K36" s="17"/>
      <c r="L36" s="17"/>
      <c r="M36" s="17"/>
      <c r="N36" s="17"/>
      <c r="O36" s="17"/>
      <c r="P36" s="17"/>
      <c r="Q36" s="17"/>
      <c r="R36" s="17"/>
      <c r="S36" s="20" t="b">
        <f>S7</f>
        <v>0</v>
      </c>
      <c r="T36" s="17"/>
      <c r="U36" s="17"/>
      <c r="V36" s="17"/>
      <c r="W36" s="20" t="b">
        <f>W27</f>
        <v>0</v>
      </c>
      <c r="X36" s="20" t="b">
        <f>X25</f>
        <v>0</v>
      </c>
      <c r="Y36" s="20" t="b">
        <f>Y25</f>
        <v>0</v>
      </c>
      <c r="Z36" s="20" t="b">
        <f>Z25</f>
        <v>0</v>
      </c>
      <c r="AA36" s="17"/>
      <c r="AB36" s="17"/>
      <c r="AC36" s="106" t="b">
        <f>AND((Table31[[#This Row],[Unisex]:[Regular]]),OR(Table31[[#This Row],[Small]:[Bariatric (XXXL)]]))</f>
        <v>0</v>
      </c>
      <c r="AD36" s="29" t="s">
        <v>1767</v>
      </c>
    </row>
    <row r="37" spans="1:30">
      <c r="A37" s="70" t="b">
        <f>IF(Table31[[#This Row],[Column8]],Table31[[#This Row],[Column9]])</f>
        <v>0</v>
      </c>
      <c r="B37" s="17"/>
      <c r="C37" s="20" t="b">
        <f>C13</f>
        <v>0</v>
      </c>
      <c r="D37" s="17"/>
      <c r="E37" s="20" t="b">
        <f>E2</f>
        <v>0</v>
      </c>
      <c r="F37" s="17"/>
      <c r="G37" s="17" t="b">
        <f>G2</f>
        <v>1</v>
      </c>
      <c r="H37" s="17" t="b">
        <f>H2</f>
        <v>1</v>
      </c>
      <c r="I37" s="17" t="b">
        <f>I2</f>
        <v>1</v>
      </c>
      <c r="J37" s="17"/>
      <c r="K37" s="17"/>
      <c r="L37" s="17"/>
      <c r="M37" s="20" t="b">
        <f>AND('Incontinence Criteria'!B14,'Incontinence Criteria'!C11:C13,'Incontinence Criteria'!C15)</f>
        <v>0</v>
      </c>
      <c r="N37" s="17"/>
      <c r="O37" s="17"/>
      <c r="P37" s="17"/>
      <c r="Q37" s="20" t="b">
        <f>Q2</f>
        <v>0</v>
      </c>
      <c r="R37" s="17"/>
      <c r="S37" s="17"/>
      <c r="T37" s="17"/>
      <c r="U37" s="17"/>
      <c r="V37" s="17"/>
      <c r="W37" s="17"/>
      <c r="X37" s="17"/>
      <c r="Y37" s="17"/>
      <c r="Z37" s="17"/>
      <c r="AA37" s="17"/>
      <c r="AB37" s="17"/>
      <c r="AC37" t="b">
        <f>AND((Table31[[#This Row],[Unisex]:[Bariatric (XXXL)]]))</f>
        <v>0</v>
      </c>
      <c r="AD37" s="29" t="s">
        <v>1768</v>
      </c>
    </row>
    <row r="38" spans="1:30">
      <c r="A38" s="70" t="b">
        <f>IF(Table31[[#This Row],[Column8]],Table31[[#This Row],[Column9]])</f>
        <v>0</v>
      </c>
      <c r="B38" s="17"/>
      <c r="C38" s="20" t="b">
        <f>C13</f>
        <v>0</v>
      </c>
      <c r="D38" s="17"/>
      <c r="E38" s="20" t="b">
        <f>E2</f>
        <v>0</v>
      </c>
      <c r="F38" s="17"/>
      <c r="G38" s="17" t="b">
        <f>G2</f>
        <v>1</v>
      </c>
      <c r="H38" s="17" t="b">
        <f>H2</f>
        <v>1</v>
      </c>
      <c r="I38" s="17" t="b">
        <f>I2</f>
        <v>1</v>
      </c>
      <c r="J38" s="17"/>
      <c r="K38" s="17"/>
      <c r="L38" s="17"/>
      <c r="M38" s="17"/>
      <c r="N38" s="20" t="b">
        <f>N13</f>
        <v>0</v>
      </c>
      <c r="O38" s="17"/>
      <c r="P38" s="17"/>
      <c r="Q38" s="17"/>
      <c r="R38" s="20" t="b">
        <f>R6</f>
        <v>0</v>
      </c>
      <c r="S38" s="17"/>
      <c r="T38" s="17"/>
      <c r="U38" s="17"/>
      <c r="V38" s="17"/>
      <c r="W38" s="17"/>
      <c r="X38" s="17"/>
      <c r="Y38" s="17"/>
      <c r="Z38" s="17"/>
      <c r="AA38" s="17"/>
      <c r="AB38" s="17"/>
      <c r="AC38" t="b">
        <f>AND((Table31[[#This Row],[Unisex]:[Bariatric (XXXL)]]))</f>
        <v>0</v>
      </c>
      <c r="AD38" s="29" t="s">
        <v>1770</v>
      </c>
    </row>
    <row r="39" spans="1:30">
      <c r="A39" s="70" t="b">
        <f>IF(Table31[[#This Row],[Column8]],Table31[[#This Row],[Column9]])</f>
        <v>0</v>
      </c>
      <c r="B39" s="17"/>
      <c r="C39" s="20" t="b">
        <f>C13</f>
        <v>0</v>
      </c>
      <c r="D39" s="17"/>
      <c r="E39" s="20" t="b">
        <f>E2</f>
        <v>0</v>
      </c>
      <c r="F39" s="17"/>
      <c r="G39" s="17" t="b">
        <f>G2</f>
        <v>1</v>
      </c>
      <c r="H39" s="17" t="b">
        <f>H2</f>
        <v>1</v>
      </c>
      <c r="I39" s="17" t="b">
        <f>I2</f>
        <v>1</v>
      </c>
      <c r="J39" s="20" t="b">
        <f>J17</f>
        <v>0</v>
      </c>
      <c r="K39" s="17"/>
      <c r="L39" s="17"/>
      <c r="M39" s="17"/>
      <c r="N39" s="17"/>
      <c r="O39" s="17"/>
      <c r="P39" s="17"/>
      <c r="Q39" s="17"/>
      <c r="R39" s="17"/>
      <c r="S39" s="20" t="b">
        <f>S7</f>
        <v>0</v>
      </c>
      <c r="T39" s="17"/>
      <c r="U39" s="17"/>
      <c r="V39" s="17"/>
      <c r="W39" s="20" t="b">
        <f>W27</f>
        <v>0</v>
      </c>
      <c r="X39" s="20" t="b">
        <f>X25</f>
        <v>0</v>
      </c>
      <c r="Y39" s="20" t="b">
        <f>Y25</f>
        <v>0</v>
      </c>
      <c r="Z39" s="20" t="b">
        <f>Z25</f>
        <v>0</v>
      </c>
      <c r="AA39" s="17"/>
      <c r="AB39" s="17"/>
      <c r="AC39" s="106" t="b">
        <f>AND((Table31[[#This Row],[Unisex]:[Regular]]),OR(Table31[[#This Row],[Small]:[Bariatric (XXXL)]]))</f>
        <v>0</v>
      </c>
      <c r="AD39" s="29" t="s">
        <v>1771</v>
      </c>
    </row>
    <row r="40" spans="1:30">
      <c r="A40" s="70" t="b">
        <f>IF(Table31[[#This Row],[Column8]],Table31[[#This Row],[Column9]])</f>
        <v>0</v>
      </c>
      <c r="B40" s="17"/>
      <c r="C40" s="20" t="b">
        <f>C13</f>
        <v>0</v>
      </c>
      <c r="D40" s="17"/>
      <c r="E40" s="20" t="b">
        <f>E2</f>
        <v>0</v>
      </c>
      <c r="F40" s="17"/>
      <c r="G40" s="17" t="b">
        <f>G2</f>
        <v>1</v>
      </c>
      <c r="H40" s="20" t="b">
        <f>H33</f>
        <v>1</v>
      </c>
      <c r="I40" s="17" t="b">
        <f>I2</f>
        <v>1</v>
      </c>
      <c r="J40" s="20" t="b">
        <f>J17</f>
        <v>0</v>
      </c>
      <c r="K40" s="17"/>
      <c r="L40" s="17"/>
      <c r="M40" s="17"/>
      <c r="N40" s="17"/>
      <c r="O40" s="17"/>
      <c r="P40" s="17"/>
      <c r="Q40" s="17"/>
      <c r="R40" s="17"/>
      <c r="S40" s="20" t="b">
        <f>S7</f>
        <v>0</v>
      </c>
      <c r="T40" s="17"/>
      <c r="U40" s="17"/>
      <c r="V40" s="17"/>
      <c r="W40" s="20" t="b">
        <f>W27</f>
        <v>0</v>
      </c>
      <c r="X40" s="20" t="b">
        <f>X25</f>
        <v>0</v>
      </c>
      <c r="Y40" s="20" t="b">
        <f>Y25</f>
        <v>0</v>
      </c>
      <c r="Z40" s="20" t="b">
        <f>Z25</f>
        <v>0</v>
      </c>
      <c r="AA40" s="17"/>
      <c r="AB40" s="17"/>
      <c r="AC40" s="106" t="b">
        <f>AND((Table31[[#This Row],[Unisex]:[Regular]]),OR(Table31[[#This Row],[Small]:[Bariatric (XXXL)]]))</f>
        <v>0</v>
      </c>
      <c r="AD40" s="29" t="s">
        <v>1772</v>
      </c>
    </row>
    <row r="41" spans="1:30">
      <c r="A41" s="70" t="b">
        <f>IF(Table31[[#This Row],[Column8]],Table31[[#This Row],[Column9]])</f>
        <v>0</v>
      </c>
      <c r="B41" s="20" t="b">
        <f>B25</f>
        <v>0</v>
      </c>
      <c r="C41" s="17"/>
      <c r="D41" s="17"/>
      <c r="E41" s="20" t="b">
        <f>E2</f>
        <v>0</v>
      </c>
      <c r="F41" s="17"/>
      <c r="G41" s="17" t="b">
        <f>G2</f>
        <v>1</v>
      </c>
      <c r="H41" s="17" t="b">
        <f>H2</f>
        <v>1</v>
      </c>
      <c r="I41" s="17" t="b">
        <f>I2</f>
        <v>1</v>
      </c>
      <c r="J41" s="17"/>
      <c r="K41" s="17"/>
      <c r="L41" s="17"/>
      <c r="M41" s="17"/>
      <c r="N41" s="17"/>
      <c r="O41" s="20" t="b">
        <f>O25</f>
        <v>0</v>
      </c>
      <c r="P41" s="17"/>
      <c r="Q41" s="17"/>
      <c r="R41" s="17"/>
      <c r="S41" s="20" t="b">
        <f>S7</f>
        <v>0</v>
      </c>
      <c r="T41" s="17"/>
      <c r="U41" s="17"/>
      <c r="V41" s="17"/>
      <c r="W41" s="20" t="b">
        <f>W27</f>
        <v>0</v>
      </c>
      <c r="X41" s="20" t="b">
        <f>X25</f>
        <v>0</v>
      </c>
      <c r="Y41" s="20" t="b">
        <f>Y25</f>
        <v>0</v>
      </c>
      <c r="Z41" s="17"/>
      <c r="AA41" s="17"/>
      <c r="AB41" s="17"/>
      <c r="AC41" s="106" t="b">
        <f>AND((Table31[[#This Row],[Unisex]:[Regular]]),OR(Table31[[#This Row],[Small]:[Bariatric (XXXL)]]))</f>
        <v>0</v>
      </c>
      <c r="AD41" s="29" t="s">
        <v>1773</v>
      </c>
    </row>
    <row r="42" spans="1:30">
      <c r="A42" s="18" t="b">
        <f>IF(Table31[[#This Row],[Column8]],Table31[[#This Row],[Column9]])</f>
        <v>0</v>
      </c>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90"/>
    </row>
    <row r="43" spans="1:30">
      <c r="A43" s="70" t="b">
        <f>IF(Table31[[#This Row],[Column8]],Table31[[#This Row],[Column9]])</f>
        <v>0</v>
      </c>
      <c r="B43" s="17"/>
      <c r="C43" s="17"/>
      <c r="D43" s="20" t="b">
        <f>D2</f>
        <v>0</v>
      </c>
      <c r="E43" s="20" t="b">
        <f>E2</f>
        <v>0</v>
      </c>
      <c r="F43" s="17"/>
      <c r="G43" s="17" t="b">
        <f>G2</f>
        <v>1</v>
      </c>
      <c r="H43" s="17" t="b">
        <f>H2</f>
        <v>1</v>
      </c>
      <c r="I43" s="17" t="b">
        <f>I2</f>
        <v>1</v>
      </c>
      <c r="J43" s="17"/>
      <c r="K43" s="17"/>
      <c r="L43" s="20" t="b">
        <f>L2</f>
        <v>0</v>
      </c>
      <c r="M43" s="17"/>
      <c r="N43" s="17"/>
      <c r="O43" s="17"/>
      <c r="P43" s="20" t="b">
        <f>P13</f>
        <v>0</v>
      </c>
      <c r="Q43" s="17"/>
      <c r="R43" s="17"/>
      <c r="S43" s="17"/>
      <c r="T43" s="17"/>
      <c r="U43" s="20" t="b">
        <f>U2</f>
        <v>0</v>
      </c>
      <c r="V43" s="20" t="b">
        <f>V3</f>
        <v>0</v>
      </c>
      <c r="W43" s="17"/>
      <c r="X43" s="17"/>
      <c r="Y43" s="17"/>
      <c r="Z43" s="17"/>
      <c r="AA43" s="17"/>
      <c r="AB43" s="17"/>
      <c r="AC43" t="b">
        <f>AND((Table31[[#This Row],[Unisex]:[Bariatric (XXXL)]]))</f>
        <v>0</v>
      </c>
      <c r="AD43" s="29" t="s">
        <v>1774</v>
      </c>
    </row>
    <row r="44" spans="1:30">
      <c r="A44" s="70" t="b">
        <f>IF(Table31[[#This Row],[Column8]],Table31[[#This Row],[Column9]])</f>
        <v>0</v>
      </c>
      <c r="B44" s="17"/>
      <c r="C44" s="17"/>
      <c r="D44" s="20" t="b">
        <f>D2</f>
        <v>0</v>
      </c>
      <c r="E44" s="20" t="b">
        <f>E2</f>
        <v>0</v>
      </c>
      <c r="F44" s="17"/>
      <c r="G44" s="17" t="b">
        <f>G2</f>
        <v>1</v>
      </c>
      <c r="H44" s="17" t="b">
        <f>H2</f>
        <v>1</v>
      </c>
      <c r="I44" s="17" t="b">
        <f>I2</f>
        <v>1</v>
      </c>
      <c r="J44" s="17"/>
      <c r="K44" s="17"/>
      <c r="L44" s="20" t="b">
        <f>L2</f>
        <v>0</v>
      </c>
      <c r="M44" s="17"/>
      <c r="N44" s="17"/>
      <c r="O44" s="17"/>
      <c r="P44" s="17"/>
      <c r="Q44" s="20" t="b">
        <f>Q2</f>
        <v>0</v>
      </c>
      <c r="R44" s="17"/>
      <c r="S44" s="17"/>
      <c r="T44" s="17"/>
      <c r="U44" s="20" t="b">
        <f>U2</f>
        <v>0</v>
      </c>
      <c r="V44" s="20" t="b">
        <f>V3</f>
        <v>0</v>
      </c>
      <c r="W44" s="17"/>
      <c r="X44" s="17"/>
      <c r="Y44" s="17"/>
      <c r="Z44" s="17"/>
      <c r="AA44" s="17"/>
      <c r="AB44" s="17"/>
      <c r="AC44" t="b">
        <f>AND((Table31[[#This Row],[Unisex]:[Bariatric (XXXL)]]))</f>
        <v>0</v>
      </c>
      <c r="AD44" s="29" t="s">
        <v>1775</v>
      </c>
    </row>
    <row r="45" spans="1:30">
      <c r="A45" s="70" t="b">
        <f>IF(Table31[[#This Row],[Column8]],Table31[[#This Row],[Column9]])</f>
        <v>0</v>
      </c>
      <c r="B45" s="17"/>
      <c r="C45" s="17"/>
      <c r="D45" s="20" t="b">
        <f>D2</f>
        <v>0</v>
      </c>
      <c r="E45" s="20" t="b">
        <f>E2</f>
        <v>0</v>
      </c>
      <c r="F45" s="17"/>
      <c r="G45" s="17" t="b">
        <f>G2</f>
        <v>1</v>
      </c>
      <c r="H45" s="20" t="b">
        <f>H33</f>
        <v>1</v>
      </c>
      <c r="I45" s="17" t="b">
        <f>I2</f>
        <v>1</v>
      </c>
      <c r="J45" s="17"/>
      <c r="K45" s="17"/>
      <c r="L45" s="20" t="b">
        <f>L2</f>
        <v>0</v>
      </c>
      <c r="M45" s="17"/>
      <c r="N45" s="17"/>
      <c r="O45" s="17"/>
      <c r="P45" s="17"/>
      <c r="Q45" s="20" t="b">
        <f>Q2</f>
        <v>0</v>
      </c>
      <c r="R45" s="17"/>
      <c r="S45" s="17"/>
      <c r="T45" s="17"/>
      <c r="U45" s="20" t="b">
        <f>U2</f>
        <v>0</v>
      </c>
      <c r="V45" s="17"/>
      <c r="W45" s="17"/>
      <c r="X45" s="17"/>
      <c r="Y45" s="17"/>
      <c r="Z45" s="17"/>
      <c r="AA45" s="17"/>
      <c r="AB45" s="17"/>
      <c r="AC45" t="b">
        <f>AND((Table31[[#This Row],[Unisex]:[Bariatric (XXXL)]]))</f>
        <v>0</v>
      </c>
      <c r="AD45" s="29" t="s">
        <v>1776</v>
      </c>
    </row>
    <row r="46" spans="1:30">
      <c r="A46" s="70" t="b">
        <f>IF(Table31[[#This Row],[Column8]],Table31[[#This Row],[Column9]])</f>
        <v>0</v>
      </c>
      <c r="B46" s="17"/>
      <c r="C46" s="17"/>
      <c r="D46" s="20" t="b">
        <f>D2</f>
        <v>0</v>
      </c>
      <c r="E46" s="20" t="b">
        <f>E2</f>
        <v>0</v>
      </c>
      <c r="F46" s="17"/>
      <c r="G46" s="17" t="b">
        <f>G2</f>
        <v>1</v>
      </c>
      <c r="H46" s="17" t="b">
        <f>H2</f>
        <v>1</v>
      </c>
      <c r="I46" s="17" t="b">
        <f>I2</f>
        <v>1</v>
      </c>
      <c r="J46" s="17"/>
      <c r="K46" s="20" t="b">
        <f>K4</f>
        <v>0</v>
      </c>
      <c r="L46" s="17"/>
      <c r="M46" s="17"/>
      <c r="N46" s="17"/>
      <c r="O46" s="17"/>
      <c r="P46" s="17"/>
      <c r="Q46" s="20" t="b">
        <f>Q2</f>
        <v>0</v>
      </c>
      <c r="R46" s="17"/>
      <c r="S46" s="17"/>
      <c r="T46" s="17"/>
      <c r="U46" s="17"/>
      <c r="V46" s="20" t="b">
        <f>V3</f>
        <v>0</v>
      </c>
      <c r="W46" s="17"/>
      <c r="X46" s="17"/>
      <c r="Y46" s="17"/>
      <c r="Z46" s="17"/>
      <c r="AA46" s="17"/>
      <c r="AB46" s="17"/>
      <c r="AC46" t="b">
        <f>AND((Table31[[#This Row],[Unisex]:[Bariatric (XXXL)]]))</f>
        <v>0</v>
      </c>
      <c r="AD46" s="29" t="s">
        <v>1778</v>
      </c>
    </row>
    <row r="47" spans="1:30">
      <c r="A47" s="70" t="b">
        <f>IF(Table31[[#This Row],[Column8]],Table31[[#This Row],[Column9]])</f>
        <v>0</v>
      </c>
      <c r="B47" s="17"/>
      <c r="C47" s="17"/>
      <c r="D47" s="20" t="b">
        <f>D2</f>
        <v>0</v>
      </c>
      <c r="E47" s="20" t="b">
        <f>E2</f>
        <v>0</v>
      </c>
      <c r="F47" s="17"/>
      <c r="G47" s="17" t="b">
        <f>G2</f>
        <v>1</v>
      </c>
      <c r="H47" s="17" t="b">
        <f>H2</f>
        <v>1</v>
      </c>
      <c r="I47" s="17" t="b">
        <f>I2</f>
        <v>1</v>
      </c>
      <c r="J47" s="17"/>
      <c r="K47" s="20" t="b">
        <f>K4</f>
        <v>0</v>
      </c>
      <c r="L47" s="17"/>
      <c r="M47" s="17"/>
      <c r="N47" s="17"/>
      <c r="O47" s="17"/>
      <c r="P47" s="17"/>
      <c r="Q47" s="20" t="b">
        <f>Q2</f>
        <v>0</v>
      </c>
      <c r="R47" s="17"/>
      <c r="S47" s="17"/>
      <c r="T47" s="17"/>
      <c r="U47" s="20" t="b">
        <f>U2</f>
        <v>0</v>
      </c>
      <c r="V47" s="20" t="b">
        <f>V3</f>
        <v>0</v>
      </c>
      <c r="W47" s="17"/>
      <c r="X47" s="17"/>
      <c r="Y47" s="17"/>
      <c r="Z47" s="17"/>
      <c r="AA47" s="17"/>
      <c r="AB47" s="17"/>
      <c r="AC47" t="b">
        <f>AND((Table31[[#This Row],[Unisex]:[Bariatric (XXXL)]]))</f>
        <v>0</v>
      </c>
      <c r="AD47" s="29" t="s">
        <v>1780</v>
      </c>
    </row>
    <row r="48" spans="1:30">
      <c r="A48" s="70" t="b">
        <f>IF(Table31[[#This Row],[Column8]],Table31[[#This Row],[Column9]])</f>
        <v>0</v>
      </c>
      <c r="B48" s="17"/>
      <c r="C48" s="17"/>
      <c r="D48" s="20" t="b">
        <f>D2</f>
        <v>0</v>
      </c>
      <c r="E48" s="20" t="b">
        <f>E2</f>
        <v>0</v>
      </c>
      <c r="F48" s="17"/>
      <c r="G48" s="17" t="b">
        <f>G2</f>
        <v>1</v>
      </c>
      <c r="H48" s="17" t="b">
        <f>H2</f>
        <v>1</v>
      </c>
      <c r="I48" s="17" t="b">
        <f>I2</f>
        <v>1</v>
      </c>
      <c r="J48" s="17"/>
      <c r="K48" s="20" t="b">
        <f>K4</f>
        <v>0</v>
      </c>
      <c r="L48" s="17"/>
      <c r="M48" s="17"/>
      <c r="N48" s="17"/>
      <c r="O48" s="17"/>
      <c r="P48" s="17"/>
      <c r="Q48" s="17"/>
      <c r="R48" s="20" t="b">
        <f>R6</f>
        <v>0</v>
      </c>
      <c r="S48" s="17"/>
      <c r="T48" s="17"/>
      <c r="U48" s="17"/>
      <c r="V48" s="20" t="b">
        <f>V3</f>
        <v>0</v>
      </c>
      <c r="W48" s="17"/>
      <c r="X48" s="17"/>
      <c r="Y48" s="17"/>
      <c r="Z48" s="17"/>
      <c r="AA48" s="17"/>
      <c r="AB48" s="17"/>
      <c r="AC48" t="b">
        <f>AND((Table31[[#This Row],[Unisex]:[Bariatric (XXXL)]]))</f>
        <v>0</v>
      </c>
      <c r="AD48" s="29" t="s">
        <v>1777</v>
      </c>
    </row>
    <row r="49" spans="1:30">
      <c r="A49" s="70" t="b">
        <f>IF(Table31[[#This Row],[Column8]],Table31[[#This Row],[Column9]])</f>
        <v>0</v>
      </c>
      <c r="B49" s="17"/>
      <c r="C49" s="17"/>
      <c r="D49" s="20" t="b">
        <f>D2</f>
        <v>0</v>
      </c>
      <c r="E49" s="20" t="b">
        <f>E2</f>
        <v>0</v>
      </c>
      <c r="F49" s="17"/>
      <c r="G49" s="17" t="b">
        <f>G2</f>
        <v>1</v>
      </c>
      <c r="H49" s="17" t="b">
        <f>H2</f>
        <v>1</v>
      </c>
      <c r="I49" s="17" t="b">
        <f>I2</f>
        <v>1</v>
      </c>
      <c r="J49" s="17"/>
      <c r="K49" s="20" t="b">
        <f>K4</f>
        <v>0</v>
      </c>
      <c r="L49" s="17"/>
      <c r="M49" s="17"/>
      <c r="N49" s="17"/>
      <c r="O49" s="17"/>
      <c r="P49" s="17"/>
      <c r="Q49" s="17"/>
      <c r="R49" s="20" t="b">
        <f>R6</f>
        <v>0</v>
      </c>
      <c r="S49" s="17"/>
      <c r="T49" s="17"/>
      <c r="U49" s="20" t="b">
        <f>U2</f>
        <v>0</v>
      </c>
      <c r="V49" s="20" t="b">
        <f>V3</f>
        <v>0</v>
      </c>
      <c r="W49" s="17"/>
      <c r="X49" s="17"/>
      <c r="Y49" s="17"/>
      <c r="Z49" s="17"/>
      <c r="AA49" s="17"/>
      <c r="AB49" s="17"/>
      <c r="AC49" t="b">
        <f>AND((Table31[[#This Row],[Unisex]:[Bariatric (XXXL)]]))</f>
        <v>0</v>
      </c>
      <c r="AD49" s="29" t="s">
        <v>1779</v>
      </c>
    </row>
    <row r="50" spans="1:30">
      <c r="A50" s="70" t="b">
        <f>IF(Table31[[#This Row],[Column8]],Table31[[#This Row],[Column9]])</f>
        <v>0</v>
      </c>
      <c r="B50" s="17"/>
      <c r="C50" s="17"/>
      <c r="D50" s="20" t="b">
        <f>D2</f>
        <v>0</v>
      </c>
      <c r="E50" s="20" t="b">
        <f>E2</f>
        <v>0</v>
      </c>
      <c r="F50" s="17"/>
      <c r="G50" s="17" t="b">
        <f>G2</f>
        <v>1</v>
      </c>
      <c r="H50" s="20" t="b">
        <f>H33</f>
        <v>1</v>
      </c>
      <c r="I50" s="17" t="b">
        <f>I2</f>
        <v>1</v>
      </c>
      <c r="J50" s="17"/>
      <c r="K50" s="20" t="b">
        <f>K4</f>
        <v>0</v>
      </c>
      <c r="L50" s="17"/>
      <c r="M50" s="17"/>
      <c r="N50" s="17"/>
      <c r="O50" s="17"/>
      <c r="P50" s="17"/>
      <c r="Q50" s="17"/>
      <c r="R50" s="20" t="b">
        <f>R6</f>
        <v>0</v>
      </c>
      <c r="S50" s="17"/>
      <c r="T50" s="17"/>
      <c r="U50" s="17"/>
      <c r="V50" s="20" t="b">
        <f>V3</f>
        <v>0</v>
      </c>
      <c r="W50" s="17"/>
      <c r="X50" s="17"/>
      <c r="Y50" s="17"/>
      <c r="Z50" s="17"/>
      <c r="AA50" s="17"/>
      <c r="AB50" s="17"/>
      <c r="AC50" t="b">
        <f>AND((Table31[[#This Row],[Unisex]:[Bariatric (XXXL)]]))</f>
        <v>0</v>
      </c>
      <c r="AD50" s="29" t="s">
        <v>1781</v>
      </c>
    </row>
    <row r="51" spans="1:30">
      <c r="A51" s="70" t="b">
        <f>IF(Table31[[#This Row],[Column8]],Table31[[#This Row],[Column9]])</f>
        <v>0</v>
      </c>
      <c r="B51" s="17"/>
      <c r="C51" s="17"/>
      <c r="D51" s="20" t="b">
        <f>D2</f>
        <v>0</v>
      </c>
      <c r="E51" s="20" t="b">
        <f>E2</f>
        <v>0</v>
      </c>
      <c r="F51" s="17"/>
      <c r="G51" s="17" t="b">
        <f>G2</f>
        <v>1</v>
      </c>
      <c r="H51" s="17" t="b">
        <f>H2</f>
        <v>1</v>
      </c>
      <c r="I51" s="17" t="b">
        <f>I2</f>
        <v>1</v>
      </c>
      <c r="J51" s="17"/>
      <c r="K51" s="20" t="b">
        <f>K4</f>
        <v>0</v>
      </c>
      <c r="L51" s="17"/>
      <c r="M51" s="17"/>
      <c r="N51" s="17"/>
      <c r="O51" s="17"/>
      <c r="P51" s="17"/>
      <c r="Q51" s="17"/>
      <c r="R51" s="20" t="b">
        <f>R6</f>
        <v>0</v>
      </c>
      <c r="S51" s="17"/>
      <c r="T51" s="17"/>
      <c r="U51" s="17"/>
      <c r="V51" s="20" t="b">
        <f>V3</f>
        <v>0</v>
      </c>
      <c r="W51" s="17"/>
      <c r="X51" s="17"/>
      <c r="Y51" s="17"/>
      <c r="Z51" s="17"/>
      <c r="AA51" s="17"/>
      <c r="AB51" s="17"/>
      <c r="AC51" t="b">
        <f>AND((Table31[[#This Row],[Unisex]:[Bariatric (XXXL)]]))</f>
        <v>0</v>
      </c>
      <c r="AD51" s="29" t="s">
        <v>1782</v>
      </c>
    </row>
    <row r="52" spans="1:30">
      <c r="A52" s="70" t="b">
        <f>IF(Table31[[#This Row],[Column8]],Table31[[#This Row],[Column9]])</f>
        <v>0</v>
      </c>
      <c r="B52" s="17"/>
      <c r="C52" s="17"/>
      <c r="D52" s="20" t="b">
        <f>D2</f>
        <v>0</v>
      </c>
      <c r="E52" s="20" t="b">
        <f>E2</f>
        <v>0</v>
      </c>
      <c r="F52" s="17"/>
      <c r="G52" s="17" t="b">
        <f>G2</f>
        <v>1</v>
      </c>
      <c r="H52" s="17" t="b">
        <f>H2</f>
        <v>1</v>
      </c>
      <c r="I52" s="17" t="b">
        <f>I2</f>
        <v>1</v>
      </c>
      <c r="J52" s="17"/>
      <c r="K52" s="20" t="b">
        <f>K4</f>
        <v>0</v>
      </c>
      <c r="L52" s="17"/>
      <c r="M52" s="17"/>
      <c r="N52" s="17"/>
      <c r="O52" s="17"/>
      <c r="P52" s="17"/>
      <c r="Q52" s="17"/>
      <c r="R52" s="20" t="b">
        <f>R6</f>
        <v>0</v>
      </c>
      <c r="S52" s="17"/>
      <c r="T52" s="17"/>
      <c r="U52" s="20" t="b">
        <f>U2</f>
        <v>0</v>
      </c>
      <c r="V52" s="20" t="b">
        <f>V3</f>
        <v>0</v>
      </c>
      <c r="W52" s="17"/>
      <c r="X52" s="17"/>
      <c r="Y52" s="17"/>
      <c r="Z52" s="17"/>
      <c r="AA52" s="17"/>
      <c r="AB52" s="17"/>
      <c r="AC52" t="b">
        <f>AND((Table31[[#This Row],[Unisex]:[Bariatric (XXXL)]]))</f>
        <v>0</v>
      </c>
      <c r="AD52" s="29" t="s">
        <v>1783</v>
      </c>
    </row>
    <row r="53" spans="1:30">
      <c r="A53" s="70" t="b">
        <f>IF(Table31[[#This Row],[Column8]],Table31[[#This Row],[Column9]])</f>
        <v>0</v>
      </c>
      <c r="B53" s="17"/>
      <c r="C53" s="17"/>
      <c r="D53" s="20" t="b">
        <f>D2</f>
        <v>0</v>
      </c>
      <c r="E53" s="20" t="b">
        <f>E2</f>
        <v>0</v>
      </c>
      <c r="F53" s="17"/>
      <c r="G53" s="17" t="b">
        <f>G2</f>
        <v>1</v>
      </c>
      <c r="H53" s="20" t="b">
        <f>H33</f>
        <v>1</v>
      </c>
      <c r="I53" s="17" t="b">
        <f>I2</f>
        <v>1</v>
      </c>
      <c r="J53" s="17"/>
      <c r="K53" s="20" t="b">
        <f>K4</f>
        <v>0</v>
      </c>
      <c r="L53" s="17"/>
      <c r="M53" s="17"/>
      <c r="N53" s="17"/>
      <c r="O53" s="17"/>
      <c r="P53" s="17"/>
      <c r="Q53" s="17"/>
      <c r="R53" s="20" t="b">
        <f>R6</f>
        <v>0</v>
      </c>
      <c r="S53" s="17"/>
      <c r="T53" s="17"/>
      <c r="U53" s="17"/>
      <c r="V53" s="20" t="b">
        <f>V3</f>
        <v>0</v>
      </c>
      <c r="W53" s="17"/>
      <c r="X53" s="17"/>
      <c r="Y53" s="17"/>
      <c r="Z53" s="17"/>
      <c r="AA53" s="17"/>
      <c r="AB53" s="17"/>
      <c r="AC53" t="b">
        <f>AND((Table31[[#This Row],[Unisex]:[Bariatric (XXXL)]]))</f>
        <v>0</v>
      </c>
      <c r="AD53" s="29" t="s">
        <v>1784</v>
      </c>
    </row>
    <row r="54" spans="1:30">
      <c r="A54" s="70" t="b">
        <f>IF(Table31[[#This Row],[Column8]],Table31[[#This Row],[Column9]])</f>
        <v>0</v>
      </c>
      <c r="B54" s="17"/>
      <c r="C54" s="17"/>
      <c r="D54" s="20" t="b">
        <f>D2</f>
        <v>0</v>
      </c>
      <c r="E54" s="20" t="b">
        <f>E2</f>
        <v>0</v>
      </c>
      <c r="F54" s="17"/>
      <c r="G54" s="17" t="b">
        <f>G2</f>
        <v>1</v>
      </c>
      <c r="H54" s="17" t="b">
        <f>H2</f>
        <v>1</v>
      </c>
      <c r="I54" s="17" t="b">
        <f>I2</f>
        <v>1</v>
      </c>
      <c r="J54" s="17"/>
      <c r="K54" s="20" t="b">
        <f>K4</f>
        <v>0</v>
      </c>
      <c r="L54" s="17"/>
      <c r="M54" s="17"/>
      <c r="N54" s="17"/>
      <c r="O54" s="17"/>
      <c r="P54" s="17"/>
      <c r="Q54" s="17"/>
      <c r="R54" s="17"/>
      <c r="S54" s="20" t="b">
        <f>S7</f>
        <v>0</v>
      </c>
      <c r="T54" s="17"/>
      <c r="U54" s="20" t="b">
        <f>U2</f>
        <v>0</v>
      </c>
      <c r="V54" s="17"/>
      <c r="W54" s="17"/>
      <c r="X54" s="17"/>
      <c r="Y54" s="17"/>
      <c r="Z54" s="17"/>
      <c r="AA54" s="17"/>
      <c r="AB54" s="17"/>
      <c r="AC54" t="b">
        <f>AND((Table31[[#This Row],[Unisex]:[Bariatric (XXXL)]]))</f>
        <v>0</v>
      </c>
      <c r="AD54" s="29" t="s">
        <v>1785</v>
      </c>
    </row>
    <row r="55" spans="1:30">
      <c r="A55" s="70" t="b">
        <f>IF(Table31[[#This Row],[Column8]],Table31[[#This Row],[Column9]])</f>
        <v>0</v>
      </c>
      <c r="B55" s="17"/>
      <c r="C55" s="17"/>
      <c r="D55" s="20" t="b">
        <f>D2</f>
        <v>0</v>
      </c>
      <c r="E55" s="20" t="b">
        <f>E2</f>
        <v>0</v>
      </c>
      <c r="F55" s="17"/>
      <c r="G55" s="17" t="b">
        <f>G2</f>
        <v>1</v>
      </c>
      <c r="H55" s="17" t="b">
        <f>H2</f>
        <v>1</v>
      </c>
      <c r="I55" s="17" t="b">
        <f>I2</f>
        <v>1</v>
      </c>
      <c r="J55" s="17"/>
      <c r="K55" s="20" t="b">
        <f>K4</f>
        <v>0</v>
      </c>
      <c r="L55" s="17"/>
      <c r="M55" s="17"/>
      <c r="N55" s="17"/>
      <c r="O55" s="17"/>
      <c r="P55" s="17"/>
      <c r="Q55" s="17"/>
      <c r="R55" s="17"/>
      <c r="S55" s="20" t="b">
        <f>S7</f>
        <v>0</v>
      </c>
      <c r="T55" s="17"/>
      <c r="U55" s="20" t="b">
        <f>U2</f>
        <v>0</v>
      </c>
      <c r="V55" s="20" t="b">
        <f>V3</f>
        <v>0</v>
      </c>
      <c r="W55" s="17"/>
      <c r="X55" s="17"/>
      <c r="Y55" s="17"/>
      <c r="Z55" s="17"/>
      <c r="AA55" s="17"/>
      <c r="AB55" s="17"/>
      <c r="AC55" t="b">
        <f>AND((Table31[[#This Row],[Unisex]:[Bariatric (XXXL)]]))</f>
        <v>0</v>
      </c>
      <c r="AD55" s="29" t="s">
        <v>1786</v>
      </c>
    </row>
    <row r="56" spans="1:30">
      <c r="A56" s="70" t="b">
        <f>IF(Table31[[#This Row],[Column8]],Table31[[#This Row],[Column9]])</f>
        <v>0</v>
      </c>
      <c r="B56" s="17"/>
      <c r="C56" s="17"/>
      <c r="D56" s="20" t="b">
        <f>D2</f>
        <v>0</v>
      </c>
      <c r="E56" s="17"/>
      <c r="F56" s="20" t="b">
        <f>F7</f>
        <v>0</v>
      </c>
      <c r="G56" s="17" t="b">
        <f>G2</f>
        <v>1</v>
      </c>
      <c r="H56" s="17" t="b">
        <f>H2</f>
        <v>1</v>
      </c>
      <c r="I56" s="17" t="b">
        <f>I2</f>
        <v>1</v>
      </c>
      <c r="J56" s="17"/>
      <c r="K56" s="20" t="b">
        <f>K4</f>
        <v>0</v>
      </c>
      <c r="L56" s="17"/>
      <c r="M56" s="17"/>
      <c r="N56" s="17"/>
      <c r="O56" s="17"/>
      <c r="P56" s="17"/>
      <c r="Q56" s="17"/>
      <c r="R56" s="17"/>
      <c r="S56" s="20" t="b">
        <f>S7</f>
        <v>0</v>
      </c>
      <c r="T56" s="17"/>
      <c r="U56" s="17"/>
      <c r="V56" s="20" t="b">
        <f>V3</f>
        <v>0</v>
      </c>
      <c r="W56" s="17"/>
      <c r="X56" s="17"/>
      <c r="Y56" s="17"/>
      <c r="Z56" s="17"/>
      <c r="AA56" s="17"/>
      <c r="AB56" s="17"/>
      <c r="AC56" t="b">
        <f>AND((Table31[[#This Row],[Unisex]:[Bariatric (XXXL)]]))</f>
        <v>0</v>
      </c>
      <c r="AD56" s="29" t="s">
        <v>1787</v>
      </c>
    </row>
    <row r="57" spans="1:30">
      <c r="A57" s="18" t="b">
        <f>IF(Table31[[#This Row],[Column8]],Table31[[#This Row],[Column9]])</f>
        <v>0</v>
      </c>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row>
    <row r="58" spans="1:30">
      <c r="A58" s="70" t="b">
        <f>IF(Table31[[#This Row],[Column8]],Table31[[#This Row],[Column9]])</f>
        <v>0</v>
      </c>
      <c r="B58" s="17"/>
      <c r="C58" s="17"/>
      <c r="D58" s="20" t="b">
        <f>D2</f>
        <v>0</v>
      </c>
      <c r="E58" s="20" t="b">
        <f>E2</f>
        <v>0</v>
      </c>
      <c r="F58" s="17"/>
      <c r="G58" s="17" t="b">
        <f>G2</f>
        <v>1</v>
      </c>
      <c r="H58" s="17" t="b">
        <f>H2</f>
        <v>1</v>
      </c>
      <c r="I58" s="17" t="b">
        <f>I2</f>
        <v>1</v>
      </c>
      <c r="J58" s="17"/>
      <c r="K58" s="17"/>
      <c r="L58" s="20" t="b">
        <f>L2</f>
        <v>0</v>
      </c>
      <c r="M58" s="17"/>
      <c r="N58" s="17"/>
      <c r="O58" s="17"/>
      <c r="P58" s="20" t="b">
        <f>P13</f>
        <v>0</v>
      </c>
      <c r="Q58" s="17"/>
      <c r="R58" s="17"/>
      <c r="S58" s="17"/>
      <c r="T58" s="17"/>
      <c r="U58" s="17"/>
      <c r="V58" s="17"/>
      <c r="W58" s="17"/>
      <c r="X58" s="17"/>
      <c r="Y58" s="17"/>
      <c r="Z58" s="17"/>
      <c r="AA58" s="17"/>
      <c r="AB58" s="17"/>
      <c r="AC58" t="b">
        <f>AND((Table31[[#This Row],[Unisex]:[Bariatric (XXXL)]]))</f>
        <v>0</v>
      </c>
      <c r="AD58" s="29" t="s">
        <v>1789</v>
      </c>
    </row>
    <row r="59" spans="1:30">
      <c r="A59" s="70" t="b">
        <f>IF(Table31[[#This Row],[Column8]],Table31[[#This Row],[Column9]])</f>
        <v>0</v>
      </c>
      <c r="B59" s="17"/>
      <c r="C59" s="17"/>
      <c r="D59" s="20" t="b">
        <f>D2</f>
        <v>0</v>
      </c>
      <c r="E59" s="20" t="b">
        <f>E2</f>
        <v>0</v>
      </c>
      <c r="F59" s="17"/>
      <c r="G59" s="17" t="b">
        <f>G2</f>
        <v>1</v>
      </c>
      <c r="H59" s="17" t="b">
        <f>H2</f>
        <v>1</v>
      </c>
      <c r="I59" s="17" t="b">
        <f>I2</f>
        <v>1</v>
      </c>
      <c r="J59" s="17"/>
      <c r="K59" s="17"/>
      <c r="L59" s="20" t="b">
        <f>L2</f>
        <v>0</v>
      </c>
      <c r="M59" s="17"/>
      <c r="N59" s="17"/>
      <c r="O59" s="17"/>
      <c r="P59" s="17"/>
      <c r="Q59" s="20" t="b">
        <f>Q2</f>
        <v>0</v>
      </c>
      <c r="R59" s="17"/>
      <c r="S59" s="17"/>
      <c r="T59" s="17"/>
      <c r="U59" s="17"/>
      <c r="V59" s="20" t="b">
        <f>V3</f>
        <v>0</v>
      </c>
      <c r="W59" s="17"/>
      <c r="X59" s="17"/>
      <c r="Y59" s="17"/>
      <c r="Z59" s="17"/>
      <c r="AA59" s="17"/>
      <c r="AB59" s="17"/>
      <c r="AC59" t="b">
        <f>AND((Table31[[#This Row],[Unisex]:[Bariatric (XXXL)]]))</f>
        <v>0</v>
      </c>
      <c r="AD59" s="29" t="s">
        <v>1788</v>
      </c>
    </row>
    <row r="60" spans="1:30">
      <c r="A60" s="70" t="b">
        <f>IF(Table31[[#This Row],[Column8]],Table31[[#This Row],[Column9]])</f>
        <v>0</v>
      </c>
      <c r="B60" s="17"/>
      <c r="C60" s="17"/>
      <c r="D60" s="20" t="b">
        <f>D2</f>
        <v>0</v>
      </c>
      <c r="E60" s="20" t="b">
        <f>E2</f>
        <v>0</v>
      </c>
      <c r="F60" s="17"/>
      <c r="G60" s="17" t="b">
        <f>G2</f>
        <v>1</v>
      </c>
      <c r="H60" s="17" t="b">
        <f>H2</f>
        <v>1</v>
      </c>
      <c r="I60" s="17" t="b">
        <f>I2</f>
        <v>1</v>
      </c>
      <c r="J60" s="17"/>
      <c r="K60" s="17"/>
      <c r="L60" s="20" t="b">
        <f>L2</f>
        <v>0</v>
      </c>
      <c r="M60" s="17"/>
      <c r="N60" s="17"/>
      <c r="O60" s="17"/>
      <c r="P60" s="17"/>
      <c r="Q60" s="20" t="b">
        <f>Q2</f>
        <v>0</v>
      </c>
      <c r="R60" s="17"/>
      <c r="S60" s="17"/>
      <c r="T60" s="17"/>
      <c r="U60" s="20" t="b">
        <f>U2</f>
        <v>0</v>
      </c>
      <c r="V60" s="17"/>
      <c r="W60" s="17"/>
      <c r="X60" s="17"/>
      <c r="Y60" s="17"/>
      <c r="Z60" s="17"/>
      <c r="AA60" s="17"/>
      <c r="AB60" s="17"/>
      <c r="AC60" t="b">
        <f>AND((Table31[[#This Row],[Unisex]:[Bariatric (XXXL)]]))</f>
        <v>0</v>
      </c>
      <c r="AD60" s="29" t="s">
        <v>1790</v>
      </c>
    </row>
    <row r="61" spans="1:30">
      <c r="A61" s="70" t="b">
        <f>IF(Table31[[#This Row],[Column8]],Table31[[#This Row],[Column9]])</f>
        <v>0</v>
      </c>
      <c r="B61" s="17"/>
      <c r="C61" s="17"/>
      <c r="D61" s="20" t="b">
        <f>D2</f>
        <v>0</v>
      </c>
      <c r="E61" s="20" t="b">
        <f>E2</f>
        <v>0</v>
      </c>
      <c r="F61" s="17"/>
      <c r="G61" s="17" t="b">
        <f>G2</f>
        <v>1</v>
      </c>
      <c r="H61" s="17" t="b">
        <f>H2</f>
        <v>1</v>
      </c>
      <c r="I61" s="17" t="b">
        <f>I2</f>
        <v>1</v>
      </c>
      <c r="J61" s="17"/>
      <c r="K61" s="20" t="b">
        <f>K4</f>
        <v>0</v>
      </c>
      <c r="L61" s="17"/>
      <c r="M61" s="17"/>
      <c r="N61" s="17"/>
      <c r="O61" s="17"/>
      <c r="P61" s="17"/>
      <c r="Q61" s="20" t="b">
        <f>Q2</f>
        <v>0</v>
      </c>
      <c r="R61" s="17"/>
      <c r="S61" s="17"/>
      <c r="T61" s="17"/>
      <c r="U61" s="17"/>
      <c r="V61" s="17"/>
      <c r="W61" s="17"/>
      <c r="X61" s="17"/>
      <c r="Y61" s="17"/>
      <c r="Z61" s="17"/>
      <c r="AA61" s="17"/>
      <c r="AB61" s="17"/>
      <c r="AC61" t="b">
        <f>AND((Table31[[#This Row],[Unisex]:[Bariatric (XXXL)]]))</f>
        <v>0</v>
      </c>
      <c r="AD61" s="29" t="s">
        <v>1791</v>
      </c>
    </row>
    <row r="62" spans="1:30">
      <c r="A62" s="70" t="b">
        <f>IF(Table31[[#This Row],[Column8]],Table31[[#This Row],[Column9]])</f>
        <v>0</v>
      </c>
      <c r="B62" s="17"/>
      <c r="C62" s="17"/>
      <c r="D62" s="20" t="b">
        <f>D2</f>
        <v>0</v>
      </c>
      <c r="E62" s="20" t="b">
        <f>E2</f>
        <v>0</v>
      </c>
      <c r="F62" s="17"/>
      <c r="G62" s="17" t="b">
        <f>G2</f>
        <v>1</v>
      </c>
      <c r="H62" s="17" t="b">
        <f>H2</f>
        <v>1</v>
      </c>
      <c r="I62" s="17" t="b">
        <f>I2</f>
        <v>1</v>
      </c>
      <c r="J62" s="17"/>
      <c r="K62" s="20" t="b">
        <f>K4</f>
        <v>0</v>
      </c>
      <c r="L62" s="17"/>
      <c r="M62" s="17"/>
      <c r="N62" s="17"/>
      <c r="O62" s="17"/>
      <c r="P62" s="17"/>
      <c r="Q62" s="17"/>
      <c r="R62" s="20" t="b">
        <f>R6</f>
        <v>0</v>
      </c>
      <c r="S62" s="17"/>
      <c r="T62" s="17"/>
      <c r="U62" s="17"/>
      <c r="V62" s="20" t="b">
        <f>V3</f>
        <v>0</v>
      </c>
      <c r="W62" s="17"/>
      <c r="X62" s="17"/>
      <c r="Y62" s="17"/>
      <c r="Z62" s="17"/>
      <c r="AA62" s="17"/>
      <c r="AB62" s="17"/>
      <c r="AC62" t="b">
        <f>AND((Table31[[#This Row],[Unisex]:[Bariatric (XXXL)]]))</f>
        <v>0</v>
      </c>
      <c r="AD62" s="29" t="s">
        <v>1792</v>
      </c>
    </row>
    <row r="63" spans="1:30">
      <c r="A63" s="70" t="b">
        <f>IF(Table31[[#This Row],[Column8]],Table31[[#This Row],[Column9]])</f>
        <v>0</v>
      </c>
      <c r="B63" s="17"/>
      <c r="C63" s="17"/>
      <c r="D63" s="20" t="b">
        <f>D2</f>
        <v>0</v>
      </c>
      <c r="E63" s="20" t="b">
        <f>E2</f>
        <v>0</v>
      </c>
      <c r="F63" s="17"/>
      <c r="G63" s="17" t="b">
        <f>G2</f>
        <v>1</v>
      </c>
      <c r="H63" s="17" t="b">
        <f>H2</f>
        <v>1</v>
      </c>
      <c r="I63" s="17" t="b">
        <f>I2</f>
        <v>1</v>
      </c>
      <c r="J63" s="17"/>
      <c r="K63" s="20" t="b">
        <f>K4</f>
        <v>0</v>
      </c>
      <c r="L63" s="17"/>
      <c r="M63" s="17"/>
      <c r="N63" s="17"/>
      <c r="O63" s="17"/>
      <c r="P63" s="17"/>
      <c r="Q63" s="17"/>
      <c r="R63" s="20" t="b">
        <f>R6</f>
        <v>0</v>
      </c>
      <c r="S63" s="17"/>
      <c r="T63" s="17"/>
      <c r="U63" s="20" t="b">
        <f>U2</f>
        <v>0</v>
      </c>
      <c r="V63" s="17"/>
      <c r="W63" s="17"/>
      <c r="X63" s="17"/>
      <c r="Y63" s="17"/>
      <c r="Z63" s="17"/>
      <c r="AA63" s="17"/>
      <c r="AB63" s="17"/>
      <c r="AC63" t="b">
        <f>AND((Table31[[#This Row],[Unisex]:[Bariatric (XXXL)]]))</f>
        <v>0</v>
      </c>
      <c r="AD63" s="29" t="s">
        <v>1793</v>
      </c>
    </row>
    <row r="64" spans="1:30">
      <c r="A64" s="70" t="b">
        <f>IF(Table31[[#This Row],[Column8]],Table31[[#This Row],[Column9]])</f>
        <v>0</v>
      </c>
      <c r="B64" s="17"/>
      <c r="C64" s="17"/>
      <c r="D64" s="20" t="b">
        <f>D2</f>
        <v>0</v>
      </c>
      <c r="E64" s="20" t="b">
        <f>E2</f>
        <v>0</v>
      </c>
      <c r="F64" s="17"/>
      <c r="G64" s="17" t="b">
        <f>G2</f>
        <v>1</v>
      </c>
      <c r="H64" s="17" t="b">
        <f>H2</f>
        <v>1</v>
      </c>
      <c r="I64" s="17" t="b">
        <f>I2</f>
        <v>1</v>
      </c>
      <c r="J64" s="17"/>
      <c r="K64" s="20" t="b">
        <f>K4</f>
        <v>0</v>
      </c>
      <c r="L64" s="17"/>
      <c r="M64" s="17"/>
      <c r="N64" s="17"/>
      <c r="O64" s="17"/>
      <c r="P64" s="17"/>
      <c r="Q64" s="17"/>
      <c r="R64" s="17"/>
      <c r="S64" s="20" t="b">
        <f>S7</f>
        <v>0</v>
      </c>
      <c r="T64" s="17"/>
      <c r="U64" s="17"/>
      <c r="V64" s="20" t="b">
        <f>V3</f>
        <v>0</v>
      </c>
      <c r="W64" s="17"/>
      <c r="X64" s="17"/>
      <c r="Y64" s="17"/>
      <c r="Z64" s="17"/>
      <c r="AA64" s="17"/>
      <c r="AB64" s="17"/>
      <c r="AC64" t="b">
        <f>AND((Table31[[#This Row],[Unisex]:[Bariatric (XXXL)]]))</f>
        <v>0</v>
      </c>
      <c r="AD64" s="29" t="s">
        <v>1795</v>
      </c>
    </row>
    <row r="65" spans="1:30">
      <c r="A65" s="70" t="b">
        <f>IF(Table31[[#This Row],[Column8]],Table31[[#This Row],[Column9]])</f>
        <v>0</v>
      </c>
      <c r="B65" s="17"/>
      <c r="C65" s="17"/>
      <c r="D65" s="20" t="b">
        <f>D2</f>
        <v>0</v>
      </c>
      <c r="E65" s="20" t="b">
        <f>E2</f>
        <v>0</v>
      </c>
      <c r="F65" s="17"/>
      <c r="G65" s="17" t="b">
        <f>G2</f>
        <v>1</v>
      </c>
      <c r="H65" s="17" t="b">
        <f>H2</f>
        <v>1</v>
      </c>
      <c r="I65" s="17" t="b">
        <f>I2</f>
        <v>1</v>
      </c>
      <c r="J65" s="17"/>
      <c r="K65" s="20" t="b">
        <f>K4</f>
        <v>0</v>
      </c>
      <c r="L65" s="17"/>
      <c r="M65" s="17"/>
      <c r="N65" s="17"/>
      <c r="O65" s="17"/>
      <c r="P65" s="17"/>
      <c r="Q65" s="17"/>
      <c r="R65" s="17"/>
      <c r="S65" s="20" t="b">
        <f>S7</f>
        <v>0</v>
      </c>
      <c r="T65" s="17"/>
      <c r="U65" s="20" t="b">
        <f>U2</f>
        <v>0</v>
      </c>
      <c r="V65" s="17"/>
      <c r="W65" s="17"/>
      <c r="X65" s="17"/>
      <c r="Y65" s="17"/>
      <c r="Z65" s="17"/>
      <c r="AA65" s="17"/>
      <c r="AB65" s="17"/>
      <c r="AC65" t="b">
        <f>AND((Table31[[#This Row],[Unisex]:[Bariatric (XXXL)]]))</f>
        <v>0</v>
      </c>
      <c r="AD65" s="29" t="s">
        <v>1794</v>
      </c>
    </row>
    <row r="66" spans="1:30">
      <c r="A66" s="70" t="b">
        <f>IF(Table31[[#This Row],[Column8]],Table31[[#This Row],[Column9]])</f>
        <v>0</v>
      </c>
      <c r="B66" s="17"/>
      <c r="C66" s="17"/>
      <c r="D66" s="20" t="b">
        <f>D2</f>
        <v>0</v>
      </c>
      <c r="E66" s="20" t="b">
        <f>E2</f>
        <v>0</v>
      </c>
      <c r="F66" s="17"/>
      <c r="G66" s="17" t="b">
        <f>G2</f>
        <v>1</v>
      </c>
      <c r="H66" s="17" t="b">
        <f>H2</f>
        <v>1</v>
      </c>
      <c r="I66" s="17" t="b">
        <f>I2</f>
        <v>1</v>
      </c>
      <c r="J66" s="17"/>
      <c r="K66" s="20" t="b">
        <f>K4</f>
        <v>0</v>
      </c>
      <c r="L66" s="17"/>
      <c r="M66" s="17"/>
      <c r="N66" s="17"/>
      <c r="O66" s="17"/>
      <c r="P66" s="17"/>
      <c r="Q66" s="17"/>
      <c r="R66" s="17"/>
      <c r="S66" s="20" t="b">
        <f>S7</f>
        <v>0</v>
      </c>
      <c r="T66" s="17"/>
      <c r="U66" s="17"/>
      <c r="V66" s="20" t="b">
        <f>V3</f>
        <v>0</v>
      </c>
      <c r="W66" s="17"/>
      <c r="X66" s="17"/>
      <c r="Y66" s="17"/>
      <c r="Z66" s="17"/>
      <c r="AA66" s="17"/>
      <c r="AB66" s="17"/>
      <c r="AC66" t="b">
        <f>AND((Table31[[#This Row],[Unisex]:[Bariatric (XXXL)]]))</f>
        <v>0</v>
      </c>
      <c r="AD66" s="11" t="s">
        <v>1796</v>
      </c>
    </row>
    <row r="67" spans="1:30">
      <c r="A67" s="70" t="b">
        <f>IF(Table31[[#This Row],[Column8]],Table31[[#This Row],[Column9]])</f>
        <v>0</v>
      </c>
      <c r="B67" s="17"/>
      <c r="C67" s="17"/>
      <c r="D67" s="20" t="b">
        <f>D2</f>
        <v>0</v>
      </c>
      <c r="E67" s="20" t="b">
        <f>E2</f>
        <v>0</v>
      </c>
      <c r="F67" s="17"/>
      <c r="G67" s="17" t="b">
        <f>G2</f>
        <v>1</v>
      </c>
      <c r="H67" s="17" t="b">
        <f>H2</f>
        <v>1</v>
      </c>
      <c r="I67" s="17" t="b">
        <f>I2</f>
        <v>1</v>
      </c>
      <c r="J67" s="17"/>
      <c r="K67" s="20" t="b">
        <f>K4</f>
        <v>0</v>
      </c>
      <c r="L67" s="17"/>
      <c r="M67" s="17"/>
      <c r="N67" s="17"/>
      <c r="O67" s="17"/>
      <c r="P67" s="17"/>
      <c r="Q67" s="17"/>
      <c r="R67" s="17"/>
      <c r="S67" s="20" t="b">
        <f>S7</f>
        <v>0</v>
      </c>
      <c r="T67" s="17"/>
      <c r="U67" s="20" t="b">
        <f>U2</f>
        <v>0</v>
      </c>
      <c r="V67" s="17"/>
      <c r="W67" s="17"/>
      <c r="X67" s="17"/>
      <c r="Y67" s="17"/>
      <c r="Z67" s="17"/>
      <c r="AA67" s="17"/>
      <c r="AB67" s="17"/>
      <c r="AC67" t="b">
        <f>AND((Table31[[#This Row],[Unisex]:[Bariatric (XXXL)]]))</f>
        <v>0</v>
      </c>
      <c r="AD67" s="11" t="s">
        <v>1797</v>
      </c>
    </row>
    <row r="68" spans="1:30" ht="14.25" customHeight="1">
      <c r="A68" s="70" t="b">
        <f>IF(Table31[[#This Row],[Column8]],Table31[[#This Row],[Column9]])</f>
        <v>0</v>
      </c>
      <c r="B68" s="17"/>
      <c r="C68" s="17"/>
      <c r="D68" s="20" t="b">
        <f>D2</f>
        <v>0</v>
      </c>
      <c r="E68" s="20" t="b">
        <f>E2</f>
        <v>0</v>
      </c>
      <c r="F68" s="17"/>
      <c r="G68" s="17" t="b">
        <f>G2</f>
        <v>1</v>
      </c>
      <c r="H68" s="17" t="b">
        <f>H2</f>
        <v>1</v>
      </c>
      <c r="I68" s="17" t="b">
        <f>I2</f>
        <v>1</v>
      </c>
      <c r="J68" s="20" t="b">
        <f>J17</f>
        <v>0</v>
      </c>
      <c r="K68" s="17"/>
      <c r="L68" s="17"/>
      <c r="M68" s="17"/>
      <c r="N68" s="17"/>
      <c r="O68" s="17"/>
      <c r="P68" s="17"/>
      <c r="Q68" s="17"/>
      <c r="R68" s="17"/>
      <c r="S68" s="20" t="b">
        <f>S7</f>
        <v>0</v>
      </c>
      <c r="T68" s="17"/>
      <c r="U68" s="17"/>
      <c r="V68" s="17"/>
      <c r="W68" s="20" t="b">
        <f>W27</f>
        <v>0</v>
      </c>
      <c r="X68" s="20" t="b">
        <f>X25</f>
        <v>0</v>
      </c>
      <c r="Y68" s="17"/>
      <c r="Z68" s="17"/>
      <c r="AA68" s="17"/>
      <c r="AB68" s="17"/>
      <c r="AC68" s="106" t="b">
        <f>AND((Table31[[#This Row],[Unisex]:[Regular]]),OR(Table31[[#This Row],[Small]:[Bariatric (XXXL)]]))</f>
        <v>0</v>
      </c>
      <c r="AD68" s="29" t="s">
        <v>1800</v>
      </c>
    </row>
    <row r="69" spans="1:30">
      <c r="A69" s="70" t="b">
        <f>IF(Table31[[#This Row],[Column8]],Table31[[#This Row],[Column9]])</f>
        <v>0</v>
      </c>
      <c r="B69" s="17"/>
      <c r="C69" s="17"/>
      <c r="D69" s="20" t="b">
        <f>D2</f>
        <v>0</v>
      </c>
      <c r="E69" s="20" t="b">
        <f>E2</f>
        <v>0</v>
      </c>
      <c r="F69" s="17"/>
      <c r="G69" s="17" t="b">
        <f>G2</f>
        <v>1</v>
      </c>
      <c r="H69" s="17" t="b">
        <f>H2</f>
        <v>1</v>
      </c>
      <c r="I69" s="17" t="b">
        <f>I2</f>
        <v>1</v>
      </c>
      <c r="J69" s="20" t="b">
        <f>J17</f>
        <v>0</v>
      </c>
      <c r="K69" s="17"/>
      <c r="L69" s="17"/>
      <c r="M69" s="17"/>
      <c r="N69" s="17"/>
      <c r="O69" s="17"/>
      <c r="P69" s="17"/>
      <c r="Q69" s="17"/>
      <c r="R69" s="17"/>
      <c r="S69" s="20" t="b">
        <f>S7</f>
        <v>0</v>
      </c>
      <c r="T69" s="17"/>
      <c r="U69" s="17"/>
      <c r="V69" s="17"/>
      <c r="W69" s="17"/>
      <c r="X69" s="17"/>
      <c r="Y69" s="20" t="b">
        <f>Y25</f>
        <v>0</v>
      </c>
      <c r="Z69" s="17"/>
      <c r="AA69" s="17"/>
      <c r="AB69" s="17"/>
      <c r="AC69" s="106" t="b">
        <f>AND((Table31[[#This Row],[Unisex]:[Regular]]),OR(Table31[[#This Row],[Small]:[Bariatric (XXXL)]]))</f>
        <v>0</v>
      </c>
      <c r="AD69" s="11" t="s">
        <v>1801</v>
      </c>
    </row>
    <row r="70" spans="1:30">
      <c r="A70" s="70" t="b">
        <f>IF(Table31[[#This Row],[Column8]],Table31[[#This Row],[Column9]])</f>
        <v>0</v>
      </c>
      <c r="B70" s="17"/>
      <c r="C70" s="17"/>
      <c r="D70" s="20" t="b">
        <f>D2</f>
        <v>0</v>
      </c>
      <c r="E70" s="20" t="b">
        <f>E2</f>
        <v>0</v>
      </c>
      <c r="F70" s="17"/>
      <c r="G70" s="17" t="b">
        <f>G2</f>
        <v>1</v>
      </c>
      <c r="H70" s="17" t="b">
        <f>H2</f>
        <v>1</v>
      </c>
      <c r="I70" s="17" t="b">
        <f>I2</f>
        <v>1</v>
      </c>
      <c r="J70" s="20" t="b">
        <f>J17</f>
        <v>0</v>
      </c>
      <c r="K70" s="17"/>
      <c r="L70" s="17"/>
      <c r="M70" s="17"/>
      <c r="N70" s="17"/>
      <c r="O70" s="17"/>
      <c r="P70" s="17"/>
      <c r="Q70" s="17"/>
      <c r="R70" s="17"/>
      <c r="S70" s="20" t="b">
        <f>S7</f>
        <v>0</v>
      </c>
      <c r="T70" s="17"/>
      <c r="U70" s="17"/>
      <c r="V70" s="17"/>
      <c r="W70" s="17"/>
      <c r="X70" s="17"/>
      <c r="Y70" s="17"/>
      <c r="Z70" s="20" t="b">
        <f>Z25</f>
        <v>0</v>
      </c>
      <c r="AA70" s="17"/>
      <c r="AB70" s="17"/>
      <c r="AC70" s="106" t="b">
        <f>AND((Table31[[#This Row],[Unisex]:[Regular]]),OR(Table31[[#This Row],[Small]:[Bariatric (XXXL)]]))</f>
        <v>0</v>
      </c>
      <c r="AD70" s="11" t="s">
        <v>1798</v>
      </c>
    </row>
    <row r="71" spans="1:30">
      <c r="A71" s="70" t="b">
        <f>IF(Table31[[#This Row],[Column8]],Table31[[#This Row],[Column9]])</f>
        <v>0</v>
      </c>
      <c r="B71" s="17"/>
      <c r="C71" s="17"/>
      <c r="D71" s="20" t="b">
        <f>D2</f>
        <v>0</v>
      </c>
      <c r="E71" s="20" t="b">
        <f>E2</f>
        <v>0</v>
      </c>
      <c r="F71" s="17"/>
      <c r="G71" s="17" t="b">
        <f>G2</f>
        <v>1</v>
      </c>
      <c r="H71" s="17" t="b">
        <f>H2</f>
        <v>1</v>
      </c>
      <c r="I71" s="17" t="b">
        <f>I2</f>
        <v>1</v>
      </c>
      <c r="J71" s="20" t="b">
        <f>J17</f>
        <v>0</v>
      </c>
      <c r="K71" s="17"/>
      <c r="L71" s="17"/>
      <c r="M71" s="17"/>
      <c r="N71" s="17"/>
      <c r="O71" s="17"/>
      <c r="P71" s="17"/>
      <c r="Q71" s="17"/>
      <c r="R71" s="17"/>
      <c r="S71" s="20" t="b">
        <f>S7</f>
        <v>0</v>
      </c>
      <c r="T71" s="17"/>
      <c r="U71" s="17"/>
      <c r="V71" s="17"/>
      <c r="W71" s="17"/>
      <c r="X71" s="17"/>
      <c r="Y71" s="17"/>
      <c r="Z71" s="17"/>
      <c r="AA71" s="20" t="b">
        <f>AA25</f>
        <v>0</v>
      </c>
      <c r="AB71" s="17"/>
      <c r="AC71" s="106" t="b">
        <f>AND((Table31[[#This Row],[Unisex]:[Regular]]),OR(Table31[[#This Row],[Small]:[Bariatric (XXXL)]]))</f>
        <v>0</v>
      </c>
      <c r="AD71" s="11" t="s">
        <v>1799</v>
      </c>
    </row>
    <row r="72" spans="1:30">
      <c r="A72" s="70" t="b">
        <f>IF(Table31[[#This Row],[Column8]],Table31[[#This Row],[Column9]])</f>
        <v>0</v>
      </c>
      <c r="B72" s="17"/>
      <c r="C72" s="17"/>
      <c r="D72" s="20" t="b">
        <f>D2</f>
        <v>0</v>
      </c>
      <c r="E72" s="17"/>
      <c r="F72" s="20" t="b">
        <f>F7</f>
        <v>0</v>
      </c>
      <c r="G72" s="17" t="b">
        <f>G2</f>
        <v>1</v>
      </c>
      <c r="H72" s="17" t="b">
        <f>H2</f>
        <v>1</v>
      </c>
      <c r="I72" s="17" t="b">
        <f>I2</f>
        <v>1</v>
      </c>
      <c r="J72" s="20" t="b">
        <f>J17</f>
        <v>0</v>
      </c>
      <c r="K72" s="17"/>
      <c r="L72" s="17"/>
      <c r="M72" s="17"/>
      <c r="N72" s="17"/>
      <c r="O72" s="17"/>
      <c r="P72" s="17"/>
      <c r="Q72" s="17"/>
      <c r="R72" s="17"/>
      <c r="S72" s="20" t="b">
        <f>S7</f>
        <v>0</v>
      </c>
      <c r="T72" s="17"/>
      <c r="U72" s="17"/>
      <c r="V72" s="17"/>
      <c r="W72" s="20" t="b">
        <f>W27</f>
        <v>0</v>
      </c>
      <c r="X72" s="20" t="b">
        <f>X25</f>
        <v>0</v>
      </c>
      <c r="Y72" s="17"/>
      <c r="Z72" s="17"/>
      <c r="AA72" s="17"/>
      <c r="AB72" s="17"/>
      <c r="AC72" s="106" t="b">
        <f>AND((Table31[[#This Row],[Unisex]:[Regular]]),OR(Table31[[#This Row],[Small]:[Bariatric (XXXL)]]))</f>
        <v>0</v>
      </c>
      <c r="AD72" s="11" t="s">
        <v>1802</v>
      </c>
    </row>
    <row r="73" spans="1:30">
      <c r="A73" s="70" t="b">
        <f>IF(Table31[[#This Row],[Column8]],Table31[[#This Row],[Column9]])</f>
        <v>0</v>
      </c>
      <c r="B73" s="17"/>
      <c r="C73" s="17"/>
      <c r="D73" s="20" t="b">
        <f>D2</f>
        <v>0</v>
      </c>
      <c r="E73" s="17"/>
      <c r="F73" s="20" t="b">
        <f>F7</f>
        <v>0</v>
      </c>
      <c r="G73" s="17" t="b">
        <f>G2</f>
        <v>1</v>
      </c>
      <c r="H73" s="17" t="b">
        <f>H2</f>
        <v>1</v>
      </c>
      <c r="I73" s="17" t="b">
        <f>I2</f>
        <v>1</v>
      </c>
      <c r="J73" s="20" t="b">
        <f>J17</f>
        <v>0</v>
      </c>
      <c r="K73" s="17"/>
      <c r="L73" s="17"/>
      <c r="M73" s="17"/>
      <c r="N73" s="17"/>
      <c r="O73" s="17"/>
      <c r="P73" s="17"/>
      <c r="Q73" s="17"/>
      <c r="R73" s="17"/>
      <c r="S73" s="20" t="b">
        <f>S7</f>
        <v>0</v>
      </c>
      <c r="T73" s="17"/>
      <c r="U73" s="17"/>
      <c r="V73" s="17"/>
      <c r="W73" s="17"/>
      <c r="X73" s="17"/>
      <c r="Y73" s="20" t="b">
        <f>Y25</f>
        <v>0</v>
      </c>
      <c r="Z73" s="17"/>
      <c r="AA73" s="17"/>
      <c r="AB73" s="17"/>
      <c r="AC73" s="106" t="b">
        <f>AND((Table31[[#This Row],[Unisex]:[Regular]]),OR(Table31[[#This Row],[Small]:[Bariatric (XXXL)]]))</f>
        <v>0</v>
      </c>
      <c r="AD73" s="11" t="s">
        <v>1803</v>
      </c>
    </row>
    <row r="74" spans="1:30">
      <c r="A74" s="70" t="b">
        <f>IF(Table31[[#This Row],[Column8]],Table31[[#This Row],[Column9]])</f>
        <v>0</v>
      </c>
      <c r="B74" s="17"/>
      <c r="C74" s="17"/>
      <c r="D74" s="20" t="b">
        <f>D2</f>
        <v>0</v>
      </c>
      <c r="E74" s="20" t="b">
        <f>E2</f>
        <v>0</v>
      </c>
      <c r="F74" s="17"/>
      <c r="G74" s="17" t="b">
        <f>G2</f>
        <v>1</v>
      </c>
      <c r="H74" s="17" t="b">
        <f>H2</f>
        <v>1</v>
      </c>
      <c r="I74" s="17" t="b">
        <f>I2</f>
        <v>1</v>
      </c>
      <c r="J74" s="17"/>
      <c r="K74" s="17"/>
      <c r="L74" s="20" t="b">
        <f>L2</f>
        <v>0</v>
      </c>
      <c r="M74" s="17"/>
      <c r="N74" s="17"/>
      <c r="O74" s="17"/>
      <c r="P74" s="17"/>
      <c r="Q74" s="20" t="b">
        <f>Q2</f>
        <v>0</v>
      </c>
      <c r="R74" s="17"/>
      <c r="S74" s="17"/>
      <c r="T74" s="17"/>
      <c r="U74" s="17"/>
      <c r="V74" s="17"/>
      <c r="W74" s="17"/>
      <c r="X74" s="17"/>
      <c r="Y74" s="17"/>
      <c r="Z74" s="17"/>
      <c r="AA74" s="17"/>
      <c r="AB74" s="17"/>
      <c r="AC74" t="b">
        <f>AND((Table31[[#This Row],[Unisex]:[Bariatric (XXXL)]]))</f>
        <v>0</v>
      </c>
      <c r="AD74" s="29" t="s">
        <v>1804</v>
      </c>
    </row>
    <row r="75" spans="1:30">
      <c r="A75" s="70" t="b">
        <f>IF(Table31[[#This Row],[Column8]],Table31[[#This Row],[Column9]])</f>
        <v>0</v>
      </c>
      <c r="B75" s="17"/>
      <c r="C75" s="17"/>
      <c r="D75" s="20" t="b">
        <f>D2</f>
        <v>0</v>
      </c>
      <c r="E75" s="20" t="b">
        <f>E2</f>
        <v>0</v>
      </c>
      <c r="F75" s="17"/>
      <c r="G75" s="17" t="b">
        <f>G2</f>
        <v>1</v>
      </c>
      <c r="H75" s="17" t="b">
        <f>H2</f>
        <v>1</v>
      </c>
      <c r="I75" s="17" t="b">
        <f>I2</f>
        <v>1</v>
      </c>
      <c r="J75" s="17"/>
      <c r="K75" s="20" t="b">
        <f>K4</f>
        <v>0</v>
      </c>
      <c r="L75" s="17"/>
      <c r="M75" s="17"/>
      <c r="N75" s="17"/>
      <c r="O75" s="17"/>
      <c r="P75" s="17"/>
      <c r="Q75" s="17"/>
      <c r="R75" s="20" t="b">
        <f>R6</f>
        <v>0</v>
      </c>
      <c r="S75" s="17"/>
      <c r="T75" s="17"/>
      <c r="U75" s="17"/>
      <c r="V75" s="20" t="b">
        <f>V3</f>
        <v>0</v>
      </c>
      <c r="W75" s="17"/>
      <c r="X75" s="17"/>
      <c r="Y75" s="17"/>
      <c r="Z75" s="17"/>
      <c r="AA75" s="17"/>
      <c r="AB75" s="17"/>
      <c r="AC75" t="b">
        <f>AND((Table31[[#This Row],[Unisex]:[Bariatric (XXXL)]]))</f>
        <v>0</v>
      </c>
      <c r="AD75" s="29" t="s">
        <v>1805</v>
      </c>
    </row>
    <row r="76" spans="1:30">
      <c r="A76" s="70" t="b">
        <f>IF(Table31[[#This Row],[Column8]],Table31[[#This Row],[Column9]])</f>
        <v>0</v>
      </c>
      <c r="B76" s="17"/>
      <c r="C76" s="17"/>
      <c r="D76" s="20" t="b">
        <f>D2</f>
        <v>0</v>
      </c>
      <c r="E76" s="20" t="b">
        <f>E2</f>
        <v>0</v>
      </c>
      <c r="F76" s="17"/>
      <c r="G76" s="17" t="b">
        <f>G2</f>
        <v>1</v>
      </c>
      <c r="H76" s="17" t="b">
        <f>H2</f>
        <v>1</v>
      </c>
      <c r="I76" s="17" t="b">
        <f>I2</f>
        <v>1</v>
      </c>
      <c r="J76" s="17"/>
      <c r="K76" s="20" t="b">
        <f>K4</f>
        <v>0</v>
      </c>
      <c r="L76" s="17"/>
      <c r="M76" s="17"/>
      <c r="N76" s="17"/>
      <c r="O76" s="17"/>
      <c r="P76" s="17"/>
      <c r="Q76" s="17"/>
      <c r="R76" s="17"/>
      <c r="S76" s="20" t="b">
        <f>S7</f>
        <v>0</v>
      </c>
      <c r="T76" s="17"/>
      <c r="U76" s="20" t="b">
        <f>U2</f>
        <v>0</v>
      </c>
      <c r="V76" s="17"/>
      <c r="W76" s="17"/>
      <c r="X76" s="17"/>
      <c r="Y76" s="17"/>
      <c r="Z76" s="17"/>
      <c r="AA76" s="17"/>
      <c r="AB76" s="17"/>
      <c r="AC76" t="b">
        <f>AND((Table31[[#This Row],[Unisex]:[Bariatric (XXXL)]]))</f>
        <v>0</v>
      </c>
      <c r="AD76" s="11" t="s">
        <v>1806</v>
      </c>
    </row>
    <row r="77" spans="1:30">
      <c r="A77" s="70" t="b">
        <f>IF(Table31[[#This Row],[Column8]],Table31[[#This Row],[Column9]])</f>
        <v>0</v>
      </c>
      <c r="B77" s="17"/>
      <c r="C77" s="17"/>
      <c r="D77" s="20" t="b">
        <f>D2</f>
        <v>0</v>
      </c>
      <c r="E77" s="20" t="b">
        <f>E2</f>
        <v>0</v>
      </c>
      <c r="F77" s="17"/>
      <c r="G77" s="17" t="b">
        <f>G2</f>
        <v>1</v>
      </c>
      <c r="H77" s="17" t="b">
        <f>H2</f>
        <v>1</v>
      </c>
      <c r="I77" s="17" t="b">
        <f>I2</f>
        <v>1</v>
      </c>
      <c r="J77" s="17"/>
      <c r="K77" s="20" t="b">
        <f>K4</f>
        <v>0</v>
      </c>
      <c r="L77" s="17"/>
      <c r="M77" s="17"/>
      <c r="N77" s="17"/>
      <c r="O77" s="17"/>
      <c r="P77" s="17"/>
      <c r="Q77" s="17"/>
      <c r="R77" s="17"/>
      <c r="S77" s="20" t="b">
        <f>S7</f>
        <v>0</v>
      </c>
      <c r="T77" s="17"/>
      <c r="U77" s="20" t="b">
        <f>U2</f>
        <v>0</v>
      </c>
      <c r="V77" s="17"/>
      <c r="W77" s="17"/>
      <c r="X77" s="17"/>
      <c r="Y77" s="17"/>
      <c r="Z77" s="17"/>
      <c r="AA77" s="17"/>
      <c r="AB77" s="17"/>
      <c r="AC77" t="b">
        <f>AND((Table31[[#This Row],[Unisex]:[Bariatric (XXXL)]]))</f>
        <v>0</v>
      </c>
      <c r="AD77" s="11" t="s">
        <v>1807</v>
      </c>
    </row>
    <row r="78" spans="1:30">
      <c r="A78" s="70" t="b">
        <f>IF(Table31[[#This Row],[Column8]],Table31[[#This Row],[Column9]])</f>
        <v>0</v>
      </c>
      <c r="B78" s="17"/>
      <c r="C78" s="17"/>
      <c r="D78" s="20" t="b">
        <f>D2</f>
        <v>0</v>
      </c>
      <c r="E78" s="20" t="b">
        <f>E2</f>
        <v>0</v>
      </c>
      <c r="F78" s="17"/>
      <c r="G78" s="17" t="b">
        <f>G2</f>
        <v>1</v>
      </c>
      <c r="H78" s="17" t="b">
        <f>H2</f>
        <v>1</v>
      </c>
      <c r="I78" s="17" t="b">
        <f>I2</f>
        <v>1</v>
      </c>
      <c r="J78" s="20" t="b">
        <f>J17</f>
        <v>0</v>
      </c>
      <c r="K78" s="17"/>
      <c r="L78" s="17"/>
      <c r="M78" s="17"/>
      <c r="N78" s="17"/>
      <c r="O78" s="17"/>
      <c r="P78" s="17"/>
      <c r="Q78" s="17"/>
      <c r="R78" s="17"/>
      <c r="S78" s="20" t="b">
        <f>S7</f>
        <v>0</v>
      </c>
      <c r="T78" s="17"/>
      <c r="U78" s="17"/>
      <c r="V78" s="17"/>
      <c r="W78" s="20" t="b">
        <f>W27</f>
        <v>0</v>
      </c>
      <c r="X78" s="20" t="b">
        <f>X25</f>
        <v>0</v>
      </c>
      <c r="Y78" s="17"/>
      <c r="Z78" s="17"/>
      <c r="AA78" s="17"/>
      <c r="AB78" s="17"/>
      <c r="AC78" s="106" t="b">
        <f>AND((Table31[[#This Row],[Unisex]:[Regular]]),OR(Table31[[#This Row],[Small]:[Bariatric (XXXL)]]))</f>
        <v>0</v>
      </c>
      <c r="AD78" s="29" t="s">
        <v>1808</v>
      </c>
    </row>
    <row r="79" spans="1:30">
      <c r="A79" s="70" t="b">
        <f>IF(Table31[[#This Row],[Column8]],Table31[[#This Row],[Column9]])</f>
        <v>0</v>
      </c>
      <c r="B79" s="17"/>
      <c r="C79" s="17"/>
      <c r="D79" s="20" t="b">
        <f>D2</f>
        <v>0</v>
      </c>
      <c r="E79" s="20" t="b">
        <f>E2</f>
        <v>0</v>
      </c>
      <c r="F79" s="17"/>
      <c r="G79" s="17" t="b">
        <f>G2</f>
        <v>1</v>
      </c>
      <c r="H79" s="17" t="b">
        <f>H2</f>
        <v>1</v>
      </c>
      <c r="I79" s="17" t="b">
        <f>I2</f>
        <v>1</v>
      </c>
      <c r="J79" s="20" t="b">
        <f>J17</f>
        <v>0</v>
      </c>
      <c r="K79" s="17"/>
      <c r="L79" s="17"/>
      <c r="M79" s="17"/>
      <c r="N79" s="17"/>
      <c r="O79" s="17"/>
      <c r="P79" s="17"/>
      <c r="Q79" s="17"/>
      <c r="R79" s="17"/>
      <c r="S79" s="20" t="b">
        <f>S7</f>
        <v>0</v>
      </c>
      <c r="T79" s="17"/>
      <c r="U79" s="17"/>
      <c r="V79" s="17"/>
      <c r="W79" s="17"/>
      <c r="X79" s="17"/>
      <c r="Y79" s="20" t="b">
        <f>Y25</f>
        <v>0</v>
      </c>
      <c r="Z79" s="17"/>
      <c r="AA79" s="17"/>
      <c r="AB79" s="17"/>
      <c r="AC79" s="106" t="b">
        <f>AND((Table31[[#This Row],[Unisex]:[Regular]]),OR(Table31[[#This Row],[Small]:[Bariatric (XXXL)]]))</f>
        <v>0</v>
      </c>
      <c r="AD79" s="11" t="s">
        <v>1809</v>
      </c>
    </row>
    <row r="80" spans="1:30">
      <c r="A80" s="70" t="b">
        <f>IF(Table31[[#This Row],[Column8]],Table31[[#This Row],[Column9]])</f>
        <v>0</v>
      </c>
      <c r="B80" s="17"/>
      <c r="C80" s="17"/>
      <c r="D80" s="20" t="b">
        <f>D2</f>
        <v>0</v>
      </c>
      <c r="E80" s="20" t="b">
        <f>E2</f>
        <v>0</v>
      </c>
      <c r="F80" s="17"/>
      <c r="G80" s="17" t="b">
        <f>G2</f>
        <v>1</v>
      </c>
      <c r="H80" s="17" t="b">
        <f>H2</f>
        <v>1</v>
      </c>
      <c r="I80" s="17" t="b">
        <f>I2</f>
        <v>1</v>
      </c>
      <c r="J80" s="20" t="b">
        <f>J17</f>
        <v>0</v>
      </c>
      <c r="K80" s="17"/>
      <c r="L80" s="17"/>
      <c r="M80" s="17"/>
      <c r="N80" s="17"/>
      <c r="O80" s="17"/>
      <c r="P80" s="17"/>
      <c r="Q80" s="17"/>
      <c r="R80" s="17"/>
      <c r="S80" s="20" t="b">
        <f>S7</f>
        <v>0</v>
      </c>
      <c r="T80" s="17"/>
      <c r="U80" s="17"/>
      <c r="V80" s="17"/>
      <c r="W80" s="17"/>
      <c r="X80" s="17"/>
      <c r="Y80" s="17"/>
      <c r="Z80" s="20" t="b">
        <f>Z25</f>
        <v>0</v>
      </c>
      <c r="AA80" s="17"/>
      <c r="AB80" s="17"/>
      <c r="AC80" s="106" t="b">
        <f>AND((Table31[[#This Row],[Unisex]:[Regular]]),OR(Table31[[#This Row],[Small]:[Bariatric (XXXL)]]))</f>
        <v>0</v>
      </c>
      <c r="AD80" s="11" t="s">
        <v>1810</v>
      </c>
    </row>
    <row r="81" spans="1:30">
      <c r="A81" s="70" t="b">
        <f>IF(Table31[[#This Row],[Column8]],Table31[[#This Row],[Column9]])</f>
        <v>0</v>
      </c>
      <c r="B81" s="17"/>
      <c r="C81" s="17"/>
      <c r="D81" s="20" t="b">
        <f>D2</f>
        <v>0</v>
      </c>
      <c r="E81" s="20" t="b">
        <f>E2</f>
        <v>0</v>
      </c>
      <c r="F81" s="17"/>
      <c r="G81" s="17" t="b">
        <f>G2</f>
        <v>1</v>
      </c>
      <c r="H81" s="17" t="b">
        <f>H2</f>
        <v>1</v>
      </c>
      <c r="I81" s="17" t="b">
        <f>I2</f>
        <v>1</v>
      </c>
      <c r="J81" s="20" t="b">
        <f>J17</f>
        <v>0</v>
      </c>
      <c r="K81" s="17"/>
      <c r="L81" s="17"/>
      <c r="M81" s="17"/>
      <c r="N81" s="17"/>
      <c r="O81" s="17"/>
      <c r="P81" s="17"/>
      <c r="Q81" s="17"/>
      <c r="R81" s="17"/>
      <c r="S81" s="20" t="b">
        <f>S7</f>
        <v>0</v>
      </c>
      <c r="T81" s="17"/>
      <c r="U81" s="17"/>
      <c r="V81" s="17"/>
      <c r="W81" s="20" t="b">
        <f>W27</f>
        <v>0</v>
      </c>
      <c r="X81" s="20" t="b">
        <f>X25</f>
        <v>0</v>
      </c>
      <c r="Y81" s="17"/>
      <c r="Z81" s="17"/>
      <c r="AA81" s="17"/>
      <c r="AB81" s="17"/>
      <c r="AC81" s="106" t="b">
        <f>AND((Table31[[#This Row],[Unisex]:[Regular]]),OR(Table31[[#This Row],[Small]:[Bariatric (XXXL)]]))</f>
        <v>0</v>
      </c>
      <c r="AD81" s="11" t="s">
        <v>1811</v>
      </c>
    </row>
    <row r="82" spans="1:30">
      <c r="A82" s="70" t="b">
        <f>IF(Table31[[#This Row],[Column8]],Table31[[#This Row],[Column9]])</f>
        <v>0</v>
      </c>
      <c r="B82" s="17"/>
      <c r="C82" s="17"/>
      <c r="D82" s="20" t="b">
        <f>D2</f>
        <v>0</v>
      </c>
      <c r="E82" s="20" t="b">
        <f>E2</f>
        <v>0</v>
      </c>
      <c r="F82" s="17"/>
      <c r="G82" s="17" t="b">
        <f>G2</f>
        <v>1</v>
      </c>
      <c r="H82" s="17" t="b">
        <f>H2</f>
        <v>1</v>
      </c>
      <c r="I82" s="17" t="b">
        <f>I2</f>
        <v>1</v>
      </c>
      <c r="J82" s="20" t="b">
        <f>J17</f>
        <v>0</v>
      </c>
      <c r="K82" s="17"/>
      <c r="L82" s="17"/>
      <c r="M82" s="17"/>
      <c r="N82" s="17"/>
      <c r="O82" s="17"/>
      <c r="P82" s="17"/>
      <c r="Q82" s="17"/>
      <c r="R82" s="17"/>
      <c r="S82" s="20" t="b">
        <f>S7</f>
        <v>0</v>
      </c>
      <c r="T82" s="17"/>
      <c r="U82" s="17"/>
      <c r="V82" s="17"/>
      <c r="W82" s="17"/>
      <c r="X82" s="17"/>
      <c r="Y82" s="20" t="b">
        <f>Y25</f>
        <v>0</v>
      </c>
      <c r="Z82" s="17"/>
      <c r="AA82" s="17"/>
      <c r="AB82" s="17"/>
      <c r="AC82" s="106" t="b">
        <f>AND((Table31[[#This Row],[Unisex]:[Regular]]),OR(Table31[[#This Row],[Small]:[Bariatric (XXXL)]]))</f>
        <v>0</v>
      </c>
      <c r="AD82" s="11" t="s">
        <v>1812</v>
      </c>
    </row>
    <row r="83" spans="1:30">
      <c r="A83" s="18" t="b">
        <f>IF(Table31[[#This Row],[Column8]],Table31[[#This Row],[Column9]])</f>
        <v>0</v>
      </c>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row>
    <row r="84" spans="1:30">
      <c r="A84" s="70" t="b">
        <f>IF(Table31[[#This Row],[Column8]],Table31[[#This Row],[Column9]])</f>
        <v>0</v>
      </c>
      <c r="B84" s="20" t="b">
        <f>B25</f>
        <v>0</v>
      </c>
      <c r="C84" s="17"/>
      <c r="D84" s="17"/>
      <c r="E84" s="20" t="b">
        <f>E2</f>
        <v>0</v>
      </c>
      <c r="F84" s="17"/>
      <c r="G84" s="17" t="b">
        <f>G2</f>
        <v>1</v>
      </c>
      <c r="H84" s="17" t="b">
        <f>H2</f>
        <v>1</v>
      </c>
      <c r="I84" s="17" t="b">
        <f>I2</f>
        <v>1</v>
      </c>
      <c r="J84" s="17"/>
      <c r="K84" s="17"/>
      <c r="L84" s="17"/>
      <c r="M84" s="17"/>
      <c r="N84" s="17"/>
      <c r="O84" s="20" t="b">
        <f>O25</f>
        <v>0</v>
      </c>
      <c r="P84" s="17"/>
      <c r="Q84" s="17"/>
      <c r="R84" s="17"/>
      <c r="S84" s="20" t="b">
        <f>S7</f>
        <v>0</v>
      </c>
      <c r="T84" s="17"/>
      <c r="U84" s="17"/>
      <c r="V84" s="17"/>
      <c r="W84" s="20" t="b">
        <f>W27</f>
        <v>0</v>
      </c>
      <c r="X84" s="20" t="b">
        <f>X25</f>
        <v>0</v>
      </c>
      <c r="Y84" s="20" t="b">
        <f>Y25</f>
        <v>0</v>
      </c>
      <c r="Z84" s="20" t="b">
        <f>Z25</f>
        <v>0</v>
      </c>
      <c r="AA84" s="17"/>
      <c r="AB84" s="17"/>
      <c r="AC84" s="106" t="b">
        <f>AND((Table31[[#This Row],[Unisex]:[Regular]]),OR(Table31[[#This Row],[Small]:[Bariatric (XXXL)]]))</f>
        <v>0</v>
      </c>
      <c r="AD84" s="28" t="s">
        <v>1813</v>
      </c>
    </row>
    <row r="85" spans="1:30">
      <c r="A85" s="70" t="b">
        <f>IF(Table31[[#This Row],[Column8]],Table31[[#This Row],[Column9]])</f>
        <v>0</v>
      </c>
      <c r="B85" s="20" t="b">
        <f>B25</f>
        <v>0</v>
      </c>
      <c r="C85" s="17"/>
      <c r="D85" s="17"/>
      <c r="E85" s="20" t="b">
        <f>E2</f>
        <v>0</v>
      </c>
      <c r="F85" s="17"/>
      <c r="G85" s="17" t="b">
        <f>G2</f>
        <v>1</v>
      </c>
      <c r="H85" s="17" t="b">
        <f>H2</f>
        <v>1</v>
      </c>
      <c r="I85" s="17" t="b">
        <f>I2</f>
        <v>1</v>
      </c>
      <c r="J85" s="17"/>
      <c r="K85" s="17"/>
      <c r="L85" s="17"/>
      <c r="M85" s="17"/>
      <c r="N85" s="17"/>
      <c r="O85" s="20" t="b">
        <f>O25</f>
        <v>0</v>
      </c>
      <c r="P85" s="17"/>
      <c r="Q85" s="17"/>
      <c r="R85" s="17"/>
      <c r="S85" s="20" t="b">
        <f>S7</f>
        <v>0</v>
      </c>
      <c r="T85" s="17"/>
      <c r="U85" s="17"/>
      <c r="V85" s="17"/>
      <c r="W85" s="17"/>
      <c r="X85" s="17"/>
      <c r="Y85" s="17"/>
      <c r="Z85" s="17"/>
      <c r="AA85" s="20" t="b">
        <f>AA25</f>
        <v>0</v>
      </c>
      <c r="AB85" s="20" t="b">
        <f>AB30</f>
        <v>0</v>
      </c>
      <c r="AC85" s="106" t="b">
        <f>AND((Table31[[#This Row],[Unisex]:[Regular]]),OR(Table31[[#This Row],[Small]:[Bariatric (XXXL)]]))</f>
        <v>0</v>
      </c>
      <c r="AD85" s="28" t="s">
        <v>1815</v>
      </c>
    </row>
    <row r="86" spans="1:30">
      <c r="A86" s="70" t="b">
        <f>IF(Table31[[#This Row],[Column8]],Table31[[#This Row],[Column9]])</f>
        <v>0</v>
      </c>
      <c r="B86" s="20" t="b">
        <f>B25</f>
        <v>0</v>
      </c>
      <c r="C86" s="17"/>
      <c r="D86" s="17"/>
      <c r="E86" s="20" t="b">
        <f>E2</f>
        <v>0</v>
      </c>
      <c r="F86" s="17"/>
      <c r="G86" s="17" t="b">
        <f>G2</f>
        <v>1</v>
      </c>
      <c r="H86" s="17" t="b">
        <f>H2</f>
        <v>1</v>
      </c>
      <c r="I86" s="17" t="b">
        <f>I2</f>
        <v>1</v>
      </c>
      <c r="J86" s="17"/>
      <c r="K86" s="17"/>
      <c r="L86" s="17"/>
      <c r="M86" s="17"/>
      <c r="N86" s="17"/>
      <c r="O86" s="20" t="b">
        <f>O25</f>
        <v>0</v>
      </c>
      <c r="P86" s="17"/>
      <c r="Q86" s="17"/>
      <c r="R86" s="17"/>
      <c r="S86" s="20" t="b">
        <f>S7</f>
        <v>0</v>
      </c>
      <c r="T86" s="17"/>
      <c r="U86" s="17"/>
      <c r="V86" s="17"/>
      <c r="W86" s="20" t="b">
        <f>W27</f>
        <v>0</v>
      </c>
      <c r="X86" s="20" t="b">
        <f>X25</f>
        <v>0</v>
      </c>
      <c r="Y86" s="20" t="b">
        <f>Y25</f>
        <v>0</v>
      </c>
      <c r="Z86" s="20" t="b">
        <f>Z25</f>
        <v>0</v>
      </c>
      <c r="AA86" s="17"/>
      <c r="AB86" s="17"/>
      <c r="AC86" s="106" t="b">
        <f>AND((Table31[[#This Row],[Unisex]:[Regular]]),OR(Table31[[#This Row],[Small]:[Bariatric (XXXL)]]))</f>
        <v>0</v>
      </c>
      <c r="AD86" s="28" t="s">
        <v>1816</v>
      </c>
    </row>
    <row r="87" spans="1:30">
      <c r="A87" s="70" t="b">
        <f>IF(Table31[[#This Row],[Column8]],Table31[[#This Row],[Column9]])</f>
        <v>0</v>
      </c>
      <c r="B87" s="20" t="b">
        <f>B25</f>
        <v>0</v>
      </c>
      <c r="C87" s="17"/>
      <c r="D87" s="17"/>
      <c r="E87" s="17"/>
      <c r="F87" s="20" t="b">
        <f>F7</f>
        <v>0</v>
      </c>
      <c r="G87" s="17" t="b">
        <f>G2</f>
        <v>1</v>
      </c>
      <c r="H87" s="17" t="b">
        <f>H2</f>
        <v>1</v>
      </c>
      <c r="I87" s="17" t="b">
        <f>I2</f>
        <v>1</v>
      </c>
      <c r="J87" s="17"/>
      <c r="K87" s="17"/>
      <c r="L87" s="17"/>
      <c r="M87" s="17"/>
      <c r="N87" s="17"/>
      <c r="O87" s="20" t="b">
        <f>O25</f>
        <v>0</v>
      </c>
      <c r="P87" s="17"/>
      <c r="Q87" s="17"/>
      <c r="R87" s="17"/>
      <c r="S87" s="17"/>
      <c r="T87" s="20" t="b">
        <f>T26</f>
        <v>0</v>
      </c>
      <c r="U87" s="17"/>
      <c r="V87" s="17"/>
      <c r="W87" s="17"/>
      <c r="X87" s="20" t="b">
        <f>X25</f>
        <v>0</v>
      </c>
      <c r="Y87" s="20" t="b">
        <f>Y25</f>
        <v>0</v>
      </c>
      <c r="Z87" s="20" t="b">
        <f>Z25</f>
        <v>0</v>
      </c>
      <c r="AA87" s="17"/>
      <c r="AB87" s="17"/>
      <c r="AC87" s="106" t="b">
        <f>AND((Table31[[#This Row],[Unisex]:[Regular]]),OR(Table31[[#This Row],[Small]:[Bariatric (XXXL)]]))</f>
        <v>0</v>
      </c>
      <c r="AD87" s="28" t="s">
        <v>1817</v>
      </c>
    </row>
    <row r="88" spans="1:30">
      <c r="A88" s="70" t="b">
        <f>IF(Table31[[#This Row],[Column8]],Table31[[#This Row],[Column9]])</f>
        <v>0</v>
      </c>
      <c r="B88" s="20" t="b">
        <f>B25</f>
        <v>0</v>
      </c>
      <c r="C88" s="17"/>
      <c r="D88" s="17"/>
      <c r="E88" s="20" t="b">
        <f>E2</f>
        <v>0</v>
      </c>
      <c r="F88" s="17"/>
      <c r="G88" s="17" t="b">
        <f>G2</f>
        <v>1</v>
      </c>
      <c r="H88" s="17" t="b">
        <f>H2</f>
        <v>1</v>
      </c>
      <c r="I88" s="17" t="b">
        <f>I2</f>
        <v>1</v>
      </c>
      <c r="J88" s="17"/>
      <c r="K88" s="17"/>
      <c r="L88" s="17"/>
      <c r="M88" s="17"/>
      <c r="N88" s="17"/>
      <c r="O88" s="20" t="b">
        <f>O25</f>
        <v>0</v>
      </c>
      <c r="P88" s="17"/>
      <c r="Q88" s="17"/>
      <c r="R88" s="17"/>
      <c r="S88" s="20" t="b">
        <f>S7</f>
        <v>0</v>
      </c>
      <c r="T88" s="17"/>
      <c r="U88" s="17"/>
      <c r="V88" s="17"/>
      <c r="W88" s="20" t="b">
        <f>W27</f>
        <v>0</v>
      </c>
      <c r="X88" s="20" t="b">
        <f>X25</f>
        <v>0</v>
      </c>
      <c r="Y88" s="20" t="b">
        <f>Y25</f>
        <v>0</v>
      </c>
      <c r="Z88" s="20" t="b">
        <f>Z25</f>
        <v>0</v>
      </c>
      <c r="AA88" s="17"/>
      <c r="AB88" s="17"/>
      <c r="AC88" s="106" t="b">
        <f>AND((Table31[[#This Row],[Unisex]:[Regular]]),OR(Table31[[#This Row],[Small]:[Bariatric (XXXL)]]))</f>
        <v>0</v>
      </c>
      <c r="AD88" s="28" t="s">
        <v>1818</v>
      </c>
    </row>
    <row r="89" spans="1:30">
      <c r="A89" s="70" t="b">
        <f>IF(Table31[[#This Row],[Column8]],Table31[[#This Row],[Column9]])</f>
        <v>0</v>
      </c>
      <c r="B89" s="20" t="b">
        <f>B25</f>
        <v>0</v>
      </c>
      <c r="C89" s="17"/>
      <c r="D89" s="17"/>
      <c r="E89" s="20" t="b">
        <f>E2</f>
        <v>0</v>
      </c>
      <c r="F89" s="17"/>
      <c r="G89" s="17" t="b">
        <f>G2</f>
        <v>1</v>
      </c>
      <c r="H89" s="17" t="b">
        <f>H2</f>
        <v>1</v>
      </c>
      <c r="I89" s="17" t="b">
        <f>I2</f>
        <v>1</v>
      </c>
      <c r="J89" s="17"/>
      <c r="K89" s="17"/>
      <c r="L89" s="17"/>
      <c r="M89" s="17"/>
      <c r="N89" s="17"/>
      <c r="O89" s="20" t="b">
        <f>O25</f>
        <v>0</v>
      </c>
      <c r="P89" s="17"/>
      <c r="Q89" s="17"/>
      <c r="R89" s="17"/>
      <c r="S89" s="20" t="b">
        <f>S7</f>
        <v>0</v>
      </c>
      <c r="T89" s="17"/>
      <c r="U89" s="17"/>
      <c r="V89" s="17"/>
      <c r="W89" s="17"/>
      <c r="X89" s="20" t="b">
        <f>X25</f>
        <v>0</v>
      </c>
      <c r="Y89" s="20" t="b">
        <f>Y25</f>
        <v>0</v>
      </c>
      <c r="Z89" s="20" t="b">
        <f>Z25</f>
        <v>0</v>
      </c>
      <c r="AA89" s="17"/>
      <c r="AB89" s="17"/>
      <c r="AC89" s="106" t="b">
        <f>AND((Table31[[#This Row],[Unisex]:[Regular]]),OR(Table31[[#This Row],[Small]:[Bariatric (XXXL)]]))</f>
        <v>0</v>
      </c>
      <c r="AD89" s="28" t="s">
        <v>1819</v>
      </c>
    </row>
    <row r="90" spans="1:30">
      <c r="A90" s="70" t="b">
        <f>IF(Table31[[#This Row],[Column8]],Table31[[#This Row],[Column9]])</f>
        <v>0</v>
      </c>
      <c r="B90" s="20" t="b">
        <f>B25</f>
        <v>0</v>
      </c>
      <c r="C90" s="17"/>
      <c r="D90" s="17"/>
      <c r="E90" s="17"/>
      <c r="F90" s="20" t="b">
        <f>F7</f>
        <v>0</v>
      </c>
      <c r="G90" s="17" t="b">
        <f>G2</f>
        <v>1</v>
      </c>
      <c r="H90" s="17" t="b">
        <f>H2</f>
        <v>1</v>
      </c>
      <c r="I90" s="17" t="b">
        <f>I2</f>
        <v>1</v>
      </c>
      <c r="J90" s="17"/>
      <c r="K90" s="17"/>
      <c r="L90" s="17"/>
      <c r="M90" s="17"/>
      <c r="N90" s="17"/>
      <c r="O90" s="20" t="b">
        <f>O25</f>
        <v>0</v>
      </c>
      <c r="P90" s="17"/>
      <c r="Q90" s="17"/>
      <c r="R90" s="17"/>
      <c r="S90" s="17"/>
      <c r="T90" s="20" t="b">
        <f>T26</f>
        <v>0</v>
      </c>
      <c r="U90" s="17"/>
      <c r="V90" s="17"/>
      <c r="W90" s="17"/>
      <c r="X90" s="20" t="b">
        <f>X25</f>
        <v>0</v>
      </c>
      <c r="Y90" s="20" t="b">
        <f>Y25</f>
        <v>0</v>
      </c>
      <c r="Z90" s="20" t="b">
        <f>Z25</f>
        <v>0</v>
      </c>
      <c r="AA90" s="17"/>
      <c r="AB90" s="17"/>
      <c r="AC90" s="106" t="b">
        <f>AND((Table31[[#This Row],[Unisex]:[Regular]]),OR(Table31[[#This Row],[Small]:[Bariatric (XXXL)]]))</f>
        <v>0</v>
      </c>
      <c r="AD90" s="28" t="s">
        <v>1820</v>
      </c>
    </row>
    <row r="91" spans="1:30">
      <c r="A91" s="70" t="b">
        <f>IF(Table31[[#This Row],[Column8]],Table31[[#This Row],[Column9]])</f>
        <v>0</v>
      </c>
      <c r="B91" s="20" t="b">
        <f>B25</f>
        <v>0</v>
      </c>
      <c r="C91" s="17"/>
      <c r="D91" s="17"/>
      <c r="E91" s="20" t="b">
        <f>E2</f>
        <v>0</v>
      </c>
      <c r="F91" s="17"/>
      <c r="G91" s="17" t="b">
        <f>G2</f>
        <v>1</v>
      </c>
      <c r="H91" s="20" t="b">
        <f>H33</f>
        <v>1</v>
      </c>
      <c r="I91" s="17" t="b">
        <f>I2</f>
        <v>1</v>
      </c>
      <c r="J91" s="17"/>
      <c r="K91" s="17"/>
      <c r="L91" s="17"/>
      <c r="M91" s="17"/>
      <c r="N91" s="17"/>
      <c r="O91" s="20" t="b">
        <f>O25</f>
        <v>0</v>
      </c>
      <c r="P91" s="17"/>
      <c r="Q91" s="17"/>
      <c r="R91" s="17"/>
      <c r="S91" s="20" t="b">
        <f>S7</f>
        <v>0</v>
      </c>
      <c r="T91" s="17"/>
      <c r="U91" s="17"/>
      <c r="V91" s="17"/>
      <c r="W91" s="20" t="b">
        <f>W27</f>
        <v>0</v>
      </c>
      <c r="X91" s="20" t="b">
        <f>X25</f>
        <v>0</v>
      </c>
      <c r="Y91" s="17"/>
      <c r="Z91" s="20" t="b">
        <f>Z25</f>
        <v>0</v>
      </c>
      <c r="AA91" s="17"/>
      <c r="AB91" s="17"/>
      <c r="AC91" s="106" t="b">
        <f>AND((Table31[[#This Row],[Unisex]:[Regular]]),OR(Table31[[#This Row],[Small]:[Bariatric (XXXL)]]))</f>
        <v>0</v>
      </c>
      <c r="AD91" s="28" t="s">
        <v>1821</v>
      </c>
    </row>
    <row r="92" spans="1:30">
      <c r="A92" s="70" t="b">
        <f>IF(Table31[[#This Row],[Column8]],Table31[[#This Row],[Column9]])</f>
        <v>0</v>
      </c>
      <c r="B92" s="20" t="b">
        <f>B25</f>
        <v>0</v>
      </c>
      <c r="C92" s="17"/>
      <c r="D92" s="17"/>
      <c r="E92" s="20" t="b">
        <f>E2</f>
        <v>0</v>
      </c>
      <c r="F92" s="17"/>
      <c r="G92" s="17" t="b">
        <f>G2</f>
        <v>1</v>
      </c>
      <c r="H92" s="17" t="b">
        <f>H2</f>
        <v>1</v>
      </c>
      <c r="I92" s="17" t="b">
        <f>I2</f>
        <v>1</v>
      </c>
      <c r="J92" s="17"/>
      <c r="K92" s="17"/>
      <c r="L92" s="17"/>
      <c r="M92" s="17"/>
      <c r="N92" s="17"/>
      <c r="O92" s="20" t="b">
        <f>O25</f>
        <v>0</v>
      </c>
      <c r="P92" s="17"/>
      <c r="Q92" s="17"/>
      <c r="R92" s="17"/>
      <c r="S92" s="20" t="b">
        <f>S7</f>
        <v>0</v>
      </c>
      <c r="T92" s="17"/>
      <c r="U92" s="17"/>
      <c r="V92" s="17"/>
      <c r="W92" s="20" t="b">
        <f>W27</f>
        <v>0</v>
      </c>
      <c r="X92" s="17"/>
      <c r="Y92" s="17"/>
      <c r="Z92" s="17"/>
      <c r="AA92" s="17"/>
      <c r="AB92" s="17"/>
      <c r="AC92" s="106" t="b">
        <f>AND((Table31[[#This Row],[Unisex]:[Regular]]),OR(Table31[[#This Row],[Small]:[Bariatric (XXXL)]]))</f>
        <v>0</v>
      </c>
      <c r="AD92" s="28" t="s">
        <v>1822</v>
      </c>
    </row>
    <row r="93" spans="1:30">
      <c r="A93" s="70" t="b">
        <f>IF(Table31[[#This Row],[Column8]],Table31[[#This Row],[Column9]])</f>
        <v>0</v>
      </c>
      <c r="B93" s="20" t="b">
        <f>B25</f>
        <v>0</v>
      </c>
      <c r="C93" s="17"/>
      <c r="D93" s="17"/>
      <c r="E93" s="20" t="b">
        <f>E2</f>
        <v>0</v>
      </c>
      <c r="F93" s="17"/>
      <c r="G93" s="17" t="b">
        <f>G2</f>
        <v>1</v>
      </c>
      <c r="H93" s="20" t="b">
        <f>H33</f>
        <v>1</v>
      </c>
      <c r="I93" s="17" t="b">
        <f>I2</f>
        <v>1</v>
      </c>
      <c r="J93" s="20" t="b">
        <f>J17</f>
        <v>0</v>
      </c>
      <c r="K93" s="17"/>
      <c r="L93" s="17"/>
      <c r="M93" s="17"/>
      <c r="N93" s="17"/>
      <c r="O93" s="17"/>
      <c r="P93" s="17"/>
      <c r="Q93" s="17"/>
      <c r="R93" s="20" t="b">
        <f>R6</f>
        <v>0</v>
      </c>
      <c r="S93" s="17"/>
      <c r="T93" s="17"/>
      <c r="U93" s="17"/>
      <c r="V93" s="17"/>
      <c r="W93" s="20" t="b">
        <f>W27</f>
        <v>0</v>
      </c>
      <c r="X93" s="20" t="b">
        <f>X25</f>
        <v>0</v>
      </c>
      <c r="Y93" s="20" t="b">
        <f>Y25</f>
        <v>0</v>
      </c>
      <c r="Z93" s="20" t="b">
        <f>Z25</f>
        <v>0</v>
      </c>
      <c r="AA93" s="17"/>
      <c r="AB93" s="17"/>
      <c r="AC93" s="106" t="b">
        <f>AND((Table31[[#This Row],[Unisex]:[Regular]]),OR(Table31[[#This Row],[Small]:[Bariatric (XXXL)]]))</f>
        <v>0</v>
      </c>
      <c r="AD93" s="28" t="s">
        <v>1814</v>
      </c>
    </row>
    <row r="94" spans="1:30">
      <c r="A94" s="70" t="b">
        <f>IF(Table31[[#This Row],[Column8]],Table31[[#This Row],[Column9]])</f>
        <v>0</v>
      </c>
      <c r="B94" s="20" t="b">
        <f>B25</f>
        <v>0</v>
      </c>
      <c r="C94" s="17"/>
      <c r="D94" s="17"/>
      <c r="E94" s="20" t="b">
        <f>E2</f>
        <v>0</v>
      </c>
      <c r="F94" s="17"/>
      <c r="G94" s="17" t="b">
        <f>G2</f>
        <v>1</v>
      </c>
      <c r="H94" s="17" t="b">
        <f>H2</f>
        <v>1</v>
      </c>
      <c r="I94" s="17" t="b">
        <f>I2</f>
        <v>1</v>
      </c>
      <c r="J94" s="20" t="b">
        <f>J17</f>
        <v>0</v>
      </c>
      <c r="K94" s="17"/>
      <c r="L94" s="17"/>
      <c r="M94" s="17"/>
      <c r="N94" s="17"/>
      <c r="O94" s="17"/>
      <c r="P94" s="17"/>
      <c r="Q94" s="17"/>
      <c r="R94" s="17"/>
      <c r="S94" s="20" t="b">
        <f>S7</f>
        <v>0</v>
      </c>
      <c r="T94" s="17"/>
      <c r="U94" s="17"/>
      <c r="V94" s="17"/>
      <c r="W94" s="17"/>
      <c r="X94" s="17"/>
      <c r="Y94" s="17"/>
      <c r="Z94" s="17"/>
      <c r="AA94" s="20" t="b">
        <f>AA25</f>
        <v>0</v>
      </c>
      <c r="AB94" s="20" t="b">
        <f>AB30</f>
        <v>0</v>
      </c>
      <c r="AC94" s="106" t="b">
        <f>AND((Table31[[#This Row],[Unisex]:[Regular]]),OR(Table31[[#This Row],[Small]:[Bariatric (XXXL)]]))</f>
        <v>0</v>
      </c>
      <c r="AD94" s="28" t="s">
        <v>1823</v>
      </c>
    </row>
    <row r="95" spans="1:30">
      <c r="A95" s="70" t="b">
        <f>IF(Table31[[#This Row],[Column8]],Table31[[#This Row],[Column9]])</f>
        <v>0</v>
      </c>
      <c r="B95" s="20" t="b">
        <f>B25</f>
        <v>0</v>
      </c>
      <c r="C95" s="17"/>
      <c r="D95" s="17"/>
      <c r="E95" s="20" t="b">
        <f>E2</f>
        <v>0</v>
      </c>
      <c r="F95" s="17"/>
      <c r="G95" s="17" t="b">
        <f>G2</f>
        <v>1</v>
      </c>
      <c r="H95" s="17" t="b">
        <f>H2</f>
        <v>1</v>
      </c>
      <c r="I95" s="17" t="b">
        <f>I2</f>
        <v>1</v>
      </c>
      <c r="J95" s="20" t="b">
        <f>J17</f>
        <v>0</v>
      </c>
      <c r="K95" s="17"/>
      <c r="L95" s="17"/>
      <c r="M95" s="17"/>
      <c r="N95" s="17"/>
      <c r="O95" s="17"/>
      <c r="P95" s="17"/>
      <c r="Q95" s="17"/>
      <c r="R95" s="20" t="b">
        <f>R6</f>
        <v>0</v>
      </c>
      <c r="S95" s="17"/>
      <c r="T95" s="17"/>
      <c r="U95" s="17"/>
      <c r="V95" s="17"/>
      <c r="W95" s="17"/>
      <c r="X95" s="17"/>
      <c r="Y95" s="17"/>
      <c r="Z95" s="17"/>
      <c r="AA95" s="17"/>
      <c r="AB95" s="17"/>
      <c r="AC95" t="b">
        <f>AND((Table31[[#This Row],[Unisex]:[Bariatric (XXXL)]]))</f>
        <v>0</v>
      </c>
      <c r="AD95" s="28" t="s">
        <v>1824</v>
      </c>
    </row>
    <row r="96" spans="1:30">
      <c r="A96" s="70" t="b">
        <f>IF(Table31[[#This Row],[Column8]],Table31[[#This Row],[Column9]])</f>
        <v>0</v>
      </c>
      <c r="B96" s="17"/>
      <c r="C96" s="20" t="b">
        <f>C13</f>
        <v>0</v>
      </c>
      <c r="D96" s="17"/>
      <c r="E96" s="20" t="b">
        <f>E2</f>
        <v>0</v>
      </c>
      <c r="F96" s="17"/>
      <c r="G96" s="17" t="b">
        <f>G2</f>
        <v>1</v>
      </c>
      <c r="H96" s="20" t="b">
        <f>H33</f>
        <v>1</v>
      </c>
      <c r="I96" s="17" t="b">
        <f>I2</f>
        <v>1</v>
      </c>
      <c r="J96" s="20" t="b">
        <f>J17</f>
        <v>0</v>
      </c>
      <c r="K96" s="17"/>
      <c r="L96" s="17"/>
      <c r="M96" s="17"/>
      <c r="N96" s="17"/>
      <c r="O96" s="17"/>
      <c r="P96" s="17"/>
      <c r="Q96" s="17"/>
      <c r="R96" s="20" t="b">
        <f>R6</f>
        <v>0</v>
      </c>
      <c r="S96" s="17"/>
      <c r="T96" s="17"/>
      <c r="U96" s="17"/>
      <c r="V96" s="17"/>
      <c r="W96" s="20" t="b">
        <f>W27</f>
        <v>0</v>
      </c>
      <c r="X96" s="20" t="b">
        <f>X25</f>
        <v>0</v>
      </c>
      <c r="Y96" s="20" t="b">
        <f>Y25</f>
        <v>0</v>
      </c>
      <c r="Z96" s="20" t="b">
        <f>Z25</f>
        <v>0</v>
      </c>
      <c r="AA96" s="17"/>
      <c r="AB96" s="17"/>
      <c r="AC96" s="106" t="b">
        <f>AND((Table31[[#This Row],[Unisex]:[Regular]]),OR(Table31[[#This Row],[Small]:[Bariatric (XXXL)]]))</f>
        <v>0</v>
      </c>
      <c r="AD96" s="28" t="s">
        <v>1825</v>
      </c>
    </row>
    <row r="97" spans="1:30">
      <c r="A97" s="70" t="b">
        <f>IF(Table31[[#This Row],[Column8]],Table31[[#This Row],[Column9]])</f>
        <v>0</v>
      </c>
      <c r="B97" s="17"/>
      <c r="C97" s="17"/>
      <c r="D97" s="20" t="b">
        <f>D2</f>
        <v>0</v>
      </c>
      <c r="E97" s="20" t="b">
        <f>E2</f>
        <v>0</v>
      </c>
      <c r="F97" s="17"/>
      <c r="G97" s="17" t="b">
        <f>G2</f>
        <v>1</v>
      </c>
      <c r="H97" s="20" t="b">
        <f>H33</f>
        <v>1</v>
      </c>
      <c r="I97" s="17" t="b">
        <f>I2</f>
        <v>1</v>
      </c>
      <c r="J97" s="20" t="b">
        <f>J17</f>
        <v>0</v>
      </c>
      <c r="K97" s="17"/>
      <c r="L97" s="17"/>
      <c r="M97" s="17"/>
      <c r="N97" s="17"/>
      <c r="O97" s="17"/>
      <c r="P97" s="17"/>
      <c r="Q97" s="17"/>
      <c r="R97" s="20" t="b">
        <f>R6</f>
        <v>0</v>
      </c>
      <c r="S97" s="17"/>
      <c r="T97" s="17"/>
      <c r="U97" s="17"/>
      <c r="V97" s="17"/>
      <c r="W97" s="17"/>
      <c r="X97" s="20" t="b">
        <f>X25</f>
        <v>0</v>
      </c>
      <c r="Y97" s="20" t="b">
        <f>Y25</f>
        <v>0</v>
      </c>
      <c r="Z97" s="20" t="b">
        <f>Z25</f>
        <v>0</v>
      </c>
      <c r="AA97" s="17"/>
      <c r="AB97" s="17"/>
      <c r="AC97" s="106" t="b">
        <f>AND((Table31[[#This Row],[Unisex]:[Regular]]),OR(Table31[[#This Row],[Small]:[Bariatric (XXXL)]]))</f>
        <v>0</v>
      </c>
      <c r="AD97" s="28" t="s">
        <v>1826</v>
      </c>
    </row>
    <row r="98" spans="1:30">
      <c r="A98" s="70" t="b">
        <f>IF(Table31[[#This Row],[Column8]],Table31[[#This Row],[Column9]])</f>
        <v>0</v>
      </c>
      <c r="B98" s="20" t="b">
        <f>B25</f>
        <v>0</v>
      </c>
      <c r="C98" s="17"/>
      <c r="D98" s="17"/>
      <c r="E98" s="17"/>
      <c r="F98" s="20" t="b">
        <f>F7</f>
        <v>0</v>
      </c>
      <c r="G98" s="17" t="b">
        <f>G2</f>
        <v>1</v>
      </c>
      <c r="H98" s="17" t="b">
        <f>H2</f>
        <v>1</v>
      </c>
      <c r="I98" s="17" t="b">
        <f>I2</f>
        <v>1</v>
      </c>
      <c r="J98" s="20" t="b">
        <f>J17</f>
        <v>0</v>
      </c>
      <c r="K98" s="17"/>
      <c r="L98" s="17"/>
      <c r="M98" s="17"/>
      <c r="N98" s="17"/>
      <c r="O98" s="17"/>
      <c r="P98" s="17"/>
      <c r="Q98" s="17"/>
      <c r="R98" s="17"/>
      <c r="S98" s="17"/>
      <c r="T98" s="20" t="b">
        <f>T26</f>
        <v>0</v>
      </c>
      <c r="U98" s="17"/>
      <c r="V98" s="17"/>
      <c r="W98" s="17"/>
      <c r="X98" s="20" t="b">
        <f>X25</f>
        <v>0</v>
      </c>
      <c r="Y98" s="20" t="b">
        <f>Y25</f>
        <v>0</v>
      </c>
      <c r="Z98" s="20" t="b">
        <f>Z25</f>
        <v>0</v>
      </c>
      <c r="AA98" s="17"/>
      <c r="AB98" s="17"/>
      <c r="AC98" s="106" t="b">
        <f>AND((Table31[[#This Row],[Unisex]:[Regular]]),OR(Table31[[#This Row],[Small]:[Bariatric (XXXL)]]))</f>
        <v>0</v>
      </c>
      <c r="AD98" s="28" t="s">
        <v>1827</v>
      </c>
    </row>
    <row r="99" spans="1:30">
      <c r="A99" s="70" t="b">
        <f>IF(Table31[[#This Row],[Column8]],Table31[[#This Row],[Column9]])</f>
        <v>0</v>
      </c>
      <c r="B99" s="20" t="b">
        <f>B25</f>
        <v>0</v>
      </c>
      <c r="C99" s="17"/>
      <c r="D99" s="17"/>
      <c r="E99" s="20" t="b">
        <f>E2</f>
        <v>0</v>
      </c>
      <c r="F99" s="17"/>
      <c r="G99" s="17" t="b">
        <f>G2</f>
        <v>1</v>
      </c>
      <c r="H99" s="17" t="b">
        <f>H2</f>
        <v>1</v>
      </c>
      <c r="I99" s="17" t="b">
        <f>I2</f>
        <v>1</v>
      </c>
      <c r="J99" s="20" t="b">
        <f>J17</f>
        <v>0</v>
      </c>
      <c r="K99" s="17"/>
      <c r="L99" s="17"/>
      <c r="M99" s="17"/>
      <c r="N99" s="17"/>
      <c r="O99" s="17"/>
      <c r="P99" s="17"/>
      <c r="Q99" s="17"/>
      <c r="R99" s="17"/>
      <c r="S99" s="17"/>
      <c r="T99" s="20" t="b">
        <f>T26</f>
        <v>0</v>
      </c>
      <c r="U99" s="17"/>
      <c r="V99" s="17"/>
      <c r="W99" s="17"/>
      <c r="X99" s="20" t="b">
        <f>X25</f>
        <v>0</v>
      </c>
      <c r="Y99" s="20" t="b">
        <f>Y25</f>
        <v>0</v>
      </c>
      <c r="Z99" s="20" t="b">
        <f>Z25</f>
        <v>0</v>
      </c>
      <c r="AA99" s="17"/>
      <c r="AB99" s="17"/>
      <c r="AC99" s="106" t="b">
        <f>AND((Table31[[#This Row],[Unisex]:[Regular]]),OR(Table31[[#This Row],[Small]:[Bariatric (XXXL)]]))</f>
        <v>0</v>
      </c>
      <c r="AD99" s="28" t="s">
        <v>1828</v>
      </c>
    </row>
    <row r="100" spans="1:30">
      <c r="A100" s="70" t="b">
        <f>IF(Table31[[#This Row],[Column8]],Table31[[#This Row],[Column9]])</f>
        <v>0</v>
      </c>
      <c r="B100" s="20" t="b">
        <f>B25</f>
        <v>0</v>
      </c>
      <c r="C100" s="17"/>
      <c r="D100" s="17"/>
      <c r="E100" s="20" t="b">
        <f>E2</f>
        <v>0</v>
      </c>
      <c r="F100" s="17"/>
      <c r="G100" s="17" t="b">
        <f>G2</f>
        <v>1</v>
      </c>
      <c r="H100" s="20" t="b">
        <f>H33</f>
        <v>1</v>
      </c>
      <c r="I100" s="17" t="b">
        <f>I2</f>
        <v>1</v>
      </c>
      <c r="J100" s="20" t="b">
        <f>J17</f>
        <v>0</v>
      </c>
      <c r="K100" s="17"/>
      <c r="L100" s="17"/>
      <c r="M100" s="17"/>
      <c r="N100" s="17"/>
      <c r="O100" s="17"/>
      <c r="P100" s="17"/>
      <c r="Q100" s="17"/>
      <c r="R100" s="20" t="b">
        <f>R6</f>
        <v>0</v>
      </c>
      <c r="S100" s="17"/>
      <c r="T100" s="17"/>
      <c r="U100" s="17"/>
      <c r="V100" s="17"/>
      <c r="W100" s="17"/>
      <c r="X100" s="20" t="b">
        <f>X25</f>
        <v>0</v>
      </c>
      <c r="Y100" s="20" t="b">
        <f>Y25</f>
        <v>0</v>
      </c>
      <c r="Z100" s="20" t="b">
        <f>Z25</f>
        <v>0</v>
      </c>
      <c r="AA100" s="17"/>
      <c r="AB100" s="17"/>
      <c r="AC100" s="106" t="b">
        <f>AND((Table31[[#This Row],[Unisex]:[Regular]]),OR(Table31[[#This Row],[Small]:[Bariatric (XXXL)]]))</f>
        <v>0</v>
      </c>
      <c r="AD100" s="28" t="s">
        <v>1829</v>
      </c>
    </row>
    <row r="101" spans="1:30">
      <c r="A101" s="70" t="b">
        <f>IF(Table31[[#This Row],[Column8]],Table31[[#This Row],[Column9]])</f>
        <v>0</v>
      </c>
      <c r="B101" s="17"/>
      <c r="C101" s="20" t="b">
        <f>C13</f>
        <v>0</v>
      </c>
      <c r="D101" s="17"/>
      <c r="E101" s="20" t="b">
        <f>E2</f>
        <v>0</v>
      </c>
      <c r="F101" s="17"/>
      <c r="G101" s="17" t="b">
        <f>G2</f>
        <v>1</v>
      </c>
      <c r="H101" s="17" t="b">
        <f>H2</f>
        <v>1</v>
      </c>
      <c r="I101" s="17" t="b">
        <f>I2</f>
        <v>1</v>
      </c>
      <c r="J101" s="17"/>
      <c r="K101" s="17"/>
      <c r="L101" s="17"/>
      <c r="M101" s="17"/>
      <c r="N101" s="20" t="b">
        <f>N13</f>
        <v>0</v>
      </c>
      <c r="O101" s="17"/>
      <c r="P101" s="17"/>
      <c r="Q101" s="20" t="b">
        <f>Q2</f>
        <v>0</v>
      </c>
      <c r="R101" s="17"/>
      <c r="S101" s="17"/>
      <c r="T101" s="17"/>
      <c r="U101" s="17"/>
      <c r="V101" s="17"/>
      <c r="W101" s="17"/>
      <c r="X101" s="17"/>
      <c r="Y101" s="17"/>
      <c r="Z101" s="17"/>
      <c r="AA101" s="17"/>
      <c r="AB101" s="17"/>
      <c r="AC101" t="b">
        <f>AND((Table31[[#This Row],[Unisex]:[Bariatric (XXXL)]]))</f>
        <v>0</v>
      </c>
      <c r="AD101" s="28" t="s">
        <v>1830</v>
      </c>
    </row>
    <row r="102" spans="1:30">
      <c r="A102" s="70" t="b">
        <f>IF(Table31[[#This Row],[Column8]],Table31[[#This Row],[Column9]])</f>
        <v>0</v>
      </c>
      <c r="B102" s="17"/>
      <c r="C102" s="20" t="b">
        <f>C13</f>
        <v>0</v>
      </c>
      <c r="D102" s="17"/>
      <c r="E102" s="20" t="b">
        <f>E2</f>
        <v>0</v>
      </c>
      <c r="F102" s="17"/>
      <c r="G102" s="17" t="b">
        <f>G2</f>
        <v>1</v>
      </c>
      <c r="H102" s="17" t="b">
        <f>H2</f>
        <v>1</v>
      </c>
      <c r="I102" s="17" t="b">
        <f>I2</f>
        <v>1</v>
      </c>
      <c r="J102" s="17"/>
      <c r="K102" s="17"/>
      <c r="L102" s="17"/>
      <c r="M102" s="17"/>
      <c r="N102" s="20" t="b">
        <f>N13</f>
        <v>0</v>
      </c>
      <c r="O102" s="17"/>
      <c r="P102" s="17"/>
      <c r="Q102" s="17"/>
      <c r="R102" s="20" t="b">
        <f>R6</f>
        <v>0</v>
      </c>
      <c r="S102" s="17"/>
      <c r="T102" s="17"/>
      <c r="U102" s="17"/>
      <c r="V102" s="17"/>
      <c r="W102" s="17"/>
      <c r="X102" s="17"/>
      <c r="Y102" s="17"/>
      <c r="Z102" s="17"/>
      <c r="AA102" s="17"/>
      <c r="AB102" s="17"/>
      <c r="AC102" t="b">
        <f>AND((Table31[[#This Row],[Unisex]:[Bariatric (XXXL)]]))</f>
        <v>0</v>
      </c>
      <c r="AD102" s="28" t="s">
        <v>1831</v>
      </c>
    </row>
    <row r="103" spans="1:30">
      <c r="A103" s="70" t="b">
        <f>IF(Table31[[#This Row],[Column8]],Table31[[#This Row],[Column9]])</f>
        <v>0</v>
      </c>
      <c r="B103" s="17"/>
      <c r="C103" s="20" t="b">
        <f>C13</f>
        <v>0</v>
      </c>
      <c r="D103" s="17"/>
      <c r="E103" s="20" t="b">
        <f>E2</f>
        <v>0</v>
      </c>
      <c r="F103" s="17"/>
      <c r="G103" s="17" t="b">
        <f>G2</f>
        <v>1</v>
      </c>
      <c r="H103" s="17" t="b">
        <f>H2</f>
        <v>1</v>
      </c>
      <c r="I103" s="17" t="b">
        <f>I2</f>
        <v>1</v>
      </c>
      <c r="J103" s="17"/>
      <c r="K103" s="17"/>
      <c r="L103" s="17"/>
      <c r="M103" s="20" t="b">
        <f>M37</f>
        <v>0</v>
      </c>
      <c r="N103" s="17"/>
      <c r="O103" s="17"/>
      <c r="P103" s="20" t="b">
        <f>P13</f>
        <v>0</v>
      </c>
      <c r="Q103" s="17"/>
      <c r="R103" s="17"/>
      <c r="S103" s="17"/>
      <c r="T103" s="17"/>
      <c r="U103" s="17"/>
      <c r="V103" s="17"/>
      <c r="W103" s="17"/>
      <c r="X103" s="17"/>
      <c r="Y103" s="17"/>
      <c r="Z103" s="17"/>
      <c r="AA103" s="17"/>
      <c r="AB103" s="17"/>
      <c r="AC103" t="b">
        <f>AND((Table31[[#This Row],[Unisex]:[Bariatric (XXXL)]]))</f>
        <v>0</v>
      </c>
      <c r="AD103" s="28" t="s">
        <v>1832</v>
      </c>
    </row>
    <row r="104" spans="1:30">
      <c r="A104" s="70" t="b">
        <f>IF(Table31[[#This Row],[Column8]],Table31[[#This Row],[Column9]])</f>
        <v>0</v>
      </c>
      <c r="B104" s="17"/>
      <c r="C104" s="17"/>
      <c r="D104" s="20" t="b">
        <f>D2</f>
        <v>0</v>
      </c>
      <c r="E104" s="20" t="b">
        <f>E2</f>
        <v>0</v>
      </c>
      <c r="F104" s="17"/>
      <c r="G104" s="17" t="b">
        <f>G2</f>
        <v>1</v>
      </c>
      <c r="H104" s="17" t="b">
        <f>H2</f>
        <v>1</v>
      </c>
      <c r="I104" s="17" t="b">
        <f>I2</f>
        <v>1</v>
      </c>
      <c r="J104" s="17"/>
      <c r="K104" s="20" t="b">
        <f>K4</f>
        <v>0</v>
      </c>
      <c r="L104" s="17"/>
      <c r="M104" s="17"/>
      <c r="N104" s="17"/>
      <c r="O104" s="17"/>
      <c r="P104" s="17"/>
      <c r="Q104" s="17"/>
      <c r="R104" s="20" t="b">
        <f>R6</f>
        <v>0</v>
      </c>
      <c r="S104" s="17"/>
      <c r="T104" s="17"/>
      <c r="U104" s="20" t="b">
        <f>U2</f>
        <v>0</v>
      </c>
      <c r="V104" s="17"/>
      <c r="W104" s="17"/>
      <c r="X104" s="17"/>
      <c r="Y104" s="17"/>
      <c r="Z104" s="17"/>
      <c r="AA104" s="17"/>
      <c r="AB104" s="17"/>
      <c r="AC104" t="b">
        <f>AND((Table31[[#This Row],[Unisex]:[Bariatric (XXXL)]]))</f>
        <v>0</v>
      </c>
      <c r="AD104" s="28" t="s">
        <v>1833</v>
      </c>
    </row>
    <row r="105" spans="1:30">
      <c r="A105" s="70" t="b">
        <f>IF(Table31[[#This Row],[Column8]],Table31[[#This Row],[Column9]])</f>
        <v>0</v>
      </c>
      <c r="B105" s="17"/>
      <c r="C105" s="17"/>
      <c r="D105" s="20" t="b">
        <f>D2</f>
        <v>0</v>
      </c>
      <c r="E105" s="20" t="b">
        <f>E2</f>
        <v>0</v>
      </c>
      <c r="F105" s="17"/>
      <c r="G105" s="17" t="b">
        <f>G2</f>
        <v>1</v>
      </c>
      <c r="H105" s="17" t="b">
        <f>H2</f>
        <v>1</v>
      </c>
      <c r="I105" s="17" t="b">
        <f>I2</f>
        <v>1</v>
      </c>
      <c r="J105" s="17"/>
      <c r="K105" s="20" t="b">
        <f>K4</f>
        <v>0</v>
      </c>
      <c r="L105" s="17"/>
      <c r="M105" s="17"/>
      <c r="N105" s="17"/>
      <c r="O105" s="17"/>
      <c r="P105" s="17"/>
      <c r="Q105" s="17"/>
      <c r="R105" s="20" t="b">
        <f>R6</f>
        <v>0</v>
      </c>
      <c r="S105" s="17"/>
      <c r="T105" s="17"/>
      <c r="U105" s="17"/>
      <c r="V105" s="20" t="b">
        <f>V3</f>
        <v>0</v>
      </c>
      <c r="W105" s="17"/>
      <c r="X105" s="17"/>
      <c r="Y105" s="17"/>
      <c r="Z105" s="17"/>
      <c r="AA105" s="17"/>
      <c r="AB105" s="17"/>
      <c r="AC105" t="b">
        <f>AND((Table31[[#This Row],[Unisex]:[Bariatric (XXXL)]]))</f>
        <v>0</v>
      </c>
      <c r="AD105" s="28" t="s">
        <v>1834</v>
      </c>
    </row>
    <row r="106" spans="1:30">
      <c r="A106" s="70" t="b">
        <f>IF(Table31[[#This Row],[Column8]],Table31[[#This Row],[Column9]])</f>
        <v>0</v>
      </c>
      <c r="B106" s="17"/>
      <c r="C106" s="17"/>
      <c r="D106" s="20" t="b">
        <f>D2</f>
        <v>0</v>
      </c>
      <c r="E106" s="20" t="b">
        <f>E2</f>
        <v>0</v>
      </c>
      <c r="F106" s="17"/>
      <c r="G106" s="17" t="b">
        <f>G2</f>
        <v>1</v>
      </c>
      <c r="H106" s="17" t="b">
        <f>H2</f>
        <v>1</v>
      </c>
      <c r="I106" s="17" t="b">
        <f>I2</f>
        <v>1</v>
      </c>
      <c r="J106" s="17"/>
      <c r="K106" s="20" t="b">
        <f>K4</f>
        <v>0</v>
      </c>
      <c r="L106" s="17"/>
      <c r="M106" s="17"/>
      <c r="N106" s="17"/>
      <c r="O106" s="17"/>
      <c r="P106" s="17"/>
      <c r="Q106" s="20" t="b">
        <f>Q2</f>
        <v>0</v>
      </c>
      <c r="R106" s="17"/>
      <c r="S106" s="17"/>
      <c r="T106" s="17"/>
      <c r="U106" s="17"/>
      <c r="V106" s="20" t="b">
        <f>V3</f>
        <v>0</v>
      </c>
      <c r="W106" s="17"/>
      <c r="X106" s="17"/>
      <c r="Y106" s="17"/>
      <c r="Z106" s="17"/>
      <c r="AA106" s="17"/>
      <c r="AB106" s="17"/>
      <c r="AC106" t="b">
        <f>AND((Table31[[#This Row],[Unisex]:[Bariatric (XXXL)]]))</f>
        <v>0</v>
      </c>
      <c r="AD106" s="28" t="s">
        <v>1835</v>
      </c>
    </row>
    <row r="107" spans="1:30">
      <c r="A107" s="70" t="b">
        <f>IF(Table31[[#This Row],[Column8]],Table31[[#This Row],[Column9]])</f>
        <v>0</v>
      </c>
      <c r="B107" s="17"/>
      <c r="C107" s="17"/>
      <c r="D107" s="20" t="b">
        <f>D2</f>
        <v>0</v>
      </c>
      <c r="E107" s="20" t="b">
        <f>E2</f>
        <v>0</v>
      </c>
      <c r="F107" s="17"/>
      <c r="G107" s="17" t="b">
        <f>G2</f>
        <v>1</v>
      </c>
      <c r="H107" s="17" t="b">
        <f>H2</f>
        <v>1</v>
      </c>
      <c r="I107" s="17" t="b">
        <f>I2</f>
        <v>1</v>
      </c>
      <c r="J107" s="17"/>
      <c r="K107" s="20" t="b">
        <f>K4</f>
        <v>0</v>
      </c>
      <c r="L107" s="17"/>
      <c r="M107" s="17"/>
      <c r="N107" s="17"/>
      <c r="O107" s="17"/>
      <c r="P107" s="17"/>
      <c r="Q107" s="17"/>
      <c r="R107" s="20" t="b">
        <f>R6</f>
        <v>0</v>
      </c>
      <c r="S107" s="17"/>
      <c r="T107" s="17"/>
      <c r="U107" s="17"/>
      <c r="V107" s="20" t="b">
        <f>V3</f>
        <v>0</v>
      </c>
      <c r="W107" s="17"/>
      <c r="X107" s="17"/>
      <c r="Y107" s="17"/>
      <c r="Z107" s="17"/>
      <c r="AA107" s="17"/>
      <c r="AB107" s="17"/>
      <c r="AC107" t="b">
        <f>AND((Table31[[#This Row],[Unisex]:[Bariatric (XXXL)]]))</f>
        <v>0</v>
      </c>
      <c r="AD107" s="28" t="s">
        <v>1836</v>
      </c>
    </row>
    <row r="108" spans="1:30">
      <c r="A108" s="70" t="b">
        <f>IF(Table31[[#This Row],[Column8]],Table31[[#This Row],[Column9]])</f>
        <v>0</v>
      </c>
      <c r="B108" s="17"/>
      <c r="C108" s="17"/>
      <c r="D108" s="20" t="b">
        <f>D2</f>
        <v>0</v>
      </c>
      <c r="E108" s="20" t="b">
        <f>E2</f>
        <v>0</v>
      </c>
      <c r="F108" s="17"/>
      <c r="G108" s="17" t="b">
        <f>G2</f>
        <v>1</v>
      </c>
      <c r="H108" s="17" t="b">
        <f>H2</f>
        <v>1</v>
      </c>
      <c r="I108" s="17" t="b">
        <f>I2</f>
        <v>1</v>
      </c>
      <c r="J108" s="17"/>
      <c r="K108" s="20" t="b">
        <f>K4</f>
        <v>0</v>
      </c>
      <c r="L108" s="17"/>
      <c r="M108" s="17"/>
      <c r="N108" s="17"/>
      <c r="O108" s="17"/>
      <c r="P108" s="20" t="b">
        <f>P13</f>
        <v>0</v>
      </c>
      <c r="Q108" s="17"/>
      <c r="R108" s="17"/>
      <c r="S108" s="17"/>
      <c r="T108" s="17"/>
      <c r="U108" s="17"/>
      <c r="V108" s="20" t="b">
        <f>V3</f>
        <v>0</v>
      </c>
      <c r="W108" s="17"/>
      <c r="X108" s="17"/>
      <c r="Y108" s="17"/>
      <c r="Z108" s="17"/>
      <c r="AA108" s="17"/>
      <c r="AB108" s="17"/>
      <c r="AC108" t="b">
        <f>AND((Table31[[#This Row],[Unisex]:[Bariatric (XXXL)]]))</f>
        <v>0</v>
      </c>
      <c r="AD108" s="28" t="s">
        <v>1837</v>
      </c>
    </row>
    <row r="109" spans="1:30">
      <c r="A109" s="18" t="b">
        <f>IF(Table31[[#This Row],[Column8]],Table31[[#This Row],[Column9]])</f>
        <v>0</v>
      </c>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row>
    <row r="110" spans="1:30">
      <c r="A110" s="70" t="b">
        <f>IF(Table31[[#This Row],[Column8]],Table31[[#This Row],[Column9]])</f>
        <v>0</v>
      </c>
      <c r="B110" s="17"/>
      <c r="C110" s="17"/>
      <c r="D110" s="20" t="b">
        <f>D2</f>
        <v>0</v>
      </c>
      <c r="E110" s="20" t="b">
        <f>E2</f>
        <v>0</v>
      </c>
      <c r="F110" s="17"/>
      <c r="G110" s="17" t="b">
        <f>G2</f>
        <v>1</v>
      </c>
      <c r="H110" s="17" t="b">
        <f>H2</f>
        <v>1</v>
      </c>
      <c r="I110" s="17" t="b">
        <f>I2</f>
        <v>1</v>
      </c>
      <c r="J110" s="17"/>
      <c r="K110" s="17"/>
      <c r="L110" s="20" t="b">
        <f>L2</f>
        <v>0</v>
      </c>
      <c r="M110" s="17"/>
      <c r="N110" s="17"/>
      <c r="O110" s="17"/>
      <c r="P110" s="20" t="b">
        <f>P13</f>
        <v>0</v>
      </c>
      <c r="Q110" s="17"/>
      <c r="R110" s="17"/>
      <c r="S110" s="17"/>
      <c r="T110" s="17"/>
      <c r="U110" s="17"/>
      <c r="V110" s="17"/>
      <c r="W110" s="17"/>
      <c r="X110" s="17"/>
      <c r="Y110" s="17"/>
      <c r="Z110" s="17"/>
      <c r="AA110" s="17"/>
      <c r="AB110" s="17"/>
      <c r="AC110" t="b">
        <f>AND((Table31[[#This Row],[Unisex]:[Bariatric (XXXL)]]))</f>
        <v>0</v>
      </c>
      <c r="AD110" s="11" t="s">
        <v>1838</v>
      </c>
    </row>
    <row r="111" spans="1:30">
      <c r="A111" s="70" t="b">
        <f>IF(Table31[[#This Row],[Column8]],Table31[[#This Row],[Column9]])</f>
        <v>0</v>
      </c>
      <c r="B111" s="17"/>
      <c r="C111" s="17"/>
      <c r="D111" s="20" t="b">
        <f>D2</f>
        <v>0</v>
      </c>
      <c r="E111" s="20" t="b">
        <f>E2</f>
        <v>0</v>
      </c>
      <c r="F111" s="17"/>
      <c r="G111" s="17" t="b">
        <f>G2</f>
        <v>1</v>
      </c>
      <c r="H111" s="17" t="b">
        <f>H2</f>
        <v>1</v>
      </c>
      <c r="I111" s="17" t="b">
        <f>I2</f>
        <v>1</v>
      </c>
      <c r="J111" s="17"/>
      <c r="K111" s="20" t="b">
        <f>K4</f>
        <v>0</v>
      </c>
      <c r="L111" s="17"/>
      <c r="M111" s="17"/>
      <c r="N111" s="17"/>
      <c r="O111" s="17"/>
      <c r="P111" s="17"/>
      <c r="Q111" s="20" t="b">
        <f>Q2</f>
        <v>0</v>
      </c>
      <c r="R111" s="17"/>
      <c r="S111" s="17"/>
      <c r="T111" s="17"/>
      <c r="U111" s="17"/>
      <c r="V111" s="17"/>
      <c r="W111" s="17"/>
      <c r="X111" s="17"/>
      <c r="Y111" s="17"/>
      <c r="Z111" s="17"/>
      <c r="AA111" s="17"/>
      <c r="AB111" s="17"/>
      <c r="AC111" t="b">
        <f>AND((Table31[[#This Row],[Unisex]:[Bariatric (XXXL)]]))</f>
        <v>0</v>
      </c>
      <c r="AD111" s="11" t="s">
        <v>1839</v>
      </c>
    </row>
    <row r="112" spans="1:30">
      <c r="A112" s="70" t="b">
        <f>IF(Table31[[#This Row],[Column8]],Table31[[#This Row],[Column9]])</f>
        <v>0</v>
      </c>
      <c r="B112" s="17"/>
      <c r="C112" s="17"/>
      <c r="D112" s="20" t="b">
        <f>D2</f>
        <v>0</v>
      </c>
      <c r="E112" s="20" t="b">
        <f>E2</f>
        <v>0</v>
      </c>
      <c r="F112" s="17"/>
      <c r="G112" s="17" t="b">
        <f>G2</f>
        <v>1</v>
      </c>
      <c r="H112" s="17" t="b">
        <f>H2</f>
        <v>1</v>
      </c>
      <c r="I112" s="17" t="b">
        <f>I2</f>
        <v>1</v>
      </c>
      <c r="J112" s="17"/>
      <c r="K112" s="20" t="b">
        <f>K4</f>
        <v>0</v>
      </c>
      <c r="L112" s="17"/>
      <c r="M112" s="17"/>
      <c r="N112" s="17"/>
      <c r="O112" s="17"/>
      <c r="P112" s="17"/>
      <c r="Q112" s="17"/>
      <c r="R112" s="20" t="b">
        <f>R6</f>
        <v>0</v>
      </c>
      <c r="S112" s="17"/>
      <c r="T112" s="17"/>
      <c r="U112" s="17"/>
      <c r="V112" s="17"/>
      <c r="W112" s="17"/>
      <c r="X112" s="17"/>
      <c r="Y112" s="17"/>
      <c r="Z112" s="17"/>
      <c r="AA112" s="17"/>
      <c r="AB112" s="17"/>
      <c r="AC112" t="b">
        <f>AND((Table31[[#This Row],[Unisex]:[Bariatric (XXXL)]]))</f>
        <v>0</v>
      </c>
      <c r="AD112" s="11" t="s">
        <v>1840</v>
      </c>
    </row>
    <row r="113" spans="1:30">
      <c r="A113" s="70" t="b">
        <f>IF(Table31[[#This Row],[Column8]],Table31[[#This Row],[Column9]])</f>
        <v>0</v>
      </c>
      <c r="B113" s="17"/>
      <c r="C113" s="17"/>
      <c r="D113" s="20" t="b">
        <f>D2</f>
        <v>0</v>
      </c>
      <c r="E113" s="20" t="b">
        <f>E2</f>
        <v>0</v>
      </c>
      <c r="F113" s="17"/>
      <c r="G113" s="17" t="b">
        <f>G2</f>
        <v>1</v>
      </c>
      <c r="H113" s="17" t="b">
        <f>H2</f>
        <v>1</v>
      </c>
      <c r="I113" s="17" t="b">
        <f>I2</f>
        <v>1</v>
      </c>
      <c r="J113" s="17"/>
      <c r="K113" s="20" t="b">
        <f>K4</f>
        <v>0</v>
      </c>
      <c r="L113" s="17"/>
      <c r="M113" s="17"/>
      <c r="N113" s="17"/>
      <c r="O113" s="17"/>
      <c r="P113" s="17"/>
      <c r="Q113" s="17"/>
      <c r="R113" s="17"/>
      <c r="S113" s="20" t="b">
        <f>S7</f>
        <v>0</v>
      </c>
      <c r="T113" s="17"/>
      <c r="U113" s="17"/>
      <c r="V113" s="17"/>
      <c r="W113" s="17"/>
      <c r="X113" s="17"/>
      <c r="Y113" s="17"/>
      <c r="Z113" s="17"/>
      <c r="AA113" s="17"/>
      <c r="AB113" s="17"/>
      <c r="AC113" t="b">
        <f>AND((Table31[[#This Row],[Unisex]:[Bariatric (XXXL)]]))</f>
        <v>0</v>
      </c>
      <c r="AD113" s="11" t="s">
        <v>1841</v>
      </c>
    </row>
    <row r="114" spans="1:30">
      <c r="A114" s="70" t="b">
        <f>IF(Table31[[#This Row],[Column8]],Table31[[#This Row],[Column9]])</f>
        <v>0</v>
      </c>
      <c r="B114" s="17"/>
      <c r="C114" s="17"/>
      <c r="D114" s="20" t="b">
        <f>D2</f>
        <v>0</v>
      </c>
      <c r="E114" s="20" t="b">
        <f>E2</f>
        <v>0</v>
      </c>
      <c r="F114" s="17"/>
      <c r="G114" s="17" t="b">
        <f>G2</f>
        <v>1</v>
      </c>
      <c r="H114" s="17" t="b">
        <f>H2</f>
        <v>1</v>
      </c>
      <c r="I114" s="17" t="b">
        <f>I2</f>
        <v>1</v>
      </c>
      <c r="J114" s="17"/>
      <c r="K114" s="20" t="b">
        <f>K4</f>
        <v>0</v>
      </c>
      <c r="L114" s="17"/>
      <c r="M114" s="17"/>
      <c r="N114" s="17"/>
      <c r="O114" s="17"/>
      <c r="P114" s="17"/>
      <c r="Q114" s="17"/>
      <c r="R114" s="17"/>
      <c r="S114" s="20" t="b">
        <f>S7</f>
        <v>0</v>
      </c>
      <c r="T114" s="17"/>
      <c r="U114" s="17"/>
      <c r="V114" s="17"/>
      <c r="W114" s="17"/>
      <c r="X114" s="17"/>
      <c r="Y114" s="17"/>
      <c r="Z114" s="17"/>
      <c r="AA114" s="17"/>
      <c r="AB114" s="17"/>
      <c r="AC114" t="b">
        <f>AND((Table31[[#This Row],[Unisex]:[Bariatric (XXXL)]]))</f>
        <v>0</v>
      </c>
      <c r="AD114" s="11" t="s">
        <v>1842</v>
      </c>
    </row>
    <row r="115" spans="1:30">
      <c r="A115" s="70" t="b">
        <f>IF(Table31[[#This Row],[Column8]],Table31[[#This Row],[Column9]])</f>
        <v>0</v>
      </c>
      <c r="B115" s="17"/>
      <c r="C115" s="17"/>
      <c r="D115" s="20" t="b">
        <f>D2</f>
        <v>0</v>
      </c>
      <c r="E115" s="17"/>
      <c r="F115" s="20" t="b">
        <f>F7</f>
        <v>0</v>
      </c>
      <c r="G115" s="17" t="b">
        <f>G2</f>
        <v>1</v>
      </c>
      <c r="H115" s="17" t="b">
        <f>H2</f>
        <v>1</v>
      </c>
      <c r="I115" s="17" t="b">
        <f>I2</f>
        <v>1</v>
      </c>
      <c r="J115" s="17"/>
      <c r="K115" s="20" t="b">
        <f>K4</f>
        <v>0</v>
      </c>
      <c r="L115" s="17"/>
      <c r="M115" s="17"/>
      <c r="N115" s="17"/>
      <c r="O115" s="17"/>
      <c r="P115" s="17"/>
      <c r="Q115" s="17"/>
      <c r="R115" s="17"/>
      <c r="S115" s="20" t="b">
        <f>S7</f>
        <v>0</v>
      </c>
      <c r="T115" s="17"/>
      <c r="U115" s="17"/>
      <c r="V115" s="17"/>
      <c r="W115" s="17"/>
      <c r="X115" s="17"/>
      <c r="Y115" s="17"/>
      <c r="Z115" s="17"/>
      <c r="AA115" s="17"/>
      <c r="AB115" s="17"/>
      <c r="AC115" t="b">
        <f>AND((Table31[[#This Row],[Unisex]:[Bariatric (XXXL)]]))</f>
        <v>0</v>
      </c>
      <c r="AD115" s="11" t="s">
        <v>1843</v>
      </c>
    </row>
    <row r="116" spans="1:30">
      <c r="A116" s="70" t="b">
        <f>IF(Table31[[#This Row],[Column8]],Table31[[#This Row],[Column9]])</f>
        <v>0</v>
      </c>
      <c r="B116" s="17"/>
      <c r="C116" s="17"/>
      <c r="D116" s="20" t="b">
        <f>D2</f>
        <v>0</v>
      </c>
      <c r="E116" s="20" t="b">
        <f>E2</f>
        <v>0</v>
      </c>
      <c r="F116" s="17"/>
      <c r="G116" s="17" t="b">
        <f>G2</f>
        <v>1</v>
      </c>
      <c r="H116" s="17" t="b">
        <f>H2</f>
        <v>1</v>
      </c>
      <c r="I116" s="17" t="b">
        <f>I2</f>
        <v>1</v>
      </c>
      <c r="J116" s="20" t="b">
        <f>J17</f>
        <v>0</v>
      </c>
      <c r="K116" s="17"/>
      <c r="L116" s="17"/>
      <c r="M116" s="17"/>
      <c r="N116" s="17"/>
      <c r="O116" s="17"/>
      <c r="P116" s="17"/>
      <c r="Q116" s="17"/>
      <c r="R116" s="17"/>
      <c r="S116" s="20" t="b">
        <f>S7</f>
        <v>0</v>
      </c>
      <c r="T116" s="17"/>
      <c r="U116" s="17"/>
      <c r="V116" s="17"/>
      <c r="W116" s="17"/>
      <c r="X116" s="20" t="b">
        <f>X25</f>
        <v>0</v>
      </c>
      <c r="Y116" s="20" t="b">
        <f>Y25</f>
        <v>0</v>
      </c>
      <c r="Z116" s="20" t="b">
        <f>Z25</f>
        <v>0</v>
      </c>
      <c r="AA116" s="17"/>
      <c r="AB116" s="17"/>
      <c r="AC116" s="106" t="b">
        <f>AND((Table31[[#This Row],[Unisex]:[Regular]]),OR(Table31[[#This Row],[Small]:[Bariatric (XXXL)]]))</f>
        <v>0</v>
      </c>
      <c r="AD116" s="28" t="s">
        <v>1844</v>
      </c>
    </row>
    <row r="117" spans="1:30">
      <c r="A117" s="70" t="b">
        <f>IF(Table31[[#This Row],[Column8]],Table31[[#This Row],[Column9]])</f>
        <v>0</v>
      </c>
      <c r="B117" s="17"/>
      <c r="C117" s="17"/>
      <c r="D117" s="20" t="b">
        <f>D2</f>
        <v>0</v>
      </c>
      <c r="E117" s="20" t="b">
        <f>E2</f>
        <v>0</v>
      </c>
      <c r="F117" s="17"/>
      <c r="G117" s="17" t="b">
        <f>G2</f>
        <v>1</v>
      </c>
      <c r="H117" s="17" t="b">
        <f>H2</f>
        <v>1</v>
      </c>
      <c r="I117" s="17" t="b">
        <f>I2</f>
        <v>1</v>
      </c>
      <c r="J117" s="20" t="b">
        <f>J17</f>
        <v>0</v>
      </c>
      <c r="K117" s="17"/>
      <c r="L117" s="17"/>
      <c r="M117" s="17"/>
      <c r="N117" s="17"/>
      <c r="O117" s="17"/>
      <c r="P117" s="17"/>
      <c r="Q117" s="17"/>
      <c r="R117" s="17"/>
      <c r="S117" s="20" t="b">
        <f>S7</f>
        <v>0</v>
      </c>
      <c r="T117" s="17"/>
      <c r="U117" s="17"/>
      <c r="V117" s="17"/>
      <c r="W117" s="20" t="b">
        <f>W27</f>
        <v>0</v>
      </c>
      <c r="X117" s="20" t="b">
        <f>X25</f>
        <v>0</v>
      </c>
      <c r="Y117" s="20" t="b">
        <f>Y25</f>
        <v>0</v>
      </c>
      <c r="Z117" s="20" t="b">
        <f>Z25</f>
        <v>0</v>
      </c>
      <c r="AA117" s="17"/>
      <c r="AB117" s="17"/>
      <c r="AC117" s="106" t="b">
        <f>AND((Table31[[#This Row],[Unisex]:[Regular]]),OR(Table31[[#This Row],[Small]:[Bariatric (XXXL)]]))</f>
        <v>0</v>
      </c>
      <c r="AD117" s="28" t="s">
        <v>1845</v>
      </c>
    </row>
    <row r="118" spans="1:30">
      <c r="A118" s="70" t="b">
        <f>IF(Table31[[#This Row],[Column8]],Table31[[#This Row],[Column9]])</f>
        <v>0</v>
      </c>
      <c r="B118" s="17"/>
      <c r="C118" s="17"/>
      <c r="D118" s="20" t="b">
        <f>D2</f>
        <v>0</v>
      </c>
      <c r="E118" s="17"/>
      <c r="F118" s="20" t="b">
        <f>F7</f>
        <v>0</v>
      </c>
      <c r="G118" s="17" t="b">
        <f>G2</f>
        <v>1</v>
      </c>
      <c r="H118" s="17" t="b">
        <f>H2</f>
        <v>1</v>
      </c>
      <c r="I118" s="17" t="b">
        <f>I2</f>
        <v>1</v>
      </c>
      <c r="J118" s="20" t="b">
        <f>J17</f>
        <v>0</v>
      </c>
      <c r="K118" s="17"/>
      <c r="L118" s="17"/>
      <c r="M118" s="17"/>
      <c r="N118" s="17"/>
      <c r="O118" s="17"/>
      <c r="P118" s="17"/>
      <c r="Q118" s="17"/>
      <c r="R118" s="17"/>
      <c r="S118" s="20" t="b">
        <f>S7</f>
        <v>0</v>
      </c>
      <c r="T118" s="17"/>
      <c r="U118" s="17"/>
      <c r="V118" s="17"/>
      <c r="W118" s="20" t="b">
        <f>W27</f>
        <v>0</v>
      </c>
      <c r="X118" s="20" t="b">
        <f>X25</f>
        <v>0</v>
      </c>
      <c r="Y118" s="20" t="b">
        <f>Y25</f>
        <v>0</v>
      </c>
      <c r="Z118" s="20" t="b">
        <f>Z25</f>
        <v>0</v>
      </c>
      <c r="AA118" s="17"/>
      <c r="AB118" s="17"/>
      <c r="AC118" s="106" t="b">
        <f>AND((Table31[[#This Row],[Unisex]:[Regular]]),OR(Table31[[#This Row],[Small]:[Bariatric (XXXL)]]))</f>
        <v>0</v>
      </c>
      <c r="AD118" s="28" t="s">
        <v>1846</v>
      </c>
    </row>
    <row r="119" spans="1:30">
      <c r="A119" s="70" t="b">
        <f>IF(Table31[[#This Row],[Column8]],Table31[[#This Row],[Column9]])</f>
        <v>0</v>
      </c>
      <c r="B119" s="17"/>
      <c r="C119" s="20" t="b">
        <f>C13</f>
        <v>0</v>
      </c>
      <c r="D119" s="17"/>
      <c r="E119" s="20" t="b">
        <f>E2</f>
        <v>0</v>
      </c>
      <c r="F119" s="17"/>
      <c r="G119" s="17" t="b">
        <f>G2</f>
        <v>1</v>
      </c>
      <c r="H119" s="17" t="b">
        <f>H2</f>
        <v>1</v>
      </c>
      <c r="I119" s="17" t="b">
        <f>I2</f>
        <v>1</v>
      </c>
      <c r="J119" s="17"/>
      <c r="K119" s="17"/>
      <c r="L119" s="17"/>
      <c r="M119" s="17"/>
      <c r="N119" s="20" t="b">
        <f>N13</f>
        <v>0</v>
      </c>
      <c r="O119" s="17"/>
      <c r="P119" s="17"/>
      <c r="Q119" s="17"/>
      <c r="R119" s="17"/>
      <c r="S119" s="17"/>
      <c r="T119" s="17"/>
      <c r="U119" s="17"/>
      <c r="V119" s="17"/>
      <c r="W119" s="17"/>
      <c r="X119" s="17"/>
      <c r="Y119" s="17"/>
      <c r="Z119" s="17"/>
      <c r="AA119" s="17"/>
      <c r="AB119" s="17"/>
      <c r="AC119" t="b">
        <f>AND((Table31[[#This Row],[Unisex]:[Bariatric (XXXL)]]))</f>
        <v>0</v>
      </c>
      <c r="AD119" s="28" t="s">
        <v>1847</v>
      </c>
    </row>
    <row r="120" spans="1:30">
      <c r="A120" s="70" t="b">
        <f>IF(Table31[[#This Row],[Column8]],Table31[[#This Row],[Column9]])</f>
        <v>0</v>
      </c>
      <c r="B120" s="17"/>
      <c r="C120" s="20" t="b">
        <f>C13</f>
        <v>0</v>
      </c>
      <c r="D120" s="17"/>
      <c r="E120" s="20" t="b">
        <f>E2</f>
        <v>0</v>
      </c>
      <c r="F120" s="17"/>
      <c r="G120" s="17" t="b">
        <f>G2</f>
        <v>1</v>
      </c>
      <c r="H120" s="17" t="b">
        <f>H2</f>
        <v>1</v>
      </c>
      <c r="I120" s="17" t="b">
        <f>I2</f>
        <v>1</v>
      </c>
      <c r="J120" s="20" t="b">
        <f>J17</f>
        <v>0</v>
      </c>
      <c r="K120" s="17"/>
      <c r="L120" s="17"/>
      <c r="M120" s="17"/>
      <c r="N120" s="17"/>
      <c r="O120" s="17"/>
      <c r="P120" s="17"/>
      <c r="Q120" s="17"/>
      <c r="R120" s="17"/>
      <c r="S120" s="17"/>
      <c r="T120" s="17"/>
      <c r="U120" s="17"/>
      <c r="V120" s="17"/>
      <c r="W120" s="17"/>
      <c r="X120" s="20" t="b">
        <f>X25</f>
        <v>0</v>
      </c>
      <c r="Y120" s="20" t="b">
        <f>Y25</f>
        <v>0</v>
      </c>
      <c r="Z120" s="20" t="b">
        <f>Z25</f>
        <v>0</v>
      </c>
      <c r="AA120" s="17"/>
      <c r="AB120" s="17"/>
      <c r="AC120" s="106" t="b">
        <f>AND((Table31[[#This Row],[Unisex]:[Regular]]),OR(Table31[[#This Row],[Small]:[Bariatric (XXXL)]]))</f>
        <v>0</v>
      </c>
      <c r="AD120" s="28" t="s">
        <v>1848</v>
      </c>
    </row>
    <row r="121" spans="1:30">
      <c r="A121" s="70" t="b">
        <f>IF(Table31[[#This Row],[Column8]],Table31[[#This Row],[Column9]])</f>
        <v>0</v>
      </c>
      <c r="B121" s="17"/>
      <c r="C121" s="20" t="b">
        <f>C13</f>
        <v>0</v>
      </c>
      <c r="D121" s="17"/>
      <c r="E121" s="20" t="b">
        <f>E2</f>
        <v>0</v>
      </c>
      <c r="F121" s="17"/>
      <c r="G121" s="17" t="b">
        <f>G2</f>
        <v>1</v>
      </c>
      <c r="H121" s="17" t="b">
        <f>H2</f>
        <v>1</v>
      </c>
      <c r="I121" s="17" t="b">
        <f>I2</f>
        <v>1</v>
      </c>
      <c r="J121" s="20" t="b">
        <f>J17</f>
        <v>0</v>
      </c>
      <c r="K121" s="17"/>
      <c r="L121" s="17"/>
      <c r="M121" s="17"/>
      <c r="N121" s="17"/>
      <c r="O121" s="17"/>
      <c r="P121" s="17"/>
      <c r="Q121" s="17"/>
      <c r="R121" s="17"/>
      <c r="S121" s="17"/>
      <c r="T121" s="17"/>
      <c r="U121" s="17"/>
      <c r="V121" s="17"/>
      <c r="W121" s="20" t="b">
        <f>W27</f>
        <v>0</v>
      </c>
      <c r="X121" s="20" t="b">
        <f>X25</f>
        <v>0</v>
      </c>
      <c r="Y121" s="20" t="b">
        <f>Y25</f>
        <v>0</v>
      </c>
      <c r="Z121" s="20" t="b">
        <f>Z25</f>
        <v>0</v>
      </c>
      <c r="AA121" s="17"/>
      <c r="AB121" s="17"/>
      <c r="AC121" s="106" t="b">
        <f>AND((Table31[[#This Row],[Unisex]:[Regular]]),OR(Table31[[#This Row],[Small]:[Bariatric (XXXL)]]))</f>
        <v>0</v>
      </c>
      <c r="AD121" s="28" t="s">
        <v>1849</v>
      </c>
    </row>
    <row r="122" spans="1:30">
      <c r="A122" s="70" t="b">
        <f>IF(Table31[[#This Row],[Column8]],Table31[[#This Row],[Column9]])</f>
        <v>0</v>
      </c>
      <c r="B122" s="17"/>
      <c r="C122" s="20" t="b">
        <f>C13</f>
        <v>0</v>
      </c>
      <c r="D122" s="17"/>
      <c r="E122" s="17"/>
      <c r="F122" s="20" t="b">
        <f>F7</f>
        <v>0</v>
      </c>
      <c r="G122" s="17" t="b">
        <f>G2</f>
        <v>1</v>
      </c>
      <c r="H122" s="17" t="b">
        <f>H2</f>
        <v>1</v>
      </c>
      <c r="I122" s="17" t="b">
        <f>I2</f>
        <v>1</v>
      </c>
      <c r="J122" s="20" t="b">
        <f>J17</f>
        <v>0</v>
      </c>
      <c r="K122" s="17"/>
      <c r="L122" s="17"/>
      <c r="M122" s="17"/>
      <c r="N122" s="17"/>
      <c r="O122" s="17"/>
      <c r="P122" s="17"/>
      <c r="Q122" s="17"/>
      <c r="R122" s="17"/>
      <c r="S122" s="17"/>
      <c r="T122" s="17"/>
      <c r="U122" s="17"/>
      <c r="V122" s="17"/>
      <c r="W122" s="20" t="b">
        <f>W27</f>
        <v>0</v>
      </c>
      <c r="X122" s="20" t="b">
        <f>X25</f>
        <v>0</v>
      </c>
      <c r="Y122" s="20" t="b">
        <f>Y25</f>
        <v>0</v>
      </c>
      <c r="Z122" s="20" t="b">
        <f>Z25</f>
        <v>0</v>
      </c>
      <c r="AA122" s="17"/>
      <c r="AB122" s="17"/>
      <c r="AC122" s="106" t="b">
        <f>AND((Table31[[#This Row],[Unisex]:[Regular]]),OR(Table31[[#This Row],[Small]:[Bariatric (XXXL)]]))</f>
        <v>0</v>
      </c>
      <c r="AD122" s="28" t="s">
        <v>1850</v>
      </c>
    </row>
    <row r="123" spans="1:30">
      <c r="A123" s="70" t="b">
        <f>IF(Table31[[#This Row],[Column8]],Table31[[#This Row],[Column9]])</f>
        <v>0</v>
      </c>
      <c r="B123" s="20" t="b">
        <f>B25</f>
        <v>0</v>
      </c>
      <c r="C123" s="17"/>
      <c r="D123" s="17"/>
      <c r="E123" s="20" t="b">
        <f>E2</f>
        <v>0</v>
      </c>
      <c r="F123" s="17"/>
      <c r="G123" s="17" t="b">
        <f>G2</f>
        <v>1</v>
      </c>
      <c r="H123" s="17" t="b">
        <f>H2</f>
        <v>1</v>
      </c>
      <c r="I123" s="17" t="b">
        <f>I2</f>
        <v>1</v>
      </c>
      <c r="J123" s="17"/>
      <c r="K123" s="17"/>
      <c r="L123" s="17"/>
      <c r="M123" s="17"/>
      <c r="N123" s="17"/>
      <c r="O123" s="20" t="b">
        <f>O25</f>
        <v>0</v>
      </c>
      <c r="P123" s="17"/>
      <c r="Q123" s="17"/>
      <c r="R123" s="17"/>
      <c r="S123" s="17"/>
      <c r="T123" s="17"/>
      <c r="U123" s="17"/>
      <c r="V123" s="17"/>
      <c r="W123" s="17"/>
      <c r="X123" s="20" t="b">
        <f>X25</f>
        <v>0</v>
      </c>
      <c r="Y123" s="20" t="b">
        <f>Y25</f>
        <v>0</v>
      </c>
      <c r="Z123" s="20" t="b">
        <f>Z25</f>
        <v>0</v>
      </c>
      <c r="AA123" s="17"/>
      <c r="AB123" s="17"/>
      <c r="AC123" s="106" t="b">
        <f>AND((Table31[[#This Row],[Unisex]:[Regular]]),OR(Table31[[#This Row],[Small]:[Bariatric (XXXL)]]))</f>
        <v>0</v>
      </c>
      <c r="AD123" s="11" t="s">
        <v>1851</v>
      </c>
    </row>
    <row r="124" spans="1:30">
      <c r="A124" s="70" t="b">
        <f>IF(Table31[[#This Row],[Column8]],Table31[[#This Row],[Column9]])</f>
        <v>0</v>
      </c>
      <c r="B124" s="20" t="b">
        <f>B25</f>
        <v>0</v>
      </c>
      <c r="C124" s="17"/>
      <c r="D124" s="17"/>
      <c r="E124" s="20" t="b">
        <f>E2</f>
        <v>0</v>
      </c>
      <c r="F124" s="17"/>
      <c r="G124" s="17" t="b">
        <f>G2</f>
        <v>1</v>
      </c>
      <c r="H124" s="20" t="b">
        <f>H33</f>
        <v>1</v>
      </c>
      <c r="I124" s="17" t="b">
        <f>I2</f>
        <v>1</v>
      </c>
      <c r="J124" s="17"/>
      <c r="K124" s="17"/>
      <c r="L124" s="17"/>
      <c r="M124" s="17"/>
      <c r="N124" s="17"/>
      <c r="O124" s="20" t="b">
        <f>O25</f>
        <v>0</v>
      </c>
      <c r="P124" s="17"/>
      <c r="Q124" s="17"/>
      <c r="R124" s="17"/>
      <c r="S124" s="17"/>
      <c r="T124" s="17"/>
      <c r="U124" s="17"/>
      <c r="V124" s="17"/>
      <c r="W124" s="17"/>
      <c r="X124" s="20" t="b">
        <f>X25</f>
        <v>0</v>
      </c>
      <c r="Y124" s="20" t="b">
        <f>Y25</f>
        <v>0</v>
      </c>
      <c r="Z124" s="20" t="b">
        <f>Z25</f>
        <v>0</v>
      </c>
      <c r="AA124" s="17"/>
      <c r="AB124" s="17"/>
      <c r="AC124" s="106" t="b">
        <f>AND((Table31[[#This Row],[Unisex]:[Regular]]),OR(Table31[[#This Row],[Small]:[Bariatric (XXXL)]]))</f>
        <v>0</v>
      </c>
      <c r="AD124" s="28" t="s">
        <v>1852</v>
      </c>
    </row>
    <row r="125" spans="1:30">
      <c r="A125" s="70" t="b">
        <f>IF(Table31[[#This Row],[Column8]],Table31[[#This Row],[Column9]])</f>
        <v>0</v>
      </c>
      <c r="B125" s="20" t="b">
        <f>B25</f>
        <v>0</v>
      </c>
      <c r="C125" s="17"/>
      <c r="D125" s="17"/>
      <c r="E125" s="20" t="b">
        <f>E2</f>
        <v>0</v>
      </c>
      <c r="F125" s="17"/>
      <c r="G125" s="17" t="b">
        <f>G2</f>
        <v>1</v>
      </c>
      <c r="H125" s="17" t="b">
        <f>H2</f>
        <v>1</v>
      </c>
      <c r="I125" s="17" t="b">
        <f>I2</f>
        <v>1</v>
      </c>
      <c r="J125" s="17"/>
      <c r="K125" s="17"/>
      <c r="L125" s="17"/>
      <c r="M125" s="17"/>
      <c r="N125" s="17"/>
      <c r="O125" s="20" t="b">
        <f>O25</f>
        <v>0</v>
      </c>
      <c r="P125" s="17"/>
      <c r="Q125" s="17"/>
      <c r="R125" s="17"/>
      <c r="S125" s="17"/>
      <c r="T125" s="17"/>
      <c r="U125" s="17"/>
      <c r="V125" s="17"/>
      <c r="W125" s="17"/>
      <c r="X125" s="20" t="b">
        <f>X25</f>
        <v>0</v>
      </c>
      <c r="Y125" s="20" t="b">
        <f>Y25</f>
        <v>0</v>
      </c>
      <c r="Z125" s="20" t="b">
        <f>Z25</f>
        <v>0</v>
      </c>
      <c r="AA125" s="17"/>
      <c r="AB125" s="17"/>
      <c r="AC125" s="106" t="b">
        <f>AND((Table31[[#This Row],[Unisex]:[Regular]]),OR(Table31[[#This Row],[Small]:[Bariatric (XXXL)]]))</f>
        <v>0</v>
      </c>
      <c r="AD125" s="28" t="s">
        <v>1853</v>
      </c>
    </row>
    <row r="126" spans="1:30">
      <c r="A126" s="70" t="b">
        <f>IF(Table31[[#This Row],[Column8]],Table31[[#This Row],[Column9]])</f>
        <v>0</v>
      </c>
      <c r="B126" s="20" t="b">
        <f>B25</f>
        <v>0</v>
      </c>
      <c r="C126" s="17"/>
      <c r="D126" s="17"/>
      <c r="E126" s="20" t="b">
        <f>E2</f>
        <v>0</v>
      </c>
      <c r="F126" s="17"/>
      <c r="G126" s="17" t="b">
        <f>G2</f>
        <v>1</v>
      </c>
      <c r="H126" s="17" t="b">
        <f>H2</f>
        <v>1</v>
      </c>
      <c r="I126" s="17" t="b">
        <f>I2</f>
        <v>1</v>
      </c>
      <c r="J126" s="17"/>
      <c r="K126" s="17"/>
      <c r="L126" s="17"/>
      <c r="M126" s="17"/>
      <c r="N126" s="17"/>
      <c r="O126" s="20" t="b">
        <f>O25</f>
        <v>0</v>
      </c>
      <c r="P126" s="17"/>
      <c r="Q126" s="17"/>
      <c r="R126" s="17"/>
      <c r="S126" s="17"/>
      <c r="T126" s="17"/>
      <c r="U126" s="17"/>
      <c r="V126" s="17"/>
      <c r="W126" s="17"/>
      <c r="X126" s="17"/>
      <c r="Y126" s="17"/>
      <c r="Z126" s="17"/>
      <c r="AA126" s="20" t="b">
        <f>AA25</f>
        <v>0</v>
      </c>
      <c r="AB126" s="20" t="b">
        <f>AB30</f>
        <v>0</v>
      </c>
      <c r="AC126" s="106" t="b">
        <f>AND((Table31[[#This Row],[Unisex]:[Regular]]),OR(Table31[[#This Row],[Small]:[Bariatric (XXXL)]]))</f>
        <v>0</v>
      </c>
      <c r="AD126" s="28" t="s">
        <v>1854</v>
      </c>
    </row>
    <row r="127" spans="1:30">
      <c r="A127" s="70" t="b">
        <f>IF(Table31[[#This Row],[Column8]],Table31[[#This Row],[Column9]])</f>
        <v>0</v>
      </c>
      <c r="B127" s="20" t="b">
        <f>B25</f>
        <v>0</v>
      </c>
      <c r="C127" s="17"/>
      <c r="D127" s="17"/>
      <c r="E127" s="17"/>
      <c r="F127" s="20" t="b">
        <f>F7</f>
        <v>0</v>
      </c>
      <c r="G127" s="17" t="b">
        <f>G2</f>
        <v>1</v>
      </c>
      <c r="H127" s="17" t="b">
        <f>H2</f>
        <v>1</v>
      </c>
      <c r="I127" s="17" t="b">
        <f>I2</f>
        <v>1</v>
      </c>
      <c r="J127" s="17"/>
      <c r="K127" s="17"/>
      <c r="L127" s="17"/>
      <c r="M127" s="17"/>
      <c r="N127" s="17"/>
      <c r="O127" s="20" t="b">
        <f>O25</f>
        <v>0</v>
      </c>
      <c r="P127" s="17"/>
      <c r="Q127" s="17"/>
      <c r="R127" s="17"/>
      <c r="S127" s="17"/>
      <c r="T127" s="17"/>
      <c r="U127" s="17"/>
      <c r="V127" s="17"/>
      <c r="W127" s="17"/>
      <c r="X127" s="20" t="b">
        <f>X25</f>
        <v>0</v>
      </c>
      <c r="Y127" s="20" t="b">
        <f>Y25</f>
        <v>0</v>
      </c>
      <c r="Z127" s="20" t="b">
        <f>Z25</f>
        <v>0</v>
      </c>
      <c r="AA127" s="17"/>
      <c r="AB127" s="17"/>
      <c r="AC127" s="106" t="b">
        <f>AND((Table31[[#This Row],[Unisex]:[Regular]]),OR(Table31[[#This Row],[Small]:[Bariatric (XXXL)]]))</f>
        <v>0</v>
      </c>
      <c r="AD127" s="28" t="s">
        <v>1855</v>
      </c>
    </row>
    <row r="128" spans="1:30">
      <c r="A128" s="16" t="b">
        <f>IF(Table31[[#This Row],[Column8]],Table31[[#This Row],[Column9]])</f>
        <v>0</v>
      </c>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row>
    <row r="129" spans="1:1">
      <c r="A129" t="b">
        <f>IF(Table31[[#This Row],[Column8]],Table31[[#This Row],[Column9]])</f>
        <v>0</v>
      </c>
    </row>
    <row r="130" spans="1:1">
      <c r="A130" t="b">
        <f>IF(Table31[[#This Row],[Column8]],Table31[[#This Row],[Column9]])</f>
        <v>0</v>
      </c>
    </row>
    <row r="131" spans="1:1">
      <c r="A131" t="b">
        <f>IF(Table31[[#This Row],[Column8]],Table31[[#This Row],[Column9]])</f>
        <v>0</v>
      </c>
    </row>
    <row r="132" spans="1:1">
      <c r="A132" t="b">
        <f>IF(Table31[[#This Row],[Column8]],Table31[[#This Row],[Column9]])</f>
        <v>0</v>
      </c>
    </row>
  </sheetData>
  <hyperlinks>
    <hyperlink ref="AD2" r:id="rId1" location="start=1" xr:uid="{00000000-0004-0000-3200-000000000000}"/>
    <hyperlink ref="AD3" r:id="rId2" location="start=2" xr:uid="{00000000-0004-0000-3200-000001000000}"/>
    <hyperlink ref="AD4" r:id="rId3" location="start=3" xr:uid="{00000000-0004-0000-3200-000002000000}"/>
    <hyperlink ref="AD5" r:id="rId4" location="start=4" xr:uid="{00000000-0004-0000-3200-000003000000}"/>
    <hyperlink ref="AD6" r:id="rId5" location="start=5" xr:uid="{00000000-0004-0000-3200-000004000000}"/>
    <hyperlink ref="AD7" r:id="rId6" location="start=1" xr:uid="{00000000-0004-0000-3200-000005000000}"/>
    <hyperlink ref="AD8" r:id="rId7" location="start=2" xr:uid="{00000000-0004-0000-3200-000006000000}"/>
    <hyperlink ref="AD9" r:id="rId8" location="start=3" xr:uid="{00000000-0004-0000-3200-000007000000}"/>
    <hyperlink ref="AD10" r:id="rId9" location="start=4" xr:uid="{00000000-0004-0000-3200-000008000000}"/>
    <hyperlink ref="AD11" r:id="rId10" location="start=5" xr:uid="{00000000-0004-0000-3200-000009000000}"/>
    <hyperlink ref="AD12" r:id="rId11" location="start=6" xr:uid="{00000000-0004-0000-3200-00000A000000}"/>
    <hyperlink ref="AD13" r:id="rId12" location="start=1" xr:uid="{00000000-0004-0000-3200-00000B000000}"/>
    <hyperlink ref="AD14" r:id="rId13" location="start=3" xr:uid="{00000000-0004-0000-3200-00000C000000}"/>
    <hyperlink ref="AD15" r:id="rId14" location="start=4" xr:uid="{00000000-0004-0000-3200-00000D000000}"/>
    <hyperlink ref="AD16" r:id="rId15" location="start=2" xr:uid="{00000000-0004-0000-3200-00000E000000}"/>
    <hyperlink ref="AD17" r:id="rId16" location="start=1" xr:uid="{00000000-0004-0000-3200-00000F000000}"/>
    <hyperlink ref="AD18" r:id="rId17" location="start=2" xr:uid="{00000000-0004-0000-3200-000010000000}"/>
    <hyperlink ref="AD19" r:id="rId18" location="start=3" xr:uid="{00000000-0004-0000-3200-000011000000}"/>
    <hyperlink ref="AD20" r:id="rId19" location="start=4" xr:uid="{00000000-0004-0000-3200-000012000000}"/>
    <hyperlink ref="AD21" r:id="rId20" location="start=5" xr:uid="{00000000-0004-0000-3200-000013000000}"/>
    <hyperlink ref="AD22" r:id="rId21" location="start=1" xr:uid="{00000000-0004-0000-3200-000014000000}"/>
    <hyperlink ref="AD23" r:id="rId22" location="start=2" xr:uid="{00000000-0004-0000-3200-000015000000}"/>
    <hyperlink ref="AD24" r:id="rId23" location="start=3" xr:uid="{00000000-0004-0000-3200-000016000000}"/>
    <hyperlink ref="AD25" r:id="rId24" location="start=1" xr:uid="{00000000-0004-0000-3200-000017000000}"/>
    <hyperlink ref="AD26" r:id="rId25" location="start=2" xr:uid="{00000000-0004-0000-3200-000018000000}"/>
    <hyperlink ref="AD27" r:id="rId26" location="start=3" xr:uid="{00000000-0004-0000-3200-000019000000}"/>
    <hyperlink ref="AD28" r:id="rId27" location="start=4" xr:uid="{00000000-0004-0000-3200-00001A000000}"/>
    <hyperlink ref="AD29" r:id="rId28" location="start=5" xr:uid="{00000000-0004-0000-3200-00001B000000}"/>
    <hyperlink ref="AD30" r:id="rId29" location="start=6" xr:uid="{00000000-0004-0000-3200-00001C000000}"/>
    <hyperlink ref="AD31" r:id="rId30" location="start=7" xr:uid="{00000000-0004-0000-3200-00001D000000}"/>
    <hyperlink ref="AD33" r:id="rId31" xr:uid="{00000000-0004-0000-3200-00001E000000}"/>
    <hyperlink ref="AD34" r:id="rId32" display="Silhouette® Classic Underwear for Women" xr:uid="{00000000-0004-0000-3200-00001F000000}"/>
    <hyperlink ref="AD35" r:id="rId33" display="Silhouette® Expressions Underwear for Women" xr:uid="{00000000-0004-0000-3200-000020000000}"/>
    <hyperlink ref="AD36" r:id="rId34" xr:uid="{00000000-0004-0000-3200-000021000000}"/>
    <hyperlink ref="AD37" r:id="rId35" xr:uid="{00000000-0004-0000-3200-000022000000}"/>
    <hyperlink ref="AD38" r:id="rId36" xr:uid="{00000000-0004-0000-3200-000023000000}"/>
    <hyperlink ref="AD39" r:id="rId37" display="Real Fit® Underwear for Men" xr:uid="{00000000-0004-0000-3200-000024000000}"/>
    <hyperlink ref="AD40" r:id="rId38" xr:uid="{00000000-0004-0000-3200-000025000000}"/>
    <hyperlink ref="AD41" r:id="rId39" xr:uid="{00000000-0004-0000-3200-000026000000}"/>
    <hyperlink ref="AD43" r:id="rId40" xr:uid="{00000000-0004-0000-3200-000027000000}"/>
    <hyperlink ref="AD44" r:id="rId41" xr:uid="{00000000-0004-0000-3200-000028000000}"/>
    <hyperlink ref="AD45" r:id="rId42" xr:uid="{00000000-0004-0000-3200-000029000000}"/>
    <hyperlink ref="AD46" r:id="rId43" display="POISE ULTRA THIN PADS" xr:uid="{00000000-0004-0000-3200-00002A000000}"/>
    <hyperlink ref="AD47" r:id="rId44" display="POISE ORIGINAL PADS" xr:uid="{00000000-0004-0000-3200-00002B000000}"/>
    <hyperlink ref="AD48" r:id="rId45" xr:uid="{00000000-0004-0000-3200-00002C000000}"/>
    <hyperlink ref="AD49" r:id="rId46" xr:uid="{00000000-0004-0000-3200-00002D000000}"/>
    <hyperlink ref="AD50" r:id="rId47" display="POISE ULTRA THIN INCONTINENCE PADS WITH WINGS" xr:uid="{00000000-0004-0000-3200-00002E000000}"/>
    <hyperlink ref="AD51" r:id="rId48" xr:uid="{00000000-0004-0000-3200-00002F000000}"/>
    <hyperlink ref="AD52" r:id="rId49" xr:uid="{00000000-0004-0000-3200-000030000000}"/>
    <hyperlink ref="AD53" r:id="rId50" xr:uid="{00000000-0004-0000-3200-000031000000}"/>
    <hyperlink ref="AD54" r:id="rId51" xr:uid="{00000000-0004-0000-3200-000032000000}"/>
    <hyperlink ref="AD55" r:id="rId52" xr:uid="{00000000-0004-0000-3200-000033000000}"/>
    <hyperlink ref="AD56" r:id="rId53" xr:uid="{00000000-0004-0000-3200-000034000000}"/>
    <hyperlink ref="AD58" r:id="rId54" display="ALWAYS DISCREET liners" xr:uid="{00000000-0004-0000-3200-000035000000}"/>
    <hyperlink ref="AD59" r:id="rId55" xr:uid="{00000000-0004-0000-3200-000036000000}"/>
    <hyperlink ref="AD60" r:id="rId56" xr:uid="{00000000-0004-0000-3200-000037000000}"/>
    <hyperlink ref="AD61" r:id="rId57" xr:uid="{00000000-0004-0000-3200-000038000000}"/>
    <hyperlink ref="AD62" r:id="rId58" xr:uid="{00000000-0004-0000-3200-000039000000}"/>
    <hyperlink ref="AD63" r:id="rId59" xr:uid="{00000000-0004-0000-3200-00003A000000}"/>
    <hyperlink ref="AD64" r:id="rId60" xr:uid="{00000000-0004-0000-3200-00003B000000}"/>
    <hyperlink ref="AD65" r:id="rId61" xr:uid="{00000000-0004-0000-3200-00003C000000}"/>
    <hyperlink ref="AD66" r:id="rId62" xr:uid="{00000000-0004-0000-3200-00003D000000}"/>
    <hyperlink ref="AD67" r:id="rId63" xr:uid="{00000000-0004-0000-3200-00003E000000}"/>
    <hyperlink ref="AD68" r:id="rId64" display="ALWAYS DISCREET Maximum Protection Underwear " xr:uid="{00000000-0004-0000-3200-00003F000000}"/>
    <hyperlink ref="AD69" r:id="rId65" xr:uid="{00000000-0004-0000-3200-000040000000}"/>
    <hyperlink ref="AD70" r:id="rId66" xr:uid="{00000000-0004-0000-3200-000041000000}"/>
    <hyperlink ref="AD71" r:id="rId67" xr:uid="{00000000-0004-0000-3200-000042000000}"/>
    <hyperlink ref="AD72" r:id="rId68" xr:uid="{00000000-0004-0000-3200-000043000000}"/>
    <hyperlink ref="AD73" r:id="rId69" xr:uid="{00000000-0004-0000-3200-000044000000}"/>
    <hyperlink ref="AD74" r:id="rId70" xr:uid="{00000000-0004-0000-3200-000045000000}"/>
    <hyperlink ref="AD75" r:id="rId71" display="Always Discreet Boutique Incontinence Pads, Moderate Absorbency, Regular Length" xr:uid="{00000000-0004-0000-3200-000046000000}"/>
    <hyperlink ref="AD76" r:id="rId72" xr:uid="{00000000-0004-0000-3200-000047000000}"/>
    <hyperlink ref="AD77" r:id="rId73" xr:uid="{00000000-0004-0000-3200-000048000000}"/>
    <hyperlink ref="AD78" r:id="rId74" xr:uid="{00000000-0004-0000-3200-000049000000}"/>
    <hyperlink ref="AD79" r:id="rId75" xr:uid="{00000000-0004-0000-3200-00004A000000}"/>
    <hyperlink ref="AD80" r:id="rId76" xr:uid="{00000000-0004-0000-3200-00004B000000}"/>
    <hyperlink ref="AD81" r:id="rId77" xr:uid="{00000000-0004-0000-3200-00004C000000}"/>
    <hyperlink ref="AD82" r:id="rId78" xr:uid="{00000000-0004-0000-3200-00004D000000}"/>
    <hyperlink ref="AD84" r:id="rId79" xr:uid="{00000000-0004-0000-3200-00004E000000}"/>
    <hyperlink ref="AD93" r:id="rId80" xr:uid="{00000000-0004-0000-3200-00004F000000}"/>
    <hyperlink ref="AD85" r:id="rId81" xr:uid="{00000000-0004-0000-3200-000050000000}"/>
    <hyperlink ref="AD86" r:id="rId82" xr:uid="{00000000-0004-0000-3200-000051000000}"/>
    <hyperlink ref="AD87" r:id="rId83" xr:uid="{00000000-0004-0000-3200-000052000000}"/>
    <hyperlink ref="AD88" r:id="rId84" xr:uid="{00000000-0004-0000-3200-000053000000}"/>
    <hyperlink ref="AD89" r:id="rId85" xr:uid="{00000000-0004-0000-3200-000054000000}"/>
    <hyperlink ref="AD90" r:id="rId86" xr:uid="{00000000-0004-0000-3200-000055000000}"/>
    <hyperlink ref="AD91" r:id="rId87" xr:uid="{00000000-0004-0000-3200-000056000000}"/>
    <hyperlink ref="AD92" r:id="rId88" xr:uid="{00000000-0004-0000-3200-000057000000}"/>
    <hyperlink ref="AD94" r:id="rId89" xr:uid="{00000000-0004-0000-3200-000058000000}"/>
    <hyperlink ref="AD95" r:id="rId90" xr:uid="{00000000-0004-0000-3200-000059000000}"/>
    <hyperlink ref="AD96" r:id="rId91" xr:uid="{00000000-0004-0000-3200-00005A000000}"/>
    <hyperlink ref="AD97" r:id="rId92" xr:uid="{00000000-0004-0000-3200-00005B000000}"/>
    <hyperlink ref="AD98" r:id="rId93" xr:uid="{00000000-0004-0000-3200-00005C000000}"/>
    <hyperlink ref="AD99" r:id="rId94" xr:uid="{00000000-0004-0000-3200-00005D000000}"/>
    <hyperlink ref="AD100" r:id="rId95" xr:uid="{00000000-0004-0000-3200-00005E000000}"/>
    <hyperlink ref="AD101" r:id="rId96" xr:uid="{00000000-0004-0000-3200-00005F000000}"/>
    <hyperlink ref="AD102" r:id="rId97" xr:uid="{00000000-0004-0000-3200-000060000000}"/>
    <hyperlink ref="AD103" r:id="rId98" xr:uid="{00000000-0004-0000-3200-000061000000}"/>
    <hyperlink ref="AD104" r:id="rId99" xr:uid="{00000000-0004-0000-3200-000062000000}"/>
    <hyperlink ref="AD105" r:id="rId100" xr:uid="{00000000-0004-0000-3200-000063000000}"/>
    <hyperlink ref="AD106" r:id="rId101" xr:uid="{00000000-0004-0000-3200-000064000000}"/>
    <hyperlink ref="AD107" r:id="rId102" xr:uid="{00000000-0004-0000-3200-000065000000}"/>
    <hyperlink ref="AD108" r:id="rId103" xr:uid="{00000000-0004-0000-3200-000066000000}"/>
    <hyperlink ref="AD110" r:id="rId104" xr:uid="{00000000-0004-0000-3200-000067000000}"/>
    <hyperlink ref="AD111" r:id="rId105" xr:uid="{00000000-0004-0000-3200-000068000000}"/>
    <hyperlink ref="AD112" r:id="rId106" xr:uid="{00000000-0004-0000-3200-000069000000}"/>
    <hyperlink ref="AD113" r:id="rId107" xr:uid="{00000000-0004-0000-3200-00006A000000}"/>
    <hyperlink ref="AD114" r:id="rId108" xr:uid="{00000000-0004-0000-3200-00006B000000}"/>
    <hyperlink ref="AD115" r:id="rId109" xr:uid="{00000000-0004-0000-3200-00006C000000}"/>
    <hyperlink ref="AD116" r:id="rId110" xr:uid="{00000000-0004-0000-3200-00006D000000}"/>
    <hyperlink ref="AD117" r:id="rId111" xr:uid="{00000000-0004-0000-3200-00006E000000}"/>
    <hyperlink ref="AD118" r:id="rId112" xr:uid="{00000000-0004-0000-3200-00006F000000}"/>
    <hyperlink ref="AD119" r:id="rId113" xr:uid="{00000000-0004-0000-3200-000070000000}"/>
    <hyperlink ref="AD120" r:id="rId114" xr:uid="{00000000-0004-0000-3200-000071000000}"/>
    <hyperlink ref="AD121" r:id="rId115" xr:uid="{00000000-0004-0000-3200-000072000000}"/>
    <hyperlink ref="AD122" r:id="rId116" xr:uid="{00000000-0004-0000-3200-000073000000}"/>
    <hyperlink ref="AD123" r:id="rId117" xr:uid="{00000000-0004-0000-3200-000074000000}"/>
    <hyperlink ref="AD124" r:id="rId118" xr:uid="{00000000-0004-0000-3200-000075000000}"/>
    <hyperlink ref="AD125" r:id="rId119" xr:uid="{00000000-0004-0000-3200-000076000000}"/>
    <hyperlink ref="AD126" r:id="rId120" xr:uid="{00000000-0004-0000-3200-000077000000}"/>
    <hyperlink ref="AD127" r:id="rId121" xr:uid="{00000000-0004-0000-3200-000078000000}"/>
  </hyperlinks>
  <pageMargins left="0.7" right="0.7" top="0.75" bottom="0.75" header="0.3" footer="0.3"/>
  <pageSetup orientation="portrait" r:id="rId122"/>
  <tableParts count="1">
    <tablePart r:id="rId123"/>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C12"/>
  <sheetViews>
    <sheetView workbookViewId="0">
      <selection activeCell="E19" sqref="E19"/>
    </sheetView>
  </sheetViews>
  <sheetFormatPr defaultRowHeight="15"/>
  <cols>
    <col min="1" max="1" width="45.28515625" customWidth="1"/>
  </cols>
  <sheetData>
    <row r="1" spans="1:3" ht="15.75" thickTop="1">
      <c r="A1" s="3" t="s">
        <v>15</v>
      </c>
      <c r="B1" s="7" t="s">
        <v>18</v>
      </c>
    </row>
    <row r="2" spans="1:3" ht="15.75" thickBot="1">
      <c r="B2" s="4"/>
    </row>
    <row r="3" spans="1:3" ht="15.75" thickBot="1">
      <c r="A3" s="55" t="s">
        <v>1987</v>
      </c>
      <c r="B3" s="147" t="b">
        <v>0</v>
      </c>
      <c r="C3" t="b">
        <f>NOT(B3)</f>
        <v>1</v>
      </c>
    </row>
    <row r="4" spans="1:3" ht="15.75" thickBot="1">
      <c r="A4" s="170" t="s">
        <v>1988</v>
      </c>
      <c r="B4" s="180" t="b">
        <v>0</v>
      </c>
      <c r="C4" t="b">
        <f>NOT(B4)</f>
        <v>1</v>
      </c>
    </row>
    <row r="5" spans="1:3" ht="15.75" thickBot="1">
      <c r="A5" s="170" t="s">
        <v>1989</v>
      </c>
      <c r="B5" s="180" t="b">
        <v>0</v>
      </c>
      <c r="C5" t="b">
        <f t="shared" ref="C5:C7" si="0">NOT(B5)</f>
        <v>1</v>
      </c>
    </row>
    <row r="6" spans="1:3" ht="15.75" thickBot="1">
      <c r="A6" s="158" t="s">
        <v>1990</v>
      </c>
      <c r="B6" s="182" t="b">
        <v>0</v>
      </c>
      <c r="C6" t="b">
        <f t="shared" si="0"/>
        <v>1</v>
      </c>
    </row>
    <row r="7" spans="1:3" ht="15.75" thickBot="1">
      <c r="A7" s="158" t="s">
        <v>1997</v>
      </c>
      <c r="B7" s="182" t="b">
        <v>0</v>
      </c>
      <c r="C7" t="b">
        <f t="shared" si="0"/>
        <v>1</v>
      </c>
    </row>
    <row r="8" spans="1:3" ht="15.75" thickBot="1">
      <c r="A8" s="55" t="s">
        <v>1999</v>
      </c>
      <c r="B8" s="147" t="b">
        <v>0</v>
      </c>
      <c r="C8" t="b">
        <f t="shared" ref="C8:C12" si="1">NOT(B8)</f>
        <v>1</v>
      </c>
    </row>
    <row r="9" spans="1:3" ht="15.75" thickBot="1">
      <c r="A9" s="215" t="s">
        <v>2001</v>
      </c>
      <c r="B9" s="147" t="b">
        <v>0</v>
      </c>
      <c r="C9" t="b">
        <f t="shared" si="1"/>
        <v>1</v>
      </c>
    </row>
    <row r="10" spans="1:3" ht="15.75" thickBot="1">
      <c r="A10" s="55" t="s">
        <v>2000</v>
      </c>
      <c r="B10" s="147" t="b">
        <v>0</v>
      </c>
      <c r="C10" t="b">
        <f t="shared" si="1"/>
        <v>1</v>
      </c>
    </row>
    <row r="11" spans="1:3" ht="15.75" thickBot="1">
      <c r="A11" s="162" t="s">
        <v>1991</v>
      </c>
      <c r="B11" s="183" t="b">
        <v>0</v>
      </c>
      <c r="C11" t="b">
        <f t="shared" si="1"/>
        <v>1</v>
      </c>
    </row>
    <row r="12" spans="1:3" ht="15.75" thickBot="1">
      <c r="A12" s="162" t="s">
        <v>1992</v>
      </c>
      <c r="B12" s="183" t="b">
        <v>0</v>
      </c>
      <c r="C12" t="b">
        <f t="shared" si="1"/>
        <v>1</v>
      </c>
    </row>
  </sheetData>
  <dataValidations count="1">
    <dataValidation allowBlank="1" showInputMessage="1" showErrorMessage="1" prompt="Consult your pharmacist if unsure" sqref="A3:A8 A10:A12" xr:uid="{00000000-0002-0000-33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0">
        <x14:dataValidation type="list" showInputMessage="1" showErrorMessage="1" error="Please answer as Yes or No" prompt="Lysine is a natural amino acid with antiviral activity and may help heal cold sores." xr:uid="{00000000-0002-0000-3300-000001000000}">
          <x14:formula1>
            <xm:f>random!$A$2:$A$3</xm:f>
          </x14:formula1>
          <xm:sqref>B12</xm:sqref>
        </x14:dataValidation>
        <x14:dataValidation type="list" showInputMessage="1" showErrorMessage="1" error="Please answer as Yes or No" prompt="Some products are homeopathic and are martketed as sugar-free, dye-free, anaesthic-free and paraben-free. Evidence for efficacy may be weak or lacking. " xr:uid="{00000000-0002-0000-3300-000002000000}">
          <x14:formula1>
            <xm:f>random!$A$2:$A$3</xm:f>
          </x14:formula1>
          <xm:sqref>B8</xm:sqref>
        </x14:dataValidation>
        <x14:dataValidation type="list" showInputMessage="1" showErrorMessage="1" error="Please answer as Yes or No" prompt="Some products are not suitable for children and use should be avoided." xr:uid="{A637CDDC-3375-4A99-87FB-0F8052B4DFF2}">
          <x14:formula1>
            <xm:f>random!$A$2:$A$3</xm:f>
          </x14:formula1>
          <xm:sqref>B3</xm:sqref>
        </x14:dataValidation>
        <x14:dataValidation type="list" showInputMessage="1" showErrorMessage="1" error="Please answer as Yes or No" prompt="Cold sores present as fluid-filled blisters on or around the lips and are caused by a viral infection." xr:uid="{DF93E10C-8A96-4BDE-B933-55C7B80BDE58}">
          <x14:formula1>
            <xm:f>random!$A$2:$A$3</xm:f>
          </x14:formula1>
          <xm:sqref>B4</xm:sqref>
        </x14:dataValidation>
        <x14:dataValidation type="list" showInputMessage="1" showErrorMessage="1" error="Please answer as Yes or No" prompt="Some products contain a medication to relieve the pain caused by canker sores, uclers or lesions within the mouth. Efficacy may be reduced by some toothpastes, juice, soft drinks or water. Avoid eating or drinking within 30min of application." xr:uid="{257ABED8-DA11-4D3A-AF33-AC4A114AD656}">
          <x14:formula1>
            <xm:f>random!$A$2:$A$3</xm:f>
          </x14:formula1>
          <xm:sqref>B5</xm:sqref>
        </x14:dataValidation>
        <x14:dataValidation type="list" showInputMessage="1" showErrorMessage="1" error="Please answer as Yes or No" prompt="Patients who are sensitive or allergic to anesthetics should avoid products that cointain these agents. Anesthetics may cause severe reactions in children following ingestion. Avoid use in high risk patients or individuals that may accidentally swallow. " xr:uid="{1A66625F-7885-4F0B-BFD6-75D32AE2B6C7}">
          <x14:formula1>
            <xm:f>random!$A$2:$A$3</xm:f>
          </x14:formula1>
          <xm:sqref>B6</xm:sqref>
        </x14:dataValidation>
        <x14:dataValidation type="list" showInputMessage="1" showErrorMessage="1" error="Please answer as Yes or No" prompt="Patients who are sensitive or allergic to preservatives should avoid products that contain these agents." xr:uid="{3BA74A60-3610-4C0E-B718-E3D46510D988}">
          <x14:formula1>
            <xm:f>random!$A$2:$A$3</xm:f>
          </x14:formula1>
          <xm:sqref>B7</xm:sqref>
        </x14:dataValidation>
        <x14:dataValidation type="list" showInputMessage="1" showErrorMessage="1" error="Please answer as Yes or No" prompt="Products containing an astringent may help relieve irritation of the gum or lesion." xr:uid="{40ED4822-3267-4CAD-A3F4-04250AF1E4AE}">
          <x14:formula1>
            <xm:f>random!$A$2:$A$3</xm:f>
          </x14:formula1>
          <xm:sqref>B9</xm:sqref>
        </x14:dataValidation>
        <x14:dataValidation type="list" showInputMessage="1" showErrorMessage="1" error="Please answer as Yes or No" prompt="Products containing menthol may have a soothing and cooling sensation. These products may help with pain relief. " xr:uid="{1226DF96-4C9E-4BC8-8751-C029CA1EEC95}">
          <x14:formula1>
            <xm:f>random!$A$2:$A$3</xm:f>
          </x14:formula1>
          <xm:sqref>B10</xm:sqref>
        </x14:dataValidation>
        <x14:dataValidation type="list" showInputMessage="1" showErrorMessage="1" error="Please answer as Yes or No" prompt="These products contain a medication with antiviral action and may help heal cold sores." xr:uid="{F6FBB9BA-4C3F-4404-B695-20A6DEDDBE6C}">
          <x14:formula1>
            <xm:f>random!$A$2:$A$3</xm:f>
          </x14:formula1>
          <xm:sqref>B11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P39"/>
  <sheetViews>
    <sheetView workbookViewId="0">
      <selection activeCell="C4" sqref="C4"/>
    </sheetView>
  </sheetViews>
  <sheetFormatPr defaultRowHeight="15"/>
  <cols>
    <col min="1" max="1" width="40.42578125" customWidth="1"/>
    <col min="2" max="9" width="11" customWidth="1"/>
    <col min="10" max="13" width="12" customWidth="1"/>
    <col min="14" max="14" width="57.140625" customWidth="1"/>
  </cols>
  <sheetData>
    <row r="1" spans="1:16">
      <c r="A1" s="70" t="s">
        <v>1248</v>
      </c>
      <c r="B1" t="s">
        <v>915</v>
      </c>
      <c r="C1" t="s">
        <v>1716</v>
      </c>
      <c r="D1" t="s">
        <v>1985</v>
      </c>
      <c r="E1" t="s">
        <v>1986</v>
      </c>
      <c r="F1" t="s">
        <v>362</v>
      </c>
      <c r="G1" t="s">
        <v>1983</v>
      </c>
      <c r="H1" t="s">
        <v>1984</v>
      </c>
      <c r="I1" t="s">
        <v>1974</v>
      </c>
      <c r="J1" t="s">
        <v>1998</v>
      </c>
      <c r="K1" t="s">
        <v>1995</v>
      </c>
      <c r="L1" t="s">
        <v>1976</v>
      </c>
      <c r="M1" t="s">
        <v>4</v>
      </c>
      <c r="N1" t="s">
        <v>1498</v>
      </c>
    </row>
    <row r="2" spans="1:16">
      <c r="A2" s="203" t="b">
        <f>IF(Table33[[#This Row],[Column1]],Table33[[#This Row],[Products]])</f>
        <v>0</v>
      </c>
      <c r="B2" s="20" t="b">
        <f>OR('Oral Criteria'!B3:C3)</f>
        <v>1</v>
      </c>
      <c r="C2" s="17"/>
      <c r="D2" s="17"/>
      <c r="E2" s="20" t="b">
        <f>AND('Oral Criteria'!B5,'Oral Criteria'!C4)</f>
        <v>0</v>
      </c>
      <c r="F2" s="17" t="b">
        <f>OR('Oral Criteria'!B6:C6)</f>
        <v>1</v>
      </c>
      <c r="G2" s="17" t="b">
        <f>AND('Oral Criteria'!C11)</f>
        <v>1</v>
      </c>
      <c r="H2" s="17" t="b">
        <f>AND('Oral Criteria'!C12)</f>
        <v>1</v>
      </c>
      <c r="I2" s="20" t="b">
        <f>AND('Oral Criteria'!B8)</f>
        <v>0</v>
      </c>
      <c r="J2" s="17" t="b">
        <f>OR('Oral Criteria'!B7:C7)</f>
        <v>1</v>
      </c>
      <c r="K2" s="17" t="b">
        <f>AND('Oral Criteria'!C10)</f>
        <v>1</v>
      </c>
      <c r="L2" s="17" t="b">
        <f>AND('Oral Criteria'!C9)</f>
        <v>1</v>
      </c>
      <c r="M2" s="21" t="b">
        <f>AND(Table33[[#This Row],[Kids]:[Astringent (zinc)]])</f>
        <v>0</v>
      </c>
      <c r="N2" s="11" t="s">
        <v>1905</v>
      </c>
    </row>
    <row r="3" spans="1:16">
      <c r="A3" s="203" t="b">
        <f>IF(Table33[[#This Row],[Column1]],Table33[[#This Row],[Products]])</f>
        <v>0</v>
      </c>
      <c r="B3" s="20" t="b">
        <f>B2</f>
        <v>1</v>
      </c>
      <c r="C3" s="17"/>
      <c r="D3" s="17"/>
      <c r="E3" s="20" t="b">
        <f t="shared" ref="E3:L3" si="0">E2</f>
        <v>0</v>
      </c>
      <c r="F3" s="17" t="b">
        <f t="shared" si="0"/>
        <v>1</v>
      </c>
      <c r="G3" s="17" t="b">
        <f t="shared" si="0"/>
        <v>1</v>
      </c>
      <c r="H3" s="17" t="b">
        <f t="shared" si="0"/>
        <v>1</v>
      </c>
      <c r="I3" s="20" t="b">
        <f t="shared" si="0"/>
        <v>0</v>
      </c>
      <c r="J3" s="17" t="b">
        <f t="shared" si="0"/>
        <v>1</v>
      </c>
      <c r="K3" s="17" t="b">
        <f t="shared" si="0"/>
        <v>1</v>
      </c>
      <c r="L3" s="17" t="b">
        <f t="shared" si="0"/>
        <v>1</v>
      </c>
      <c r="M3" s="21" t="b">
        <f>AND(Table33[[#This Row],[Kids]:[Astringent (zinc)]])</f>
        <v>0</v>
      </c>
      <c r="N3" s="11" t="s">
        <v>1906</v>
      </c>
    </row>
    <row r="4" spans="1:16">
      <c r="A4" s="203" t="b">
        <f>IF(Table33[[#This Row],[Column1]],Table33[[#This Row],[Products]])</f>
        <v>0</v>
      </c>
      <c r="B4" s="17"/>
      <c r="C4" s="20" t="b">
        <f>AND('Oral Criteria'!B3)</f>
        <v>0</v>
      </c>
      <c r="D4" s="20" t="b">
        <f>AND('Oral Criteria'!B4,'Oral Criteria'!C5)</f>
        <v>0</v>
      </c>
      <c r="E4" s="17"/>
      <c r="F4" s="20" t="b">
        <f>AND('Oral Criteria'!C6)</f>
        <v>1</v>
      </c>
      <c r="G4" s="17" t="b">
        <f>G2</f>
        <v>1</v>
      </c>
      <c r="H4" s="17" t="b">
        <f>H2</f>
        <v>1</v>
      </c>
      <c r="I4" s="17" t="b">
        <f>AND('Oral Criteria'!C8)</f>
        <v>1</v>
      </c>
      <c r="J4" s="20" t="b">
        <f>AND('Oral Criteria'!C7)</f>
        <v>1</v>
      </c>
      <c r="K4" s="17" t="b">
        <f>K2</f>
        <v>1</v>
      </c>
      <c r="L4" s="17" t="b">
        <f>L2</f>
        <v>1</v>
      </c>
      <c r="M4" s="21" t="b">
        <f>AND(Table33[[#This Row],[Kids]:[Astringent (zinc)]])</f>
        <v>0</v>
      </c>
      <c r="N4" s="11" t="s">
        <v>1907</v>
      </c>
      <c r="P4" t="s">
        <v>1978</v>
      </c>
    </row>
    <row r="5" spans="1:16">
      <c r="A5" s="203" t="b">
        <f>IF(Table33[[#This Row],[Column1]],Table33[[#This Row],[Products]])</f>
        <v>0</v>
      </c>
      <c r="B5" s="17"/>
      <c r="C5" s="20" t="b">
        <f>C4</f>
        <v>0</v>
      </c>
      <c r="D5" s="17"/>
      <c r="E5" s="20" t="b">
        <f>E2</f>
        <v>0</v>
      </c>
      <c r="F5" s="20" t="b">
        <f>F4</f>
        <v>1</v>
      </c>
      <c r="G5" s="17" t="b">
        <f>G2</f>
        <v>1</v>
      </c>
      <c r="H5" s="17" t="b">
        <f>H2</f>
        <v>1</v>
      </c>
      <c r="I5" s="17" t="b">
        <f>I4</f>
        <v>1</v>
      </c>
      <c r="J5" s="20" t="b">
        <f>J4</f>
        <v>1</v>
      </c>
      <c r="K5" s="20" t="b">
        <f>OR('Oral Criteria'!B10:C10)</f>
        <v>1</v>
      </c>
      <c r="L5" s="20" t="b">
        <f>OR('Oral Criteria'!B9:C9)</f>
        <v>1</v>
      </c>
      <c r="M5" s="21" t="b">
        <f>AND(Table33[[#This Row],[Kids]:[Astringent (zinc)]])</f>
        <v>0</v>
      </c>
      <c r="N5" s="11" t="s">
        <v>1908</v>
      </c>
      <c r="P5" t="s">
        <v>1975</v>
      </c>
    </row>
    <row r="6" spans="1:16">
      <c r="A6" s="203" t="b">
        <f>IF(Table33[[#This Row],[Column1]],Table33[[#This Row],[Products]])</f>
        <v>0</v>
      </c>
      <c r="B6" s="17"/>
      <c r="C6" s="20" t="b">
        <f>C4</f>
        <v>0</v>
      </c>
      <c r="D6" s="17"/>
      <c r="E6" s="20" t="b">
        <f>E2</f>
        <v>0</v>
      </c>
      <c r="F6" s="20" t="b">
        <f>F4</f>
        <v>1</v>
      </c>
      <c r="G6" s="17" t="b">
        <f>G2</f>
        <v>1</v>
      </c>
      <c r="H6" s="17" t="b">
        <f>H2</f>
        <v>1</v>
      </c>
      <c r="I6" s="17" t="b">
        <f>I4</f>
        <v>1</v>
      </c>
      <c r="J6" s="17" t="b">
        <f>J2</f>
        <v>1</v>
      </c>
      <c r="K6" s="20" t="b">
        <f>K5</f>
        <v>1</v>
      </c>
      <c r="L6" s="17" t="b">
        <f>L2</f>
        <v>1</v>
      </c>
      <c r="M6" s="21" t="b">
        <f>AND(Table33[[#This Row],[Kids]:[Astringent (zinc)]])</f>
        <v>0</v>
      </c>
      <c r="N6" s="11" t="s">
        <v>1909</v>
      </c>
      <c r="P6" t="s">
        <v>1977</v>
      </c>
    </row>
    <row r="7" spans="1:16">
      <c r="A7" s="203" t="b">
        <f>IF(Table33[[#This Row],[Column1]],Table33[[#This Row],[Products]])</f>
        <v>0</v>
      </c>
      <c r="B7" s="17"/>
      <c r="C7" s="20" t="b">
        <f>C4</f>
        <v>0</v>
      </c>
      <c r="D7" s="17"/>
      <c r="E7" s="20" t="b">
        <f>E2</f>
        <v>0</v>
      </c>
      <c r="F7" s="20" t="b">
        <f>F4</f>
        <v>1</v>
      </c>
      <c r="G7" s="17" t="b">
        <f>G2</f>
        <v>1</v>
      </c>
      <c r="H7" s="17" t="b">
        <f>H2</f>
        <v>1</v>
      </c>
      <c r="I7" s="17" t="b">
        <f>I4</f>
        <v>1</v>
      </c>
      <c r="J7" s="17" t="b">
        <f>J2</f>
        <v>1</v>
      </c>
      <c r="K7" s="17" t="b">
        <f>K2</f>
        <v>1</v>
      </c>
      <c r="L7" s="20" t="b">
        <f>L5</f>
        <v>1</v>
      </c>
      <c r="M7" s="21" t="b">
        <f>AND(Table33[[#This Row],[Kids]:[Astringent (zinc)]])</f>
        <v>0</v>
      </c>
      <c r="N7" s="11" t="s">
        <v>1910</v>
      </c>
    </row>
    <row r="8" spans="1:16">
      <c r="A8" s="203" t="b">
        <f>IF(Table33[[#This Row],[Column1]],Table33[[#This Row],[Products]])</f>
        <v>0</v>
      </c>
      <c r="B8" s="17"/>
      <c r="C8" s="20" t="b">
        <f>C4</f>
        <v>0</v>
      </c>
      <c r="D8" s="17"/>
      <c r="E8" s="20" t="b">
        <f>E2</f>
        <v>0</v>
      </c>
      <c r="F8" s="20" t="b">
        <f>F4</f>
        <v>1</v>
      </c>
      <c r="G8" s="17" t="b">
        <f>G2</f>
        <v>1</v>
      </c>
      <c r="H8" s="17" t="b">
        <f>H2</f>
        <v>1</v>
      </c>
      <c r="I8" s="17" t="b">
        <f>I4</f>
        <v>1</v>
      </c>
      <c r="J8" s="17" t="b">
        <f>J2</f>
        <v>1</v>
      </c>
      <c r="K8" s="17" t="b">
        <f>K2</f>
        <v>1</v>
      </c>
      <c r="L8" s="20" t="b">
        <f>L5</f>
        <v>1</v>
      </c>
      <c r="M8" s="21" t="b">
        <f>AND(Table33[[#This Row],[Kids]:[Astringent (zinc)]])</f>
        <v>0</v>
      </c>
      <c r="N8" s="11" t="s">
        <v>1911</v>
      </c>
      <c r="P8" t="s">
        <v>1981</v>
      </c>
    </row>
    <row r="9" spans="1:16">
      <c r="A9" s="203" t="b">
        <f>IF(Table33[[#This Row],[Column1]],Table33[[#This Row],[Products]])</f>
        <v>0</v>
      </c>
      <c r="B9" s="17"/>
      <c r="C9" s="20" t="b">
        <f>C4</f>
        <v>0</v>
      </c>
      <c r="D9" s="17"/>
      <c r="E9" s="20" t="b">
        <f>E2</f>
        <v>0</v>
      </c>
      <c r="F9" s="20" t="b">
        <f>F4</f>
        <v>1</v>
      </c>
      <c r="G9" s="17" t="b">
        <f>G2</f>
        <v>1</v>
      </c>
      <c r="H9" s="17" t="b">
        <f>H2</f>
        <v>1</v>
      </c>
      <c r="I9" s="17" t="b">
        <f>I4</f>
        <v>1</v>
      </c>
      <c r="J9" s="20" t="b">
        <f>J4</f>
        <v>1</v>
      </c>
      <c r="K9" s="20" t="b">
        <f>K5</f>
        <v>1</v>
      </c>
      <c r="L9" s="20" t="b">
        <f>L5</f>
        <v>1</v>
      </c>
      <c r="M9" s="21" t="b">
        <f>AND(Table33[[#This Row],[Kids]:[Astringent (zinc)]])</f>
        <v>0</v>
      </c>
      <c r="N9" s="11" t="s">
        <v>1912</v>
      </c>
    </row>
    <row r="10" spans="1:16">
      <c r="A10" s="203" t="b">
        <f>IF(Table33[[#This Row],[Column1]],Table33[[#This Row],[Products]])</f>
        <v>0</v>
      </c>
      <c r="B10" s="20" t="b">
        <f>B2</f>
        <v>1</v>
      </c>
      <c r="C10" s="17"/>
      <c r="D10" s="17"/>
      <c r="E10" s="20" t="b">
        <f>E2</f>
        <v>0</v>
      </c>
      <c r="F10" s="20" t="b">
        <f>F4</f>
        <v>1</v>
      </c>
      <c r="G10" s="17" t="b">
        <f>G2</f>
        <v>1</v>
      </c>
      <c r="H10" s="17" t="b">
        <f>H2</f>
        <v>1</v>
      </c>
      <c r="I10" s="17" t="b">
        <f>I4</f>
        <v>1</v>
      </c>
      <c r="J10" s="17" t="b">
        <f>J2</f>
        <v>1</v>
      </c>
      <c r="K10" s="17" t="b">
        <f>K2</f>
        <v>1</v>
      </c>
      <c r="L10" s="17" t="b">
        <f>L2</f>
        <v>1</v>
      </c>
      <c r="M10" s="21" t="b">
        <f>AND(Table33[[#This Row],[Kids]:[Astringent (zinc)]])</f>
        <v>0</v>
      </c>
      <c r="N10" s="11" t="s">
        <v>1913</v>
      </c>
      <c r="P10" t="s">
        <v>1980</v>
      </c>
    </row>
    <row r="11" spans="1:16">
      <c r="A11" s="203" t="b">
        <f>IF(Table33[[#This Row],[Column1]],Table33[[#This Row],[Products]])</f>
        <v>0</v>
      </c>
      <c r="B11" s="17"/>
      <c r="C11" s="20" t="b">
        <f>C4</f>
        <v>0</v>
      </c>
      <c r="D11" s="17"/>
      <c r="E11" s="20" t="b">
        <f>E2</f>
        <v>0</v>
      </c>
      <c r="F11" s="20" t="b">
        <f>F4</f>
        <v>1</v>
      </c>
      <c r="G11" s="17" t="b">
        <f>G2</f>
        <v>1</v>
      </c>
      <c r="H11" s="17" t="b">
        <f>H2</f>
        <v>1</v>
      </c>
      <c r="I11" s="17" t="b">
        <f>I4</f>
        <v>1</v>
      </c>
      <c r="J11" s="17" t="b">
        <f>J2</f>
        <v>1</v>
      </c>
      <c r="K11" s="20" t="b">
        <f>K5</f>
        <v>1</v>
      </c>
      <c r="L11" s="17" t="b">
        <f>L2</f>
        <v>1</v>
      </c>
      <c r="M11" s="21" t="b">
        <f>AND(Table33[[#This Row],[Kids]:[Astringent (zinc)]])</f>
        <v>0</v>
      </c>
      <c r="N11" s="11" t="s">
        <v>1914</v>
      </c>
      <c r="P11" t="s">
        <v>1979</v>
      </c>
    </row>
    <row r="12" spans="1:16">
      <c r="A12" s="16" t="e">
        <f>IF(Table33[[#This Row],[Column1]],Table33[[#This Row],[Products]])</f>
        <v>#VALUE!</v>
      </c>
      <c r="B12" s="16"/>
      <c r="C12" s="16"/>
      <c r="D12" s="16"/>
      <c r="E12" s="16"/>
      <c r="F12" s="16"/>
      <c r="G12" s="16"/>
      <c r="H12" s="16"/>
      <c r="I12" s="16"/>
      <c r="J12" s="16"/>
      <c r="K12" s="16"/>
      <c r="L12" s="16"/>
      <c r="M12" s="16" t="e">
        <f>AND(Table33[[#This Row],[Kids]:[Astringent (zinc)]])</f>
        <v>#VALUE!</v>
      </c>
      <c r="N12" s="16"/>
    </row>
    <row r="13" spans="1:16">
      <c r="A13" s="203" t="b">
        <f>IF(Table33[[#This Row],[Column1]],Table33[[#This Row],[Products]])</f>
        <v>0</v>
      </c>
      <c r="B13" s="20" t="b">
        <f>B2</f>
        <v>1</v>
      </c>
      <c r="C13" s="17"/>
      <c r="D13" s="17"/>
      <c r="E13" s="20" t="b">
        <f>E2</f>
        <v>0</v>
      </c>
      <c r="F13" s="20" t="b">
        <f>F4</f>
        <v>1</v>
      </c>
      <c r="G13" s="17" t="b">
        <f>G2</f>
        <v>1</v>
      </c>
      <c r="H13" s="17" t="b">
        <f>H2</f>
        <v>1</v>
      </c>
      <c r="I13" s="17" t="b">
        <f>I4</f>
        <v>1</v>
      </c>
      <c r="J13" s="20" t="b">
        <f>J4</f>
        <v>1</v>
      </c>
      <c r="K13" s="17" t="b">
        <f>K2</f>
        <v>1</v>
      </c>
      <c r="L13" s="17" t="b">
        <f>L2</f>
        <v>1</v>
      </c>
      <c r="M13" s="21" t="b">
        <f>AND(Table33[[#This Row],[Kids]:[Astringent (zinc)]])</f>
        <v>0</v>
      </c>
      <c r="N13" s="11" t="s">
        <v>1915</v>
      </c>
    </row>
    <row r="14" spans="1:16">
      <c r="A14" s="203" t="b">
        <f>IF(Table33[[#This Row],[Column1]],Table33[[#This Row],[Products]])</f>
        <v>0</v>
      </c>
      <c r="B14" s="20" t="b">
        <f>B2</f>
        <v>1</v>
      </c>
      <c r="C14" s="17"/>
      <c r="D14" s="17"/>
      <c r="E14" s="20" t="b">
        <f>E2</f>
        <v>0</v>
      </c>
      <c r="F14" s="20" t="b">
        <f>F4</f>
        <v>1</v>
      </c>
      <c r="G14" s="17" t="b">
        <f>G2</f>
        <v>1</v>
      </c>
      <c r="H14" s="17" t="b">
        <f>H2</f>
        <v>1</v>
      </c>
      <c r="I14" s="17" t="b">
        <f>I4</f>
        <v>1</v>
      </c>
      <c r="J14" s="20" t="b">
        <f>J4</f>
        <v>1</v>
      </c>
      <c r="K14" s="17" t="b">
        <f>K2</f>
        <v>1</v>
      </c>
      <c r="L14" s="17" t="b">
        <f>L2</f>
        <v>1</v>
      </c>
      <c r="M14" s="21" t="b">
        <f>AND(Table33[[#This Row],[Kids]:[Astringent (zinc)]])</f>
        <v>0</v>
      </c>
      <c r="N14" s="11" t="s">
        <v>1916</v>
      </c>
    </row>
    <row r="15" spans="1:16">
      <c r="A15" s="203" t="b">
        <f>IF(Table33[[#This Row],[Column1]],Table33[[#This Row],[Products]])</f>
        <v>0</v>
      </c>
      <c r="B15" s="20" t="b">
        <f>B2</f>
        <v>1</v>
      </c>
      <c r="C15" s="17"/>
      <c r="D15" s="20" t="b">
        <f>D4</f>
        <v>0</v>
      </c>
      <c r="E15" s="17"/>
      <c r="F15" s="20" t="b">
        <f>F4</f>
        <v>1</v>
      </c>
      <c r="G15" s="17" t="b">
        <f>G2</f>
        <v>1</v>
      </c>
      <c r="H15" s="17" t="b">
        <f>H2</f>
        <v>1</v>
      </c>
      <c r="I15" s="17" t="b">
        <f>I4</f>
        <v>1</v>
      </c>
      <c r="J15" s="20" t="b">
        <f>J4</f>
        <v>1</v>
      </c>
      <c r="K15" s="20" t="b">
        <f>K5</f>
        <v>1</v>
      </c>
      <c r="L15" s="17" t="b">
        <f>L2</f>
        <v>1</v>
      </c>
      <c r="M15" s="21" t="b">
        <f>AND(Table33[[#This Row],[Kids]:[Astringent (zinc)]])</f>
        <v>0</v>
      </c>
      <c r="N15" s="11" t="s">
        <v>1917</v>
      </c>
    </row>
    <row r="16" spans="1:16">
      <c r="A16" s="203" t="b">
        <f>IF(Table33[[#This Row],[Column1]],Table33[[#This Row],[Products]])</f>
        <v>0</v>
      </c>
      <c r="B16" s="20" t="b">
        <f>B2</f>
        <v>1</v>
      </c>
      <c r="C16" s="17"/>
      <c r="D16" s="17"/>
      <c r="E16" s="20" t="b">
        <f>E2</f>
        <v>0</v>
      </c>
      <c r="F16" s="20" t="b">
        <f>F4</f>
        <v>1</v>
      </c>
      <c r="G16" s="17" t="b">
        <f>G2</f>
        <v>1</v>
      </c>
      <c r="H16" s="17" t="b">
        <f>H2</f>
        <v>1</v>
      </c>
      <c r="I16" s="17" t="b">
        <f>I4</f>
        <v>1</v>
      </c>
      <c r="J16" s="20" t="b">
        <f>J4</f>
        <v>1</v>
      </c>
      <c r="K16" s="17" t="b">
        <f>K2</f>
        <v>1</v>
      </c>
      <c r="L16" s="17" t="b">
        <f>L2</f>
        <v>1</v>
      </c>
      <c r="M16" s="21" t="b">
        <f>AND(Table33[[#This Row],[Kids]:[Astringent (zinc)]])</f>
        <v>0</v>
      </c>
      <c r="N16" s="11" t="s">
        <v>1918</v>
      </c>
    </row>
    <row r="17" spans="1:16">
      <c r="A17" s="203" t="b">
        <f>IF(Table33[[#This Row],[Column1]],Table33[[#This Row],[Products]])</f>
        <v>0</v>
      </c>
      <c r="B17" s="20" t="b">
        <f>B2</f>
        <v>1</v>
      </c>
      <c r="C17" s="17"/>
      <c r="D17" s="17"/>
      <c r="E17" s="20" t="b">
        <f>E2</f>
        <v>0</v>
      </c>
      <c r="F17" s="20" t="b">
        <f>F4</f>
        <v>1</v>
      </c>
      <c r="G17" s="17" t="b">
        <f>G2</f>
        <v>1</v>
      </c>
      <c r="H17" s="17" t="b">
        <f>H2</f>
        <v>1</v>
      </c>
      <c r="I17" s="17" t="b">
        <f>I4</f>
        <v>1</v>
      </c>
      <c r="J17" s="20" t="b">
        <f>J4</f>
        <v>1</v>
      </c>
      <c r="K17" s="17" t="b">
        <f>K2</f>
        <v>1</v>
      </c>
      <c r="L17" s="17" t="b">
        <f>L2</f>
        <v>1</v>
      </c>
      <c r="M17" s="21" t="b">
        <f>AND(Table33[[#This Row],[Kids]:[Astringent (zinc)]])</f>
        <v>0</v>
      </c>
      <c r="N17" s="11" t="s">
        <v>1919</v>
      </c>
    </row>
    <row r="18" spans="1:16">
      <c r="A18" s="16" t="e">
        <f>IF(Table33[[#This Row],[Column1]],Table33[[#This Row],[Products]])</f>
        <v>#VALUE!</v>
      </c>
      <c r="B18" s="16"/>
      <c r="C18" s="16"/>
      <c r="D18" s="16"/>
      <c r="E18" s="16"/>
      <c r="F18" s="16"/>
      <c r="G18" s="16"/>
      <c r="H18" s="16"/>
      <c r="I18" s="16"/>
      <c r="J18" s="16"/>
      <c r="K18" s="16"/>
      <c r="L18" s="16"/>
      <c r="M18" s="16" t="e">
        <f>AND(Table33[[#This Row],[Kids]:[Astringent (zinc)]])</f>
        <v>#VALUE!</v>
      </c>
      <c r="N18" s="16"/>
    </row>
    <row r="19" spans="1:16">
      <c r="A19" s="203" t="b">
        <f>IF(Table33[[#This Row],[Column1]],Table33[[#This Row],[Products]])</f>
        <v>0</v>
      </c>
      <c r="B19" s="20" t="b">
        <f>B2</f>
        <v>1</v>
      </c>
      <c r="C19" s="17"/>
      <c r="D19" s="17"/>
      <c r="E19" s="20" t="b">
        <f>E2</f>
        <v>0</v>
      </c>
      <c r="F19" s="20" t="b">
        <f>F4</f>
        <v>1</v>
      </c>
      <c r="G19" s="17" t="b">
        <f>G2</f>
        <v>1</v>
      </c>
      <c r="H19" s="17" t="b">
        <f>H2</f>
        <v>1</v>
      </c>
      <c r="I19" s="17" t="b">
        <f>I4</f>
        <v>1</v>
      </c>
      <c r="J19" s="17" t="b">
        <f>J2</f>
        <v>1</v>
      </c>
      <c r="K19" s="17" t="b">
        <f>K2</f>
        <v>1</v>
      </c>
      <c r="L19" s="20" t="b">
        <f>L5</f>
        <v>1</v>
      </c>
      <c r="M19" s="21" t="b">
        <f>AND(Table33[[#This Row],[Kids]:[Astringent (zinc)]])</f>
        <v>0</v>
      </c>
      <c r="N19" s="11" t="s">
        <v>1921</v>
      </c>
    </row>
    <row r="20" spans="1:16">
      <c r="A20" s="203" t="b">
        <f>IF(Table33[[#This Row],[Column1]],Table33[[#This Row],[Products]])</f>
        <v>0</v>
      </c>
      <c r="B20" s="20" t="b">
        <f>B2</f>
        <v>1</v>
      </c>
      <c r="C20" s="17"/>
      <c r="D20" s="17"/>
      <c r="E20" s="20" t="b">
        <f>E2</f>
        <v>0</v>
      </c>
      <c r="F20" s="20" t="b">
        <f>F4</f>
        <v>1</v>
      </c>
      <c r="G20" s="17" t="b">
        <f>G2</f>
        <v>1</v>
      </c>
      <c r="H20" s="17" t="b">
        <f>H2</f>
        <v>1</v>
      </c>
      <c r="I20" s="17" t="b">
        <f>I4</f>
        <v>1</v>
      </c>
      <c r="J20" s="17" t="b">
        <f>J2</f>
        <v>1</v>
      </c>
      <c r="K20" s="17" t="b">
        <f>K2</f>
        <v>1</v>
      </c>
      <c r="L20" s="17" t="b">
        <f>L2</f>
        <v>1</v>
      </c>
      <c r="M20" s="21" t="b">
        <f>AND(Table33[[#This Row],[Kids]:[Astringent (zinc)]])</f>
        <v>0</v>
      </c>
      <c r="N20" s="11" t="s">
        <v>1920</v>
      </c>
      <c r="P20" t="s">
        <v>1982</v>
      </c>
    </row>
    <row r="21" spans="1:16">
      <c r="A21" s="16" t="e">
        <f>IF(Table33[[#This Row],[Column1]],Table33[[#This Row],[Products]])</f>
        <v>#VALUE!</v>
      </c>
      <c r="B21" s="16"/>
      <c r="C21" s="16"/>
      <c r="D21" s="16"/>
      <c r="E21" s="16"/>
      <c r="F21" s="16"/>
      <c r="G21" s="16"/>
      <c r="H21" s="16"/>
      <c r="I21" s="16"/>
      <c r="J21" s="16"/>
      <c r="K21" s="16"/>
      <c r="L21" s="16"/>
      <c r="M21" s="16" t="e">
        <f>AND(Table33[[#This Row],[Kids]:[Astringent (zinc)]])</f>
        <v>#VALUE!</v>
      </c>
      <c r="N21" s="16"/>
    </row>
    <row r="22" spans="1:16">
      <c r="A22" s="203" t="b">
        <f>IF(Table33[[#This Row],[Column1]],Table33[[#This Row],[Products]])</f>
        <v>0</v>
      </c>
      <c r="B22" s="17"/>
      <c r="C22" s="20" t="b">
        <f>C4</f>
        <v>0</v>
      </c>
      <c r="D22" s="20" t="b">
        <f>D4</f>
        <v>0</v>
      </c>
      <c r="E22" s="17"/>
      <c r="F22" s="17" t="b">
        <f>F2</f>
        <v>1</v>
      </c>
      <c r="G22" s="20" t="b">
        <f>AND('Oral Criteria'!B11)</f>
        <v>0</v>
      </c>
      <c r="H22" s="17" t="b">
        <f>H2</f>
        <v>1</v>
      </c>
      <c r="I22" s="17" t="b">
        <f>I4</f>
        <v>1</v>
      </c>
      <c r="J22" s="17" t="b">
        <f>J2</f>
        <v>1</v>
      </c>
      <c r="K22" s="17" t="b">
        <f>K2</f>
        <v>1</v>
      </c>
      <c r="L22" s="17" t="b">
        <f>L2</f>
        <v>1</v>
      </c>
      <c r="M22" s="21" t="b">
        <f>AND(Table33[[#This Row],[Kids]:[Astringent (zinc)]])</f>
        <v>0</v>
      </c>
      <c r="N22" s="29" t="s">
        <v>1922</v>
      </c>
    </row>
    <row r="23" spans="1:16">
      <c r="A23" s="16" t="e">
        <f>IF(Table33[[#This Row],[Column1]],Table33[[#This Row],[Products]])</f>
        <v>#VALUE!</v>
      </c>
      <c r="B23" s="16"/>
      <c r="C23" s="16"/>
      <c r="D23" s="16"/>
      <c r="E23" s="16"/>
      <c r="F23" s="16"/>
      <c r="G23" s="16"/>
      <c r="H23" s="16"/>
      <c r="I23" s="16"/>
      <c r="J23" s="16"/>
      <c r="K23" s="16"/>
      <c r="L23" s="16"/>
      <c r="M23" s="16" t="e">
        <f>AND(Table33[[#This Row],[Kids]:[Astringent (zinc)]])</f>
        <v>#VALUE!</v>
      </c>
      <c r="N23" s="16"/>
    </row>
    <row r="24" spans="1:16">
      <c r="A24" s="203" t="b">
        <f>IF(Table33[[#This Row],[Column1]],Table33[[#This Row],[Products]])</f>
        <v>0</v>
      </c>
      <c r="B24" s="20" t="b">
        <f>B2</f>
        <v>1</v>
      </c>
      <c r="C24" s="17"/>
      <c r="D24" s="20" t="b">
        <f>D4</f>
        <v>0</v>
      </c>
      <c r="E24" s="17"/>
      <c r="F24" s="17" t="b">
        <f>F2</f>
        <v>1</v>
      </c>
      <c r="G24" s="20" t="b">
        <f>G22</f>
        <v>0</v>
      </c>
      <c r="H24" s="20" t="b">
        <f>AND('Oral Criteria'!B12,'Oral Criteria'!B11)</f>
        <v>0</v>
      </c>
      <c r="I24" s="17" t="b">
        <f>I4</f>
        <v>1</v>
      </c>
      <c r="J24" s="17" t="b">
        <f>J2</f>
        <v>1</v>
      </c>
      <c r="K24" s="20" t="b">
        <f>K5</f>
        <v>1</v>
      </c>
      <c r="L24" s="20" t="b">
        <f>L5</f>
        <v>1</v>
      </c>
      <c r="M24" s="21" t="b">
        <f>AND(Table33[[#This Row],[Kids]:[Astringent (zinc)]])</f>
        <v>0</v>
      </c>
      <c r="N24" s="29" t="s">
        <v>1923</v>
      </c>
    </row>
    <row r="25" spans="1:16">
      <c r="A25" s="203" t="b">
        <f>IF(Table33[[#This Row],[Column1]],Table33[[#This Row],[Products]])</f>
        <v>0</v>
      </c>
      <c r="B25" s="20" t="b">
        <f>B2</f>
        <v>1</v>
      </c>
      <c r="C25" s="17"/>
      <c r="D25" s="20" t="b">
        <f>D4</f>
        <v>0</v>
      </c>
      <c r="E25" s="17"/>
      <c r="F25" s="17" t="b">
        <f>F2</f>
        <v>1</v>
      </c>
      <c r="G25" s="20" t="b">
        <f>G22</f>
        <v>0</v>
      </c>
      <c r="H25" s="20" t="b">
        <f>H24</f>
        <v>0</v>
      </c>
      <c r="I25" s="17" t="b">
        <f>I4</f>
        <v>1</v>
      </c>
      <c r="J25" s="17" t="b">
        <f>J2</f>
        <v>1</v>
      </c>
      <c r="K25" s="20" t="b">
        <f>K5</f>
        <v>1</v>
      </c>
      <c r="L25" s="20" t="b">
        <f>L5</f>
        <v>1</v>
      </c>
      <c r="M25" s="21" t="b">
        <f>AND(Table33[[#This Row],[Kids]:[Astringent (zinc)]])</f>
        <v>0</v>
      </c>
      <c r="N25" s="29" t="s">
        <v>1924</v>
      </c>
    </row>
    <row r="26" spans="1:16">
      <c r="A26" s="16" t="e">
        <f>IF(Table33[[#This Row],[Column1]],Table33[[#This Row],[Products]])</f>
        <v>#VALUE!</v>
      </c>
      <c r="B26" s="16"/>
      <c r="C26" s="16"/>
      <c r="D26" s="16"/>
      <c r="E26" s="16"/>
      <c r="F26" s="16"/>
      <c r="G26" s="16"/>
      <c r="H26" s="16"/>
      <c r="I26" s="16"/>
      <c r="J26" s="16"/>
      <c r="K26" s="16"/>
      <c r="L26" s="16"/>
      <c r="M26" s="16" t="e">
        <f>AND(Table33[[#This Row],[Kids]:[Astringent (zinc)]])</f>
        <v>#VALUE!</v>
      </c>
      <c r="N26" s="16"/>
    </row>
    <row r="27" spans="1:16">
      <c r="A27" s="203" t="b">
        <f>IF(Table33[[#This Row],[Column1]],Table33[[#This Row],[Products]])</f>
        <v>0</v>
      </c>
      <c r="B27" s="17"/>
      <c r="C27" s="20" t="b">
        <f>C4</f>
        <v>0</v>
      </c>
      <c r="D27" s="17"/>
      <c r="E27" s="20" t="b">
        <f>E2</f>
        <v>0</v>
      </c>
      <c r="F27" s="17" t="b">
        <f>F2</f>
        <v>1</v>
      </c>
      <c r="G27" s="17" t="b">
        <f>G2</f>
        <v>1</v>
      </c>
      <c r="H27" s="17" t="b">
        <f>H2</f>
        <v>1</v>
      </c>
      <c r="I27" s="17" t="b">
        <f>I4</f>
        <v>1</v>
      </c>
      <c r="J27" s="20" t="b">
        <f>J4</f>
        <v>1</v>
      </c>
      <c r="K27" s="17" t="b">
        <f>K2</f>
        <v>1</v>
      </c>
      <c r="L27" s="17" t="b">
        <f>L2</f>
        <v>1</v>
      </c>
      <c r="M27" s="21" t="b">
        <f>AND(Table33[[#This Row],[Kids]:[Astringent (zinc)]])</f>
        <v>0</v>
      </c>
      <c r="N27" s="28" t="s">
        <v>1925</v>
      </c>
      <c r="P27" t="s">
        <v>1982</v>
      </c>
    </row>
    <row r="28" spans="1:16">
      <c r="A28" s="16" t="e">
        <f>IF(Table33[[#This Row],[Column1]],Table33[[#This Row],[Products]])</f>
        <v>#VALUE!</v>
      </c>
      <c r="B28" s="16"/>
      <c r="C28" s="16"/>
      <c r="D28" s="16"/>
      <c r="E28" s="16"/>
      <c r="F28" s="16"/>
      <c r="G28" s="16"/>
      <c r="H28" s="16"/>
      <c r="I28" s="16"/>
      <c r="J28" s="16"/>
      <c r="K28" s="16"/>
      <c r="L28" s="16"/>
      <c r="M28" s="16" t="e">
        <f>AND(Table33[[#This Row],[Kids]:[Astringent (zinc)]])</f>
        <v>#VALUE!</v>
      </c>
      <c r="N28" s="16"/>
    </row>
    <row r="29" spans="1:16">
      <c r="A29" s="203" t="b">
        <f>IF(Table33[[#This Row],[Column1]],Table33[[#This Row],[Products]])</f>
        <v>0</v>
      </c>
      <c r="B29" s="20" t="b">
        <f>B2</f>
        <v>1</v>
      </c>
      <c r="C29" s="17"/>
      <c r="D29" s="17"/>
      <c r="E29" s="20" t="b">
        <f>E2</f>
        <v>0</v>
      </c>
      <c r="F29" s="17" t="b">
        <f>F2</f>
        <v>1</v>
      </c>
      <c r="G29" s="20" t="b">
        <f>G22</f>
        <v>0</v>
      </c>
      <c r="H29" s="20" t="b">
        <f>H24</f>
        <v>0</v>
      </c>
      <c r="I29" s="17" t="b">
        <f>I4</f>
        <v>1</v>
      </c>
      <c r="J29" s="17" t="b">
        <f>J2</f>
        <v>1</v>
      </c>
      <c r="K29" s="20" t="b">
        <f>K5</f>
        <v>1</v>
      </c>
      <c r="L29" s="17" t="b">
        <f>L2</f>
        <v>1</v>
      </c>
      <c r="M29" s="21" t="b">
        <f>AND(Table33[[#This Row],[Kids]:[Astringent (zinc)]])</f>
        <v>0</v>
      </c>
      <c r="N29" s="29" t="s">
        <v>1926</v>
      </c>
    </row>
    <row r="30" spans="1:16">
      <c r="A30" s="203" t="b">
        <f>IF(Table33[[#This Row],[Column1]],Table33[[#This Row],[Products]])</f>
        <v>0</v>
      </c>
      <c r="B30" s="20" t="b">
        <f>B2</f>
        <v>1</v>
      </c>
      <c r="C30" s="17"/>
      <c r="D30" s="20" t="b">
        <f>D4</f>
        <v>0</v>
      </c>
      <c r="E30" s="17"/>
      <c r="F30" s="17" t="b">
        <f>F2</f>
        <v>1</v>
      </c>
      <c r="G30" s="20" t="b">
        <f>G22</f>
        <v>0</v>
      </c>
      <c r="H30" s="20" t="b">
        <f>H24</f>
        <v>0</v>
      </c>
      <c r="I30" s="17" t="b">
        <f>I4</f>
        <v>1</v>
      </c>
      <c r="J30" s="17" t="b">
        <f>J2</f>
        <v>1</v>
      </c>
      <c r="K30" s="17" t="b">
        <f>K2</f>
        <v>1</v>
      </c>
      <c r="L30" s="17" t="b">
        <f>L2</f>
        <v>1</v>
      </c>
      <c r="M30" s="21" t="b">
        <f>AND(Table33[[#This Row],[Kids]:[Astringent (zinc)]])</f>
        <v>0</v>
      </c>
      <c r="N30" s="29" t="s">
        <v>1927</v>
      </c>
    </row>
    <row r="31" spans="1:16">
      <c r="A31" s="27" t="e">
        <f>IF(Table33[[#This Row],[Column1]],Table33[[#This Row],[Products]])</f>
        <v>#VALUE!</v>
      </c>
      <c r="B31" s="27"/>
      <c r="C31" s="27"/>
      <c r="D31" s="27"/>
      <c r="E31" s="27"/>
      <c r="F31" s="27"/>
      <c r="G31" s="27"/>
      <c r="H31" s="27"/>
      <c r="I31" s="27"/>
      <c r="J31" s="27"/>
      <c r="K31" s="27"/>
      <c r="L31" s="27"/>
      <c r="M31" s="27" t="e">
        <f>AND(Table33[[#This Row],[Kids]:[Astringent (zinc)]])</f>
        <v>#VALUE!</v>
      </c>
      <c r="N31" s="27"/>
    </row>
    <row r="32" spans="1:16">
      <c r="A32" s="203" t="b">
        <f>IF(Table33[[#This Row],[Column1]],Table33[[#This Row],[Products]])</f>
        <v>0</v>
      </c>
      <c r="B32" s="20" t="b">
        <f>B2</f>
        <v>1</v>
      </c>
      <c r="C32" s="17"/>
      <c r="D32" s="20" t="b">
        <f>D4</f>
        <v>0</v>
      </c>
      <c r="E32" s="17"/>
      <c r="F32" s="17" t="b">
        <f>F2</f>
        <v>1</v>
      </c>
      <c r="G32" s="17" t="b">
        <f>G2</f>
        <v>1</v>
      </c>
      <c r="H32" s="17" t="b">
        <f>H2</f>
        <v>1</v>
      </c>
      <c r="I32" s="17" t="b">
        <f>I4</f>
        <v>1</v>
      </c>
      <c r="J32" s="17" t="b">
        <f>J2</f>
        <v>1</v>
      </c>
      <c r="K32" s="20" t="b">
        <f>K5</f>
        <v>1</v>
      </c>
      <c r="L32" s="17" t="b">
        <f>L2</f>
        <v>1</v>
      </c>
      <c r="M32" s="21" t="b">
        <f>AND(Table33[[#This Row],[Kids]:[Astringent (zinc)]])</f>
        <v>0</v>
      </c>
      <c r="N32" s="11" t="s">
        <v>1996</v>
      </c>
    </row>
    <row r="33" spans="1:14">
      <c r="A33" s="16" t="e">
        <f>IF(Table33[[#This Row],[Column1]],Table33[[#This Row],[Products]])</f>
        <v>#VALUE!</v>
      </c>
      <c r="B33" s="16"/>
      <c r="C33" s="16"/>
      <c r="D33" s="16"/>
      <c r="E33" s="16"/>
      <c r="F33" s="16"/>
      <c r="G33" s="16"/>
      <c r="H33" s="16"/>
      <c r="I33" s="16"/>
      <c r="J33" s="16"/>
      <c r="K33" s="16"/>
      <c r="L33" s="16"/>
      <c r="M33" s="16" t="e">
        <f>AND(Table33[[#This Row],[Kids]:[Astringent (zinc)]])</f>
        <v>#VALUE!</v>
      </c>
      <c r="N33" s="16"/>
    </row>
    <row r="34" spans="1:14">
      <c r="A34" s="21" t="e">
        <f>IF(Table33[[#This Row],[Column1]],Table33[[#This Row],[Products]])</f>
        <v>#VALUE!</v>
      </c>
      <c r="M34" t="e">
        <f>AND(Table33[[#This Row],[Kids]:[Astringent (zinc)]])</f>
        <v>#VALUE!</v>
      </c>
    </row>
    <row r="35" spans="1:14">
      <c r="A35" s="21" t="e">
        <f>IF(Table33[[#This Row],[Column1]],Table33[[#This Row],[Products]])</f>
        <v>#VALUE!</v>
      </c>
      <c r="M35" t="e">
        <f>AND(Table33[[#This Row],[Kids]:[Astringent (zinc)]])</f>
        <v>#VALUE!</v>
      </c>
    </row>
    <row r="36" spans="1:14">
      <c r="A36" s="21"/>
    </row>
    <row r="37" spans="1:14">
      <c r="A37" s="21"/>
    </row>
    <row r="38" spans="1:14">
      <c r="A38" s="21"/>
    </row>
    <row r="39" spans="1:14">
      <c r="A39" s="21"/>
    </row>
  </sheetData>
  <hyperlinks>
    <hyperlink ref="N2" r:id="rId1" display="https://www.orajel.com/en-ca/products/child-oral-care/orajel-natural-source-homeopathic-nighttime-teething-gel" xr:uid="{00000000-0004-0000-3400-000000000000}"/>
    <hyperlink ref="N3" r:id="rId2" display="https://www.orajel.com/en-ca/products/child-oral-care/orajel-natural-source-homeopathic-teething-gel" xr:uid="{00000000-0004-0000-3400-000001000000}"/>
    <hyperlink ref="N4" r:id="rId3" display="https://www.orajel.com/en-ca/products/adult-oral-care/orajel-touch-free-cold-sore-treatment" xr:uid="{00000000-0004-0000-3400-000002000000}"/>
    <hyperlink ref="N5" r:id="rId4" display="https://www.orajel.com/en-ca/products/adult-oral-care/orajel-severe-toothache-and-gum-relief-plus-triple-medicated-cream" xr:uid="{00000000-0004-0000-3400-000003000000}"/>
    <hyperlink ref="N6" r:id="rId5" display="https://www.orajel.com/en-ca/products/adult-oral-care/orajel-double-action-toothache-and-gum-relief" xr:uid="{00000000-0004-0000-3400-000004000000}"/>
    <hyperlink ref="N7" r:id="rId6" display="https://www.orajel.com/en-ca/products/adult-oral-care/orajel-maximum-strength-toothache-pain-relief-double-medicated-gel" xr:uid="{00000000-0004-0000-3400-000005000000}"/>
    <hyperlink ref="N8" r:id="rId7" display="https://www.orajel.com/en-ca/products/adult-oral-care/orajel-maximum-toothache-relief-liquid" xr:uid="{00000000-0004-0000-3400-000006000000}"/>
    <hyperlink ref="N9" r:id="rId8" display="https://www.orajel.com/en-ca/products/adult-oral-care/orajel-maximum-strength-pm-toothache-and-gum-relief-paste" xr:uid="{00000000-0004-0000-3400-000007000000}"/>
    <hyperlink ref="N10" r:id="rId9" display="https://www.orajel.com/en-ca/products/adult-oral-care/orajel-regular-strength-toothache-pain-relief-gel" xr:uid="{00000000-0004-0000-3400-000008000000}"/>
    <hyperlink ref="N11" r:id="rId10" display="https://www.orajel.com/en-ca/products/adult-oral-care/orajel-film-forming-canker-sore-gel" xr:uid="{00000000-0004-0000-3400-000009000000}"/>
    <hyperlink ref="N13" r:id="rId11" xr:uid="{00000000-0004-0000-3400-00000A000000}"/>
    <hyperlink ref="N14" r:id="rId12" xr:uid="{00000000-0004-0000-3400-00000B000000}"/>
    <hyperlink ref="N15" r:id="rId13" xr:uid="{00000000-0004-0000-3400-00000C000000}"/>
    <hyperlink ref="N16" r:id="rId14" xr:uid="{00000000-0004-0000-3400-00000D000000}"/>
    <hyperlink ref="N17" r:id="rId15" xr:uid="{00000000-0004-0000-3400-00000E000000}"/>
    <hyperlink ref="N20" r:id="rId16" xr:uid="{00000000-0004-0000-3400-00000F000000}"/>
    <hyperlink ref="N19" r:id="rId17" xr:uid="{00000000-0004-0000-3400-000010000000}"/>
    <hyperlink ref="N22" r:id="rId18" xr:uid="{00000000-0004-0000-3400-000011000000}"/>
    <hyperlink ref="N24" r:id="rId19" xr:uid="{00000000-0004-0000-3400-000012000000}"/>
    <hyperlink ref="N25" r:id="rId20" xr:uid="{00000000-0004-0000-3400-000013000000}"/>
    <hyperlink ref="N27" r:id="rId21" xr:uid="{00000000-0004-0000-3400-000014000000}"/>
    <hyperlink ref="N29" r:id="rId22" xr:uid="{00000000-0004-0000-3400-000015000000}"/>
    <hyperlink ref="N30" r:id="rId23" xr:uid="{00000000-0004-0000-3400-000016000000}"/>
    <hyperlink ref="N32" r:id="rId24" xr:uid="{00000000-0004-0000-3400-000017000000}"/>
  </hyperlinks>
  <pageMargins left="0.7" right="0.7" top="0.75" bottom="0.75" header="0.3" footer="0.3"/>
  <pageSetup orientation="portrait" r:id="rId25"/>
  <tableParts count="1">
    <tablePart r:id="rId26"/>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O26"/>
  <sheetViews>
    <sheetView workbookViewId="0">
      <selection activeCell="O15" sqref="O15"/>
    </sheetView>
  </sheetViews>
  <sheetFormatPr defaultRowHeight="15"/>
  <cols>
    <col min="1" max="1" width="13.28515625" customWidth="1"/>
    <col min="3" max="3" width="11" customWidth="1"/>
    <col min="5" max="5" width="11" customWidth="1"/>
    <col min="7" max="7" width="11" customWidth="1"/>
    <col min="9" max="9" width="11" customWidth="1"/>
    <col min="11" max="11" width="11" customWidth="1"/>
    <col min="13" max="13" width="11" customWidth="1"/>
    <col min="15" max="15" width="11" customWidth="1"/>
  </cols>
  <sheetData>
    <row r="1" spans="1:15">
      <c r="A1" t="s">
        <v>4</v>
      </c>
    </row>
    <row r="2" spans="1:15" ht="15.75">
      <c r="A2" s="22" t="b">
        <v>1</v>
      </c>
    </row>
    <row r="3" spans="1:15" ht="15.75">
      <c r="A3" s="22" t="b">
        <v>0</v>
      </c>
    </row>
    <row r="6" spans="1:15">
      <c r="A6" t="s">
        <v>144</v>
      </c>
      <c r="C6" t="s">
        <v>41</v>
      </c>
      <c r="E6" t="s">
        <v>450</v>
      </c>
      <c r="G6" t="s">
        <v>40</v>
      </c>
      <c r="I6" t="s">
        <v>42</v>
      </c>
      <c r="K6" t="s">
        <v>590</v>
      </c>
      <c r="M6" t="s">
        <v>804</v>
      </c>
      <c r="O6" t="s">
        <v>808</v>
      </c>
    </row>
    <row r="7" spans="1:15">
      <c r="A7" t="s">
        <v>8</v>
      </c>
      <c r="C7" t="s">
        <v>7</v>
      </c>
      <c r="E7" t="s">
        <v>226</v>
      </c>
      <c r="G7" s="45" t="s">
        <v>11</v>
      </c>
      <c r="I7" t="s">
        <v>302</v>
      </c>
      <c r="K7" t="s">
        <v>373</v>
      </c>
      <c r="M7" t="s">
        <v>594</v>
      </c>
      <c r="O7" t="s">
        <v>680</v>
      </c>
    </row>
    <row r="8" spans="1:15">
      <c r="A8" t="s">
        <v>5</v>
      </c>
      <c r="C8" t="s">
        <v>5</v>
      </c>
      <c r="E8" t="s">
        <v>227</v>
      </c>
      <c r="G8" s="44" t="s">
        <v>112</v>
      </c>
      <c r="I8" t="s">
        <v>503</v>
      </c>
      <c r="K8" t="s">
        <v>520</v>
      </c>
      <c r="M8" t="s">
        <v>601</v>
      </c>
      <c r="O8" t="s">
        <v>362</v>
      </c>
    </row>
    <row r="9" spans="1:15">
      <c r="A9" t="s">
        <v>6</v>
      </c>
      <c r="C9" t="s">
        <v>81</v>
      </c>
      <c r="E9" t="s">
        <v>228</v>
      </c>
      <c r="G9" t="s">
        <v>451</v>
      </c>
      <c r="I9" t="s">
        <v>304</v>
      </c>
      <c r="K9" t="s">
        <v>374</v>
      </c>
      <c r="M9" t="s">
        <v>606</v>
      </c>
      <c r="O9" t="s">
        <v>789</v>
      </c>
    </row>
    <row r="10" spans="1:15">
      <c r="A10" t="s">
        <v>7</v>
      </c>
      <c r="C10" t="s">
        <v>71</v>
      </c>
      <c r="E10" t="s">
        <v>11</v>
      </c>
      <c r="G10" t="s">
        <v>136</v>
      </c>
      <c r="I10" t="s">
        <v>316</v>
      </c>
      <c r="K10" t="s">
        <v>375</v>
      </c>
      <c r="M10" t="s">
        <v>792</v>
      </c>
      <c r="O10" t="s">
        <v>2018</v>
      </c>
    </row>
    <row r="11" spans="1:15">
      <c r="A11" t="s">
        <v>11</v>
      </c>
      <c r="C11" t="s">
        <v>112</v>
      </c>
      <c r="E11" t="s">
        <v>112</v>
      </c>
      <c r="G11" t="s">
        <v>137</v>
      </c>
      <c r="I11" t="s">
        <v>399</v>
      </c>
      <c r="K11" t="s">
        <v>376</v>
      </c>
      <c r="M11" t="s">
        <v>595</v>
      </c>
    </row>
    <row r="12" spans="1:15">
      <c r="A12" t="s">
        <v>112</v>
      </c>
      <c r="C12" t="s">
        <v>11</v>
      </c>
      <c r="G12" t="s">
        <v>452</v>
      </c>
      <c r="I12" t="s">
        <v>505</v>
      </c>
      <c r="K12" t="s">
        <v>418</v>
      </c>
      <c r="M12" t="s">
        <v>596</v>
      </c>
    </row>
    <row r="13" spans="1:15">
      <c r="A13" t="s">
        <v>36</v>
      </c>
      <c r="C13" t="s">
        <v>145</v>
      </c>
      <c r="G13" t="s">
        <v>138</v>
      </c>
      <c r="K13" t="s">
        <v>428</v>
      </c>
      <c r="M13" t="s">
        <v>793</v>
      </c>
    </row>
    <row r="14" spans="1:15">
      <c r="A14" t="s">
        <v>552</v>
      </c>
      <c r="G14" t="s">
        <v>198</v>
      </c>
      <c r="K14" t="s">
        <v>487</v>
      </c>
      <c r="M14" t="s">
        <v>622</v>
      </c>
    </row>
    <row r="15" spans="1:15">
      <c r="G15" t="s">
        <v>200</v>
      </c>
      <c r="K15" t="s">
        <v>377</v>
      </c>
      <c r="M15" t="s">
        <v>636</v>
      </c>
    </row>
    <row r="16" spans="1:15">
      <c r="G16" t="s">
        <v>202</v>
      </c>
      <c r="K16" t="s">
        <v>378</v>
      </c>
      <c r="M16" t="s">
        <v>5</v>
      </c>
    </row>
    <row r="17" spans="7:13">
      <c r="G17" t="s">
        <v>36</v>
      </c>
      <c r="K17" t="s">
        <v>477</v>
      </c>
      <c r="M17" t="s">
        <v>680</v>
      </c>
    </row>
    <row r="18" spans="7:13">
      <c r="G18" t="s">
        <v>453</v>
      </c>
      <c r="K18" t="s">
        <v>379</v>
      </c>
      <c r="M18" t="s">
        <v>799</v>
      </c>
    </row>
    <row r="19" spans="7:13">
      <c r="G19" t="s">
        <v>213</v>
      </c>
      <c r="K19" t="s">
        <v>380</v>
      </c>
      <c r="M19" t="s">
        <v>795</v>
      </c>
    </row>
    <row r="20" spans="7:13">
      <c r="G20" t="s">
        <v>191</v>
      </c>
      <c r="K20" t="s">
        <v>400</v>
      </c>
    </row>
    <row r="21" spans="7:13">
      <c r="K21" t="s">
        <v>589</v>
      </c>
    </row>
    <row r="22" spans="7:13">
      <c r="K22" t="s">
        <v>492</v>
      </c>
    </row>
    <row r="23" spans="7:13">
      <c r="K23" t="s">
        <v>493</v>
      </c>
    </row>
    <row r="24" spans="7:13">
      <c r="K24" t="s">
        <v>304</v>
      </c>
    </row>
    <row r="25" spans="7:13">
      <c r="K25" t="s">
        <v>401</v>
      </c>
    </row>
    <row r="26" spans="7:13">
      <c r="K26" t="s">
        <v>589</v>
      </c>
    </row>
  </sheetData>
  <pageMargins left="0.7" right="0.7" top="0.75" bottom="0.75" header="0.3" footer="0.3"/>
  <pageSetup orientation="portrait" r:id="rId1"/>
  <tableParts count="9">
    <tablePart r:id="rId2"/>
    <tablePart r:id="rId3"/>
    <tablePart r:id="rId4"/>
    <tablePart r:id="rId5"/>
    <tablePart r:id="rId6"/>
    <tablePart r:id="rId7"/>
    <tablePart r:id="rId8"/>
    <tablePart r:id="rId9"/>
    <tablePart r:id="rId10"/>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5"/>
  <sheetViews>
    <sheetView workbookViewId="0">
      <selection activeCell="K9" sqref="K9"/>
    </sheetView>
  </sheetViews>
  <sheetFormatPr defaultRowHeight="15"/>
  <cols>
    <col min="1" max="1" width="71.140625" customWidth="1"/>
    <col min="4" max="4" width="19" customWidth="1"/>
  </cols>
  <sheetData>
    <row r="1" spans="1:4" ht="15.75" thickTop="1">
      <c r="A1" s="3" t="s">
        <v>15</v>
      </c>
      <c r="B1" s="38" t="s">
        <v>18</v>
      </c>
      <c r="D1" s="8" t="s">
        <v>19</v>
      </c>
    </row>
    <row r="2" spans="1:4" ht="15.75" thickBot="1">
      <c r="B2" s="4"/>
      <c r="D2" s="4"/>
    </row>
    <row r="3" spans="1:4" ht="15.75" thickBot="1">
      <c r="A3" s="55" t="s">
        <v>1358</v>
      </c>
      <c r="B3" s="5" t="b">
        <v>0</v>
      </c>
      <c r="C3" s="103" t="b">
        <f>NOT(B3)</f>
        <v>1</v>
      </c>
      <c r="D3" s="4"/>
    </row>
    <row r="4" spans="1:4" ht="15.75" thickBot="1">
      <c r="A4" s="55" t="s">
        <v>1328</v>
      </c>
      <c r="B4" s="5" t="b">
        <v>0</v>
      </c>
      <c r="C4" s="103" t="b">
        <f t="shared" ref="C4:C15" si="0">NOT(B4)</f>
        <v>1</v>
      </c>
      <c r="D4" s="4"/>
    </row>
    <row r="5" spans="1:4" ht="15.75" thickBot="1">
      <c r="A5" s="55" t="s">
        <v>1359</v>
      </c>
      <c r="B5" s="5" t="b">
        <v>0</v>
      </c>
      <c r="C5" s="103" t="b">
        <f t="shared" si="0"/>
        <v>1</v>
      </c>
      <c r="D5" s="4"/>
    </row>
    <row r="6" spans="1:4" ht="15.75" thickBot="1">
      <c r="A6" s="1" t="s">
        <v>1329</v>
      </c>
      <c r="B6" s="5" t="b">
        <v>0</v>
      </c>
      <c r="C6" s="103" t="b">
        <f t="shared" si="0"/>
        <v>1</v>
      </c>
      <c r="D6" s="4"/>
    </row>
    <row r="7" spans="1:4" ht="15.75" thickBot="1">
      <c r="A7" s="1" t="s">
        <v>1330</v>
      </c>
      <c r="B7" s="5" t="b">
        <v>0</v>
      </c>
      <c r="C7" s="103" t="b">
        <f t="shared" si="0"/>
        <v>1</v>
      </c>
      <c r="D7" s="4"/>
    </row>
    <row r="8" spans="1:4" ht="15.75" thickBot="1">
      <c r="A8" s="1" t="s">
        <v>1361</v>
      </c>
      <c r="B8" s="5" t="b">
        <v>0</v>
      </c>
      <c r="C8" s="103" t="b">
        <f t="shared" si="0"/>
        <v>1</v>
      </c>
      <c r="D8" s="4"/>
    </row>
    <row r="9" spans="1:4" ht="15.75" thickBot="1">
      <c r="A9" s="1" t="s">
        <v>1360</v>
      </c>
      <c r="B9" s="5" t="b">
        <v>0</v>
      </c>
      <c r="C9" s="103" t="b">
        <f t="shared" si="0"/>
        <v>1</v>
      </c>
      <c r="D9" s="60"/>
    </row>
    <row r="10" spans="1:4" ht="15.75" thickBot="1">
      <c r="A10" s="1" t="s">
        <v>1331</v>
      </c>
      <c r="B10" s="5" t="b">
        <v>0</v>
      </c>
      <c r="C10" s="103" t="b">
        <f t="shared" si="0"/>
        <v>1</v>
      </c>
      <c r="D10" s="56"/>
    </row>
    <row r="11" spans="1:4" ht="15.75" thickBot="1">
      <c r="A11" s="1" t="s">
        <v>1332</v>
      </c>
      <c r="B11" s="5" t="b">
        <v>0</v>
      </c>
      <c r="C11" s="103" t="b">
        <f t="shared" si="0"/>
        <v>1</v>
      </c>
      <c r="D11" s="37"/>
    </row>
    <row r="12" spans="1:4" ht="15.75" thickBot="1">
      <c r="A12" s="1" t="s">
        <v>1362</v>
      </c>
      <c r="B12" s="5" t="b">
        <v>0</v>
      </c>
      <c r="C12" s="103" t="b">
        <f t="shared" si="0"/>
        <v>1</v>
      </c>
      <c r="D12" s="37"/>
    </row>
    <row r="13" spans="1:4" ht="15.75" thickBot="1">
      <c r="A13" s="1" t="s">
        <v>1333</v>
      </c>
      <c r="B13" s="5" t="b">
        <v>0</v>
      </c>
      <c r="C13" s="103" t="b">
        <f t="shared" si="0"/>
        <v>1</v>
      </c>
    </row>
    <row r="14" spans="1:4" ht="15.75" thickBot="1">
      <c r="A14" s="1" t="s">
        <v>1363</v>
      </c>
      <c r="B14" s="5" t="b">
        <v>0</v>
      </c>
      <c r="C14" s="103" t="b">
        <f t="shared" si="0"/>
        <v>1</v>
      </c>
    </row>
    <row r="15" spans="1:4" ht="15.75" thickBot="1">
      <c r="A15" s="1" t="s">
        <v>2012</v>
      </c>
      <c r="B15" s="6" t="b">
        <v>0</v>
      </c>
      <c r="C15" s="103" t="b">
        <f t="shared" si="0"/>
        <v>1</v>
      </c>
    </row>
  </sheetData>
  <dataValidations xWindow="556" yWindow="490" count="1">
    <dataValidation allowBlank="1" showInputMessage="1" showErrorMessage="1" prompt="Consult your pharmacist if unsure" sqref="A3:A15" xr:uid="{00000000-0002-0000-0500-000000000000}"/>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xWindow="556" yWindow="490" count="13">
        <x14:dataValidation type="list" showInputMessage="1" error="Please answer as Yes or No" prompt="Some meters are developed to facilitate use of insulin pumps." xr:uid="{00000000-0002-0000-0500-000001000000}">
          <x14:formula1>
            <xm:f>random!$A$2:$A$3</xm:f>
          </x14:formula1>
          <xm:sqref>B14</xm:sqref>
        </x14:dataValidation>
        <x14:dataValidation type="list" showInputMessage="1" showErrorMessage="1" error="Please answer as Yes or No" prompt="Ketone measurement is recommended in acute illness, elevated sugars or presence of ketoacidosis symptoms including thirst, dry mouth, frequent urination, nausea,vomiting, blurred vision, fruity breath, abdominal pain. May be useful for certain diets." xr:uid="{00000000-0002-0000-0500-000002000000}">
          <x14:formula1>
            <xm:f>random!$A$2:$A$3</xm:f>
          </x14:formula1>
          <xm:sqref>B11</xm:sqref>
        </x14:dataValidation>
        <x14:dataValidation type="list" showInputMessage="1" showErrorMessage="1" error="Please answer as Yes or No" prompt="While all blood glucose meters are calibrated for accuracy and precision, some meters are slightly more acurate than others. However, these differences typically would not affect individual therapy and clinical outcomes. " xr:uid="{00000000-0002-0000-0500-000003000000}">
          <x14:formula1>
            <xm:f>random!$A$2:$A$3</xm:f>
          </x14:formula1>
          <xm:sqref>B3</xm:sqref>
        </x14:dataValidation>
        <x14:dataValidation type="list" showInputMessage="1" showErrorMessage="1" error="Please answer as Yes or No" prompt="Some meters are preprogrammed in order to simplify operation and make it easier to obtain blood glucose readings." xr:uid="{00000000-0002-0000-0500-000004000000}">
          <x14:formula1>
            <xm:f>random!$A$2:$A$3</xm:f>
          </x14:formula1>
          <xm:sqref>B4</xm:sqref>
        </x14:dataValidation>
        <x14:dataValidation type="list" showInputMessage="1" showErrorMessage="1" error="Please answer as Yes or No" prompt="Some meters provide color coded blood glucose results in order to simply interpretation of blood glucose levels. May be helpful for individuals requiring assistance or new users. " xr:uid="{00000000-0002-0000-0500-000005000000}">
          <x14:formula1>
            <xm:f>random!$A$2:$A$3</xm:f>
          </x14:formula1>
          <xm:sqref>B5</xm:sqref>
        </x14:dataValidation>
        <x14:dataValidation type="list" showInputMessage="1" showErrorMessage="1" error="Please answer as Yes or No" prompt="Some meters will inform user that an insufficient amount of blood has been assayed and will permit application of more blood to a strip in use. May be helpful for individuals who have difficulties drawing blood consistently." xr:uid="{00000000-0002-0000-0500-000006000000}">
          <x14:formula1>
            <xm:f>random!$A$2:$A$3</xm:f>
          </x14:formula1>
          <xm:sqref>B6</xm:sqref>
        </x14:dataValidation>
        <x14:dataValidation type="list" showInputMessage="1" showErrorMessage="1" error="Please answer as Yes or No" prompt="Some meters have a larger display with larger font size making use easier for individuals with limited visual acuity. " xr:uid="{00000000-0002-0000-0500-000007000000}">
          <x14:formula1>
            <xm:f>random!$A$2:$A$3</xm:f>
          </x14:formula1>
          <xm:sqref>B7</xm:sqref>
        </x14:dataValidation>
        <x14:dataValidation type="list" showInputMessage="1" showErrorMessage="1" error="Please answer as Yes or No" prompt="Some meters have a lighted display making use easier for individuals with limited visual acuity or for reading blood glucose in low light conditions. " xr:uid="{00000000-0002-0000-0500-000008000000}">
          <x14:formula1>
            <xm:f>random!$A$2:$A$3</xm:f>
          </x14:formula1>
          <xm:sqref>B8</xm:sqref>
        </x14:dataValidation>
        <x14:dataValidation type="list" showInputMessage="1" showErrorMessage="1" error="Please answer as Yes or No" prompt="Some meters connect to electronic devices in order to display, interpret and share blood glucose results. Ideal for individuals who are computer savvy or highly engaged in there health management." xr:uid="{00000000-0002-0000-0500-000009000000}">
          <x14:formula1>
            <xm:f>random!$A$2:$A$3</xm:f>
          </x14:formula1>
          <xm:sqref>B9</xm:sqref>
        </x14:dataValidation>
        <x14:dataValidation type="list" showInputMessage="1" showErrorMessage="1" error="Please answer as Yes or No" prompt="Some meters provide audio guidance, cues or instruction during blood glucose measurement. May be helpful for individuals with limited vision or requiring assistance.  " xr:uid="{00000000-0002-0000-0500-00000A000000}">
          <x14:formula1>
            <xm:f>random!$A$2:$A$3</xm:f>
          </x14:formula1>
          <xm:sqref>B10</xm:sqref>
        </x14:dataValidation>
        <x14:dataValidation type="list" showInputMessage="1" showErrorMessage="1" error="Please answer as Yes or No" prompt="Some meters may assist user in making insulin dose adjustments. May be helpful for individuals requiring assistance or first time users." xr:uid="{00000000-0002-0000-0500-00000C000000}">
          <x14:formula1>
            <xm:f>random!$A$2:$A$3</xm:f>
          </x14:formula1>
          <xm:sqref>B13</xm:sqref>
        </x14:dataValidation>
        <x14:dataValidation type="list" showInputMessage="1" showErrorMessage="1" error="Please answer as Yes or No" prompt="Eliminate finger pricks, more economical  with frequent or continuous measuring, provide immediate feedback and measurement. Ideal for T1DM. Dexcom (CGM) used for kids/adults over 2 yrs old. 14 day Freestyle Libre (FGM) and 10 day Dexcom sensor." xr:uid="{00000000-0002-0000-0500-00000D000000}">
          <x14:formula1>
            <xm:f>random!$A$2:$A$3</xm:f>
          </x14:formula1>
          <xm:sqref>B12</xm:sqref>
        </x14:dataValidation>
        <x14:dataValidation type="list" showInputMessage="1" error="Please answer as Yes or No" prompt="Some meters are designed to be small, portable and discreet devices." xr:uid="{00000000-0002-0000-0500-00000E000000}">
          <x14:formula1>
            <xm:f>random!$A$2:$A$3</xm:f>
          </x14:formula1>
          <xm:sqref>B15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9"/>
  <sheetViews>
    <sheetView workbookViewId="0">
      <selection activeCell="O13" sqref="O13"/>
    </sheetView>
  </sheetViews>
  <sheetFormatPr defaultRowHeight="15"/>
  <cols>
    <col min="1" max="1" width="30.5703125" customWidth="1"/>
    <col min="3" max="4" width="10.28515625" customWidth="1"/>
    <col min="5" max="5" width="11.140625" customWidth="1"/>
    <col min="6" max="8" width="12.5703125" customWidth="1"/>
    <col min="9" max="9" width="16.5703125" customWidth="1"/>
    <col min="16" max="16" width="26.42578125" customWidth="1"/>
  </cols>
  <sheetData>
    <row r="1" spans="1:16" ht="16.5" thickTop="1" thickBot="1">
      <c r="A1" s="148" t="s">
        <v>1248</v>
      </c>
      <c r="B1" s="149" t="s">
        <v>1272</v>
      </c>
      <c r="C1" s="153" t="s">
        <v>1275</v>
      </c>
      <c r="D1" s="150" t="s">
        <v>1301</v>
      </c>
      <c r="E1" s="150" t="s">
        <v>1273</v>
      </c>
      <c r="F1" s="150" t="s">
        <v>1283</v>
      </c>
      <c r="G1" s="150" t="s">
        <v>1274</v>
      </c>
      <c r="H1" s="150" t="s">
        <v>1277</v>
      </c>
      <c r="I1" s="150" t="s">
        <v>1279</v>
      </c>
      <c r="J1" s="150" t="s">
        <v>1282</v>
      </c>
      <c r="K1" s="150" t="s">
        <v>1284</v>
      </c>
      <c r="L1" s="150" t="s">
        <v>1300</v>
      </c>
      <c r="M1" s="151" t="s">
        <v>1303</v>
      </c>
      <c r="N1" s="151" t="s">
        <v>1892</v>
      </c>
      <c r="O1" s="151" t="s">
        <v>25</v>
      </c>
      <c r="P1" s="152" t="s">
        <v>26</v>
      </c>
    </row>
    <row r="2" spans="1:16" ht="15.75" thickTop="1">
      <c r="A2" t="str">
        <f>IF(O2,P2)</f>
        <v>Contour Next</v>
      </c>
      <c r="B2" s="20" t="b">
        <f>OR('Diabetes Meter Criteria'!B3:C3)</f>
        <v>1</v>
      </c>
      <c r="C2" s="20" t="b">
        <f>OR('Diabetes Meter Criteria'!B4:C4)</f>
        <v>1</v>
      </c>
      <c r="D2" s="17" t="b">
        <f>AND('Diabetes Meter Criteria'!C5)</f>
        <v>1</v>
      </c>
      <c r="E2" s="20" t="b">
        <f>OR('Diabetes Meter Criteria'!B6:C6)</f>
        <v>1</v>
      </c>
      <c r="F2" s="20" t="b">
        <f>OR('Diabetes Meter Criteria'!B8:C8)</f>
        <v>1</v>
      </c>
      <c r="G2" s="20" t="b">
        <f>OR('Diabetes Meter Criteria'!B7:C7)</f>
        <v>1</v>
      </c>
      <c r="H2" s="17" t="b">
        <f>AND('Diabetes Meter Criteria'!C9)</f>
        <v>1</v>
      </c>
      <c r="I2" s="17" t="b">
        <f>AND('Diabetes Meter Criteria'!C14)</f>
        <v>1</v>
      </c>
      <c r="J2" s="17" t="b">
        <f>AND('Diabetes Meter Criteria'!C10)</f>
        <v>1</v>
      </c>
      <c r="K2" s="17" t="b">
        <f>AND('Diabetes Meter Criteria'!C11)</f>
        <v>1</v>
      </c>
      <c r="L2" s="17" t="b">
        <f>AND('Diabetes Meter Criteria'!C12)</f>
        <v>1</v>
      </c>
      <c r="M2" s="17" t="b">
        <f>AND('Diabetes Meter Criteria'!C13)</f>
        <v>1</v>
      </c>
      <c r="N2" s="17" t="b">
        <f>AND('Diabetes Meter Criteria'!C15)</f>
        <v>1</v>
      </c>
      <c r="O2" t="b">
        <f>AND(B2:N2)</f>
        <v>1</v>
      </c>
      <c r="P2" s="11" t="s">
        <v>1271</v>
      </c>
    </row>
    <row r="3" spans="1:16">
      <c r="A3" t="str">
        <f t="shared" ref="A3:A28" si="0">IF(O3,P3)</f>
        <v>Contour Next One</v>
      </c>
      <c r="B3" s="20" t="b">
        <f>B2</f>
        <v>1</v>
      </c>
      <c r="C3" s="17" t="b">
        <f>AND('Diabetes Meter Criteria'!C4)</f>
        <v>1</v>
      </c>
      <c r="D3" s="17" t="b">
        <f>D2</f>
        <v>1</v>
      </c>
      <c r="E3" s="17" t="b">
        <f>AND('Diabetes Meter Criteria'!C6)</f>
        <v>1</v>
      </c>
      <c r="F3" s="17" t="b">
        <f>AND('Diabetes Meter Criteria'!C8)</f>
        <v>1</v>
      </c>
      <c r="G3" s="17" t="b">
        <f>AND('Diabetes Meter Criteria'!C7)</f>
        <v>1</v>
      </c>
      <c r="H3" s="20" t="b">
        <f>OR('Diabetes Meter Criteria'!B9:C9)</f>
        <v>1</v>
      </c>
      <c r="I3" s="17" t="b">
        <f t="shared" ref="I3:N3" si="1">I2</f>
        <v>1</v>
      </c>
      <c r="J3" s="17" t="b">
        <f t="shared" si="1"/>
        <v>1</v>
      </c>
      <c r="K3" s="17" t="b">
        <f t="shared" si="1"/>
        <v>1</v>
      </c>
      <c r="L3" s="17" t="b">
        <f t="shared" si="1"/>
        <v>1</v>
      </c>
      <c r="M3" s="17" t="b">
        <f t="shared" si="1"/>
        <v>1</v>
      </c>
      <c r="N3" s="17" t="b">
        <f t="shared" si="1"/>
        <v>1</v>
      </c>
      <c r="O3" t="b">
        <f t="shared" ref="O3:O28" si="2">AND(B3:N3)</f>
        <v>1</v>
      </c>
      <c r="P3" s="11" t="s">
        <v>1276</v>
      </c>
    </row>
    <row r="4" spans="1:16">
      <c r="A4" t="str">
        <f t="shared" si="0"/>
        <v>Contour Next Link</v>
      </c>
      <c r="B4" s="20" t="b">
        <f>B2</f>
        <v>1</v>
      </c>
      <c r="C4" s="17" t="b">
        <f>C3</f>
        <v>1</v>
      </c>
      <c r="D4" s="17" t="b">
        <f>D2</f>
        <v>1</v>
      </c>
      <c r="E4" s="20" t="b">
        <f>E2</f>
        <v>1</v>
      </c>
      <c r="F4" s="20" t="b">
        <f>F2</f>
        <v>1</v>
      </c>
      <c r="G4" s="17" t="b">
        <f>G3</f>
        <v>1</v>
      </c>
      <c r="H4" s="17" t="b">
        <f>H2</f>
        <v>1</v>
      </c>
      <c r="I4" s="20" t="b">
        <f>OR('Diabetes Meter Criteria'!B14:C14)</f>
        <v>1</v>
      </c>
      <c r="J4" s="17" t="b">
        <f>J2</f>
        <v>1</v>
      </c>
      <c r="K4" s="17" t="b">
        <f>K2</f>
        <v>1</v>
      </c>
      <c r="L4" s="17" t="b">
        <f>L2</f>
        <v>1</v>
      </c>
      <c r="M4" s="17" t="b">
        <f>M2</f>
        <v>1</v>
      </c>
      <c r="N4" s="17" t="b">
        <f>N2</f>
        <v>1</v>
      </c>
      <c r="O4" t="b">
        <f t="shared" si="2"/>
        <v>1</v>
      </c>
      <c r="P4" s="11" t="s">
        <v>1278</v>
      </c>
    </row>
    <row r="5" spans="1:16">
      <c r="A5" t="str">
        <f t="shared" si="0"/>
        <v>Contour Next EZ</v>
      </c>
      <c r="B5" s="20" t="b">
        <f>B2</f>
        <v>1</v>
      </c>
      <c r="C5" s="20" t="b">
        <f>C2</f>
        <v>1</v>
      </c>
      <c r="D5" s="17" t="b">
        <f>D2</f>
        <v>1</v>
      </c>
      <c r="E5" s="20" t="b">
        <f>E2</f>
        <v>1</v>
      </c>
      <c r="F5" s="17" t="b">
        <f>F3</f>
        <v>1</v>
      </c>
      <c r="G5" s="20" t="b">
        <f t="shared" ref="G5:N5" si="3">G2</f>
        <v>1</v>
      </c>
      <c r="H5" s="17" t="b">
        <f t="shared" si="3"/>
        <v>1</v>
      </c>
      <c r="I5" s="17" t="b">
        <f t="shared" si="3"/>
        <v>1</v>
      </c>
      <c r="J5" s="17" t="b">
        <f t="shared" si="3"/>
        <v>1</v>
      </c>
      <c r="K5" s="17" t="b">
        <f t="shared" si="3"/>
        <v>1</v>
      </c>
      <c r="L5" s="17" t="b">
        <f t="shared" si="3"/>
        <v>1</v>
      </c>
      <c r="M5" s="17" t="b">
        <f t="shared" si="3"/>
        <v>1</v>
      </c>
      <c r="N5" s="17" t="b">
        <f t="shared" si="3"/>
        <v>1</v>
      </c>
      <c r="O5" t="b">
        <f t="shared" si="2"/>
        <v>1</v>
      </c>
      <c r="P5" s="11" t="s">
        <v>1280</v>
      </c>
    </row>
    <row r="6" spans="1:16">
      <c r="A6" s="16" t="b">
        <f t="shared" si="0"/>
        <v>0</v>
      </c>
      <c r="B6" s="16"/>
      <c r="C6" s="16"/>
      <c r="D6" s="16"/>
      <c r="E6" s="16"/>
      <c r="F6" s="16"/>
      <c r="G6" s="16"/>
      <c r="H6" s="16"/>
      <c r="I6" s="16"/>
      <c r="J6" s="16"/>
      <c r="K6" s="16"/>
      <c r="L6" s="16"/>
      <c r="M6" s="16"/>
      <c r="N6" s="16"/>
      <c r="O6" s="16"/>
      <c r="P6" s="16"/>
    </row>
    <row r="7" spans="1:16">
      <c r="A7" t="str">
        <f t="shared" si="0"/>
        <v>EZ Health Oracle</v>
      </c>
      <c r="B7" s="17" t="b">
        <f>AND('Diabetes Meter Criteria'!C3)</f>
        <v>1</v>
      </c>
      <c r="C7" s="20" t="b">
        <f>C2</f>
        <v>1</v>
      </c>
      <c r="D7" s="17" t="b">
        <f>D2</f>
        <v>1</v>
      </c>
      <c r="E7" s="17" t="b">
        <f>E3</f>
        <v>1</v>
      </c>
      <c r="F7" s="17" t="b">
        <f>F3</f>
        <v>1</v>
      </c>
      <c r="G7" s="17" t="b">
        <f>G3</f>
        <v>1</v>
      </c>
      <c r="H7" s="17" t="b">
        <f>H2</f>
        <v>1</v>
      </c>
      <c r="I7" s="17" t="b">
        <f>I2</f>
        <v>1</v>
      </c>
      <c r="J7" s="20" t="b">
        <f>OR('Diabetes Meter Criteria'!B10:C10)</f>
        <v>1</v>
      </c>
      <c r="K7" s="20" t="b">
        <f>OR('Diabetes Meter Criteria'!B11:C11)</f>
        <v>1</v>
      </c>
      <c r="L7" s="17" t="b">
        <f>L2</f>
        <v>1</v>
      </c>
      <c r="M7" s="17" t="b">
        <f>M2</f>
        <v>1</v>
      </c>
      <c r="N7" s="17" t="b">
        <f>N2</f>
        <v>1</v>
      </c>
      <c r="O7" t="b">
        <f t="shared" si="2"/>
        <v>1</v>
      </c>
      <c r="P7" s="11" t="s">
        <v>1281</v>
      </c>
    </row>
    <row r="8" spans="1:16">
      <c r="A8" s="16" t="b">
        <f t="shared" si="0"/>
        <v>0</v>
      </c>
      <c r="B8" s="16"/>
      <c r="C8" s="16"/>
      <c r="D8" s="16"/>
      <c r="E8" s="16"/>
      <c r="F8" s="16"/>
      <c r="G8" s="16"/>
      <c r="H8" s="16"/>
      <c r="I8" s="16"/>
      <c r="J8" s="16"/>
      <c r="K8" s="16"/>
      <c r="L8" s="16"/>
      <c r="M8" s="16"/>
      <c r="N8" s="16"/>
      <c r="O8" s="16"/>
      <c r="P8" s="16"/>
    </row>
    <row r="9" spans="1:16">
      <c r="A9" t="str">
        <f t="shared" si="0"/>
        <v>BG Star</v>
      </c>
      <c r="B9" s="17" t="b">
        <f>B7</f>
        <v>1</v>
      </c>
      <c r="C9" s="20" t="b">
        <f>C2</f>
        <v>1</v>
      </c>
      <c r="D9" s="17" t="b">
        <f>D2</f>
        <v>1</v>
      </c>
      <c r="E9" s="17" t="b">
        <f>E3</f>
        <v>1</v>
      </c>
      <c r="F9" s="20" t="b">
        <f t="shared" ref="F9:N9" si="4">F2</f>
        <v>1</v>
      </c>
      <c r="G9" s="20" t="b">
        <f t="shared" si="4"/>
        <v>1</v>
      </c>
      <c r="H9" s="17" t="b">
        <f t="shared" si="4"/>
        <v>1</v>
      </c>
      <c r="I9" s="17" t="b">
        <f t="shared" si="4"/>
        <v>1</v>
      </c>
      <c r="J9" s="17" t="b">
        <f t="shared" si="4"/>
        <v>1</v>
      </c>
      <c r="K9" s="17" t="b">
        <f t="shared" si="4"/>
        <v>1</v>
      </c>
      <c r="L9" s="17" t="b">
        <f t="shared" si="4"/>
        <v>1</v>
      </c>
      <c r="M9" s="17" t="b">
        <f t="shared" si="4"/>
        <v>1</v>
      </c>
      <c r="N9" s="17" t="b">
        <f t="shared" si="4"/>
        <v>1</v>
      </c>
      <c r="O9" t="b">
        <f t="shared" si="2"/>
        <v>1</v>
      </c>
      <c r="P9" s="11" t="s">
        <v>1285</v>
      </c>
    </row>
    <row r="10" spans="1:16">
      <c r="A10" s="16" t="b">
        <f t="shared" si="0"/>
        <v>0</v>
      </c>
      <c r="B10" s="16"/>
      <c r="C10" s="16"/>
      <c r="D10" s="16"/>
      <c r="E10" s="16"/>
      <c r="F10" s="16"/>
      <c r="G10" s="16"/>
      <c r="H10" s="16"/>
      <c r="I10" s="16"/>
      <c r="J10" s="16"/>
      <c r="K10" s="16"/>
      <c r="L10" s="16"/>
      <c r="M10" s="16"/>
      <c r="N10" s="16"/>
      <c r="O10" s="16"/>
      <c r="P10" s="16"/>
    </row>
    <row r="11" spans="1:16">
      <c r="A11" t="str">
        <f t="shared" si="0"/>
        <v>Accu-Chek Guide</v>
      </c>
      <c r="B11" s="17" t="b">
        <f>B7</f>
        <v>1</v>
      </c>
      <c r="C11" s="20" t="b">
        <f>C2</f>
        <v>1</v>
      </c>
      <c r="D11" s="17" t="b">
        <f>D2</f>
        <v>1</v>
      </c>
      <c r="E11" s="17" t="b">
        <f>E3</f>
        <v>1</v>
      </c>
      <c r="F11" s="20" t="b">
        <f>F2</f>
        <v>1</v>
      </c>
      <c r="G11" s="20" t="b">
        <f>G2</f>
        <v>1</v>
      </c>
      <c r="H11" s="20" t="b">
        <f>H3</f>
        <v>1</v>
      </c>
      <c r="I11" s="17" t="b">
        <f t="shared" ref="I11:N11" si="5">I2</f>
        <v>1</v>
      </c>
      <c r="J11" s="17" t="b">
        <f t="shared" si="5"/>
        <v>1</v>
      </c>
      <c r="K11" s="17" t="b">
        <f t="shared" si="5"/>
        <v>1</v>
      </c>
      <c r="L11" s="17" t="b">
        <f t="shared" si="5"/>
        <v>1</v>
      </c>
      <c r="M11" s="17" t="b">
        <f t="shared" si="5"/>
        <v>1</v>
      </c>
      <c r="N11" s="17" t="b">
        <f t="shared" si="5"/>
        <v>1</v>
      </c>
      <c r="O11" t="b">
        <f t="shared" si="2"/>
        <v>1</v>
      </c>
      <c r="P11" s="11" t="s">
        <v>1286</v>
      </c>
    </row>
    <row r="12" spans="1:16">
      <c r="A12" t="str">
        <f t="shared" si="0"/>
        <v>Accu-Chek Aviva</v>
      </c>
      <c r="B12" s="17" t="b">
        <f>B7</f>
        <v>1</v>
      </c>
      <c r="C12" s="20" t="b">
        <f>C2</f>
        <v>1</v>
      </c>
      <c r="D12" s="17" t="b">
        <f>D2</f>
        <v>1</v>
      </c>
      <c r="E12" s="17" t="b">
        <f>E3</f>
        <v>1</v>
      </c>
      <c r="F12" s="17" t="b">
        <f>F3</f>
        <v>1</v>
      </c>
      <c r="G12" s="20" t="b">
        <f t="shared" ref="G12:N12" si="6">G2</f>
        <v>1</v>
      </c>
      <c r="H12" s="17" t="b">
        <f t="shared" si="6"/>
        <v>1</v>
      </c>
      <c r="I12" s="17" t="b">
        <f t="shared" si="6"/>
        <v>1</v>
      </c>
      <c r="J12" s="17" t="b">
        <f t="shared" si="6"/>
        <v>1</v>
      </c>
      <c r="K12" s="17" t="b">
        <f t="shared" si="6"/>
        <v>1</v>
      </c>
      <c r="L12" s="17" t="b">
        <f t="shared" si="6"/>
        <v>1</v>
      </c>
      <c r="M12" s="17" t="b">
        <f t="shared" si="6"/>
        <v>1</v>
      </c>
      <c r="N12" s="17" t="b">
        <f t="shared" si="6"/>
        <v>1</v>
      </c>
      <c r="O12" t="b">
        <f t="shared" si="2"/>
        <v>1</v>
      </c>
      <c r="P12" s="11" t="s">
        <v>1287</v>
      </c>
    </row>
    <row r="13" spans="1:16" ht="12.75" customHeight="1">
      <c r="A13" t="str">
        <f t="shared" si="0"/>
        <v>Accu-Chek Aviva Connect</v>
      </c>
      <c r="B13" s="17" t="b">
        <f>B7</f>
        <v>1</v>
      </c>
      <c r="C13" s="20" t="b">
        <f>C2</f>
        <v>1</v>
      </c>
      <c r="D13" s="17" t="b">
        <f>D2</f>
        <v>1</v>
      </c>
      <c r="E13" s="17" t="b">
        <f>E3</f>
        <v>1</v>
      </c>
      <c r="F13" s="20" t="b">
        <f>F2</f>
        <v>1</v>
      </c>
      <c r="G13" s="20" t="b">
        <f>G2</f>
        <v>1</v>
      </c>
      <c r="H13" s="20" t="b">
        <f>H3</f>
        <v>1</v>
      </c>
      <c r="I13" s="17" t="b">
        <f t="shared" ref="I13:N13" si="7">I2</f>
        <v>1</v>
      </c>
      <c r="J13" s="17" t="b">
        <f t="shared" si="7"/>
        <v>1</v>
      </c>
      <c r="K13" s="17" t="b">
        <f t="shared" si="7"/>
        <v>1</v>
      </c>
      <c r="L13" s="17" t="b">
        <f t="shared" si="7"/>
        <v>1</v>
      </c>
      <c r="M13" s="17" t="b">
        <f t="shared" si="7"/>
        <v>1</v>
      </c>
      <c r="N13" s="17" t="b">
        <f t="shared" si="7"/>
        <v>1</v>
      </c>
      <c r="O13" t="b">
        <f t="shared" si="2"/>
        <v>1</v>
      </c>
      <c r="P13" s="11" t="s">
        <v>1288</v>
      </c>
    </row>
    <row r="14" spans="1:16" ht="12.75" customHeight="1">
      <c r="A14" t="str">
        <f t="shared" si="0"/>
        <v>Accu-Chek Aviva Nano</v>
      </c>
      <c r="B14" s="17" t="b">
        <f>B7</f>
        <v>1</v>
      </c>
      <c r="C14" s="20" t="b">
        <f>C2</f>
        <v>1</v>
      </c>
      <c r="D14" s="17" t="b">
        <f>D2</f>
        <v>1</v>
      </c>
      <c r="E14" s="17" t="b">
        <f>E3</f>
        <v>1</v>
      </c>
      <c r="F14" s="20" t="b">
        <f t="shared" ref="F14:N14" si="8">F2</f>
        <v>1</v>
      </c>
      <c r="G14" s="20" t="b">
        <f t="shared" si="8"/>
        <v>1</v>
      </c>
      <c r="H14" s="17" t="b">
        <f t="shared" si="8"/>
        <v>1</v>
      </c>
      <c r="I14" s="17" t="b">
        <f t="shared" si="8"/>
        <v>1</v>
      </c>
      <c r="J14" s="17" t="b">
        <f t="shared" si="8"/>
        <v>1</v>
      </c>
      <c r="K14" s="17" t="b">
        <f t="shared" si="8"/>
        <v>1</v>
      </c>
      <c r="L14" s="17" t="b">
        <f t="shared" si="8"/>
        <v>1</v>
      </c>
      <c r="M14" s="17" t="b">
        <f t="shared" si="8"/>
        <v>1</v>
      </c>
      <c r="N14" s="17" t="b">
        <f t="shared" si="8"/>
        <v>1</v>
      </c>
      <c r="O14" t="b">
        <f t="shared" si="2"/>
        <v>1</v>
      </c>
      <c r="P14" s="11" t="s">
        <v>1289</v>
      </c>
    </row>
    <row r="15" spans="1:16">
      <c r="A15" s="16" t="b">
        <f t="shared" si="0"/>
        <v>0</v>
      </c>
      <c r="B15" s="16"/>
      <c r="C15" s="16"/>
      <c r="D15" s="16"/>
      <c r="E15" s="16"/>
      <c r="F15" s="16"/>
      <c r="G15" s="16"/>
      <c r="H15" s="16"/>
      <c r="I15" s="16"/>
      <c r="J15" s="16"/>
      <c r="K15" s="16"/>
      <c r="L15" s="16"/>
      <c r="M15" s="16"/>
      <c r="N15" s="16"/>
      <c r="O15" s="16"/>
      <c r="P15" s="16"/>
    </row>
    <row r="16" spans="1:16">
      <c r="A16" t="str">
        <f t="shared" si="0"/>
        <v>Dexcom G6 CGM</v>
      </c>
      <c r="B16" s="17" t="b">
        <f>B7</f>
        <v>1</v>
      </c>
      <c r="C16" s="17" t="b">
        <f>C3</f>
        <v>1</v>
      </c>
      <c r="D16" s="17" t="b">
        <f>D2</f>
        <v>1</v>
      </c>
      <c r="E16" s="17" t="b">
        <f>E3</f>
        <v>1</v>
      </c>
      <c r="F16" s="20" t="b">
        <f>F2</f>
        <v>1</v>
      </c>
      <c r="G16" s="20" t="b">
        <f>G2</f>
        <v>1</v>
      </c>
      <c r="H16" s="20" t="b">
        <f>H3</f>
        <v>1</v>
      </c>
      <c r="I16" s="20" t="b">
        <f>I4</f>
        <v>1</v>
      </c>
      <c r="J16" s="17" t="b">
        <f>J2</f>
        <v>1</v>
      </c>
      <c r="K16" s="17" t="b">
        <f>K2</f>
        <v>1</v>
      </c>
      <c r="L16" s="20" t="b">
        <f>OR('Diabetes Meter Criteria'!B12:C12)</f>
        <v>1</v>
      </c>
      <c r="M16" s="17" t="b">
        <f>M2</f>
        <v>1</v>
      </c>
      <c r="N16" s="17" t="b">
        <f>N2</f>
        <v>1</v>
      </c>
      <c r="O16" t="b">
        <f t="shared" si="2"/>
        <v>1</v>
      </c>
      <c r="P16" s="11" t="s">
        <v>1299</v>
      </c>
    </row>
    <row r="17" spans="1:16">
      <c r="A17" s="16" t="b">
        <f t="shared" si="0"/>
        <v>0</v>
      </c>
      <c r="B17" s="16"/>
      <c r="C17" s="16"/>
      <c r="D17" s="16"/>
      <c r="E17" s="16"/>
      <c r="F17" s="16"/>
      <c r="G17" s="16"/>
      <c r="H17" s="16"/>
      <c r="I17" s="16"/>
      <c r="J17" s="16"/>
      <c r="K17" s="16"/>
      <c r="L17" s="16"/>
      <c r="M17" s="16"/>
      <c r="N17" s="16"/>
      <c r="O17" s="16"/>
      <c r="P17" s="16"/>
    </row>
    <row r="18" spans="1:16">
      <c r="A18" t="str">
        <f t="shared" si="0"/>
        <v>OneTouch Verio Reflect™</v>
      </c>
      <c r="B18" s="17" t="b">
        <f>B7</f>
        <v>1</v>
      </c>
      <c r="C18" s="20" t="b">
        <f>C2</f>
        <v>1</v>
      </c>
      <c r="D18" s="20" t="b">
        <f>OR('Diabetes Meter Criteria'!B5:C5)</f>
        <v>1</v>
      </c>
      <c r="E18" s="17" t="b">
        <f>E3</f>
        <v>1</v>
      </c>
      <c r="F18" s="17" t="b">
        <f>F3</f>
        <v>1</v>
      </c>
      <c r="G18" s="20" t="b">
        <f>G2</f>
        <v>1</v>
      </c>
      <c r="H18" s="20" t="b">
        <f>H3</f>
        <v>1</v>
      </c>
      <c r="I18" s="17" t="b">
        <f t="shared" ref="I18:N18" si="9">I2</f>
        <v>1</v>
      </c>
      <c r="J18" s="17" t="b">
        <f t="shared" si="9"/>
        <v>1</v>
      </c>
      <c r="K18" s="17" t="b">
        <f t="shared" si="9"/>
        <v>1</v>
      </c>
      <c r="L18" s="17" t="b">
        <f t="shared" si="9"/>
        <v>1</v>
      </c>
      <c r="M18" s="17" t="b">
        <f t="shared" si="9"/>
        <v>1</v>
      </c>
      <c r="N18" s="17" t="b">
        <f t="shared" si="9"/>
        <v>1</v>
      </c>
      <c r="O18" t="b">
        <f t="shared" si="2"/>
        <v>1</v>
      </c>
      <c r="P18" s="28" t="s">
        <v>1290</v>
      </c>
    </row>
    <row r="19" spans="1:16">
      <c r="A19" t="str">
        <f t="shared" si="0"/>
        <v>OneTouch Verio Flex®</v>
      </c>
      <c r="B19" s="17" t="b">
        <f>B7</f>
        <v>1</v>
      </c>
      <c r="C19" s="20" t="b">
        <f>C2</f>
        <v>1</v>
      </c>
      <c r="D19" s="20" t="b">
        <f>D18</f>
        <v>1</v>
      </c>
      <c r="E19" s="17" t="b">
        <f>E3</f>
        <v>1</v>
      </c>
      <c r="F19" s="17" t="b">
        <f>F3</f>
        <v>1</v>
      </c>
      <c r="G19" s="20" t="b">
        <f>G2</f>
        <v>1</v>
      </c>
      <c r="H19" s="20" t="b">
        <f>H3</f>
        <v>1</v>
      </c>
      <c r="I19" s="17" t="b">
        <f t="shared" ref="I19:N19" si="10">I2</f>
        <v>1</v>
      </c>
      <c r="J19" s="17" t="b">
        <f t="shared" si="10"/>
        <v>1</v>
      </c>
      <c r="K19" s="17" t="b">
        <f t="shared" si="10"/>
        <v>1</v>
      </c>
      <c r="L19" s="17" t="b">
        <f t="shared" si="10"/>
        <v>1</v>
      </c>
      <c r="M19" s="17" t="b">
        <f t="shared" si="10"/>
        <v>1</v>
      </c>
      <c r="N19" s="17" t="b">
        <f t="shared" si="10"/>
        <v>1</v>
      </c>
      <c r="O19" t="b">
        <f t="shared" si="2"/>
        <v>1</v>
      </c>
      <c r="P19" s="28" t="s">
        <v>1291</v>
      </c>
    </row>
    <row r="20" spans="1:16">
      <c r="A20" t="str">
        <f>IF(O20,P20)</f>
        <v>OneTouch Verio®</v>
      </c>
      <c r="B20" s="17" t="b">
        <f>B7</f>
        <v>1</v>
      </c>
      <c r="C20" s="20" t="b">
        <f>C2</f>
        <v>1</v>
      </c>
      <c r="D20" s="20" t="b">
        <f>D18</f>
        <v>1</v>
      </c>
      <c r="E20" s="17" t="b">
        <f>E3</f>
        <v>1</v>
      </c>
      <c r="F20" s="17" t="b">
        <f>F3</f>
        <v>1</v>
      </c>
      <c r="G20" s="20" t="b">
        <f t="shared" ref="G20:N20" si="11">G2</f>
        <v>1</v>
      </c>
      <c r="H20" s="17" t="b">
        <f t="shared" si="11"/>
        <v>1</v>
      </c>
      <c r="I20" s="17" t="b">
        <f t="shared" si="11"/>
        <v>1</v>
      </c>
      <c r="J20" s="17" t="b">
        <f t="shared" si="11"/>
        <v>1</v>
      </c>
      <c r="K20" s="17" t="b">
        <f t="shared" si="11"/>
        <v>1</v>
      </c>
      <c r="L20" s="17" t="b">
        <f t="shared" si="11"/>
        <v>1</v>
      </c>
      <c r="M20" s="17" t="b">
        <f t="shared" si="11"/>
        <v>1</v>
      </c>
      <c r="N20" s="17" t="b">
        <f t="shared" si="11"/>
        <v>1</v>
      </c>
      <c r="O20" t="b">
        <f t="shared" si="2"/>
        <v>1</v>
      </c>
      <c r="P20" s="28" t="s">
        <v>1292</v>
      </c>
    </row>
    <row r="21" spans="1:16">
      <c r="A21" t="str">
        <f t="shared" si="0"/>
        <v>OneTouch Verio® IQ</v>
      </c>
      <c r="B21" s="17" t="b">
        <f>B7</f>
        <v>1</v>
      </c>
      <c r="C21" s="20" t="b">
        <f>C2</f>
        <v>1</v>
      </c>
      <c r="D21" s="20" t="b">
        <f>D18</f>
        <v>1</v>
      </c>
      <c r="E21" s="17" t="b">
        <f>E3</f>
        <v>1</v>
      </c>
      <c r="F21" s="17" t="b">
        <f>F3</f>
        <v>1</v>
      </c>
      <c r="G21" s="17" t="b">
        <f>G3</f>
        <v>1</v>
      </c>
      <c r="H21" s="17" t="b">
        <f t="shared" ref="H21:N21" si="12">H2</f>
        <v>1</v>
      </c>
      <c r="I21" s="17" t="b">
        <f t="shared" si="12"/>
        <v>1</v>
      </c>
      <c r="J21" s="17" t="b">
        <f t="shared" si="12"/>
        <v>1</v>
      </c>
      <c r="K21" s="17" t="b">
        <f t="shared" si="12"/>
        <v>1</v>
      </c>
      <c r="L21" s="17" t="b">
        <f t="shared" si="12"/>
        <v>1</v>
      </c>
      <c r="M21" s="17" t="b">
        <f t="shared" si="12"/>
        <v>1</v>
      </c>
      <c r="N21" s="17" t="b">
        <f t="shared" si="12"/>
        <v>1</v>
      </c>
      <c r="O21" t="b">
        <f t="shared" si="2"/>
        <v>1</v>
      </c>
      <c r="P21" s="28" t="s">
        <v>1293</v>
      </c>
    </row>
    <row r="22" spans="1:16">
      <c r="A22" t="str">
        <f t="shared" si="0"/>
        <v>OneTouch UltraMini®</v>
      </c>
      <c r="B22" s="17" t="b">
        <f>B7</f>
        <v>1</v>
      </c>
      <c r="C22" s="20" t="b">
        <f>C2</f>
        <v>1</v>
      </c>
      <c r="D22" s="17" t="b">
        <f>D2</f>
        <v>1</v>
      </c>
      <c r="E22" s="17" t="b">
        <f>E3</f>
        <v>1</v>
      </c>
      <c r="F22" s="17" t="b">
        <f>F3</f>
        <v>1</v>
      </c>
      <c r="G22" s="17" t="b">
        <f>G3</f>
        <v>1</v>
      </c>
      <c r="H22" s="17" t="b">
        <f t="shared" ref="H22:M22" si="13">H2</f>
        <v>1</v>
      </c>
      <c r="I22" s="17" t="b">
        <f t="shared" si="13"/>
        <v>1</v>
      </c>
      <c r="J22" s="17" t="b">
        <f t="shared" si="13"/>
        <v>1</v>
      </c>
      <c r="K22" s="17" t="b">
        <f t="shared" si="13"/>
        <v>1</v>
      </c>
      <c r="L22" s="17" t="b">
        <f t="shared" si="13"/>
        <v>1</v>
      </c>
      <c r="M22" s="17" t="b">
        <f t="shared" si="13"/>
        <v>1</v>
      </c>
      <c r="N22" s="20" t="b">
        <f>OR('Diabetes Meter Criteria'!B15:C15)</f>
        <v>1</v>
      </c>
      <c r="O22" t="b">
        <f t="shared" si="2"/>
        <v>1</v>
      </c>
      <c r="P22" s="28" t="s">
        <v>1294</v>
      </c>
    </row>
    <row r="23" spans="1:16">
      <c r="A23" t="str">
        <f t="shared" si="0"/>
        <v>OneTouch Ultra®2</v>
      </c>
      <c r="B23" s="17" t="b">
        <f>B7</f>
        <v>1</v>
      </c>
      <c r="C23" s="20" t="b">
        <f>C2</f>
        <v>1</v>
      </c>
      <c r="D23" s="17" t="b">
        <f>D2</f>
        <v>1</v>
      </c>
      <c r="E23" s="17" t="b">
        <f>E3</f>
        <v>1</v>
      </c>
      <c r="F23" s="20" t="b">
        <f t="shared" ref="F23:N23" si="14">F2</f>
        <v>1</v>
      </c>
      <c r="G23" s="20" t="b">
        <f t="shared" si="14"/>
        <v>1</v>
      </c>
      <c r="H23" s="17" t="b">
        <f t="shared" si="14"/>
        <v>1</v>
      </c>
      <c r="I23" s="17" t="b">
        <f t="shared" si="14"/>
        <v>1</v>
      </c>
      <c r="J23" s="17" t="b">
        <f t="shared" si="14"/>
        <v>1</v>
      </c>
      <c r="K23" s="17" t="b">
        <f t="shared" si="14"/>
        <v>1</v>
      </c>
      <c r="L23" s="17" t="b">
        <f t="shared" si="14"/>
        <v>1</v>
      </c>
      <c r="M23" s="17" t="b">
        <f t="shared" si="14"/>
        <v>1</v>
      </c>
      <c r="N23" s="17" t="b">
        <f t="shared" si="14"/>
        <v>1</v>
      </c>
      <c r="O23" t="b">
        <f t="shared" si="2"/>
        <v>1</v>
      </c>
      <c r="P23" s="28" t="s">
        <v>1295</v>
      </c>
    </row>
    <row r="24" spans="1:16">
      <c r="A24" s="16" t="b">
        <f t="shared" si="0"/>
        <v>0</v>
      </c>
      <c r="B24" s="16"/>
      <c r="C24" s="16"/>
      <c r="D24" s="16"/>
      <c r="E24" s="16"/>
      <c r="F24" s="16"/>
      <c r="G24" s="16"/>
      <c r="H24" s="16"/>
      <c r="I24" s="16"/>
      <c r="J24" s="16"/>
      <c r="K24" s="16"/>
      <c r="L24" s="16"/>
      <c r="M24" s="16"/>
      <c r="N24" s="16"/>
      <c r="O24" s="16"/>
      <c r="P24" s="16"/>
    </row>
    <row r="25" spans="1:16">
      <c r="A25" t="str">
        <f t="shared" si="0"/>
        <v>FreeStyle Libre</v>
      </c>
      <c r="B25" s="17" t="b">
        <f>B7</f>
        <v>1</v>
      </c>
      <c r="C25" s="17" t="b">
        <f>C3</f>
        <v>1</v>
      </c>
      <c r="D25" s="17" t="b">
        <f>D2</f>
        <v>1</v>
      </c>
      <c r="E25" s="17" t="b">
        <f>E3</f>
        <v>1</v>
      </c>
      <c r="F25" s="20" t="b">
        <f>F2</f>
        <v>1</v>
      </c>
      <c r="G25" s="20" t="b">
        <f>G2</f>
        <v>1</v>
      </c>
      <c r="H25" s="20" t="b">
        <f>H3</f>
        <v>1</v>
      </c>
      <c r="I25" s="17" t="b">
        <f>I2</f>
        <v>1</v>
      </c>
      <c r="J25" s="17" t="b">
        <f>J2</f>
        <v>1</v>
      </c>
      <c r="K25" s="17" t="b">
        <f>K2</f>
        <v>1</v>
      </c>
      <c r="L25" s="20" t="b">
        <f>L16</f>
        <v>1</v>
      </c>
      <c r="M25" s="17" t="b">
        <f>M2</f>
        <v>1</v>
      </c>
      <c r="N25" s="17" t="b">
        <f>N2</f>
        <v>1</v>
      </c>
      <c r="O25" t="b">
        <f t="shared" si="2"/>
        <v>1</v>
      </c>
      <c r="P25" s="29" t="s">
        <v>1296</v>
      </c>
    </row>
    <row r="26" spans="1:16">
      <c r="A26" t="str">
        <f t="shared" si="0"/>
        <v>FreeStyle Precision Neo</v>
      </c>
      <c r="B26" s="17" t="b">
        <f>B7</f>
        <v>1</v>
      </c>
      <c r="C26" s="17" t="b">
        <f>C3</f>
        <v>1</v>
      </c>
      <c r="D26" s="17" t="b">
        <f>D2</f>
        <v>1</v>
      </c>
      <c r="E26" s="17" t="b">
        <f>E3</f>
        <v>1</v>
      </c>
      <c r="F26" s="20" t="b">
        <f>F2</f>
        <v>1</v>
      </c>
      <c r="G26" s="20" t="b">
        <f>G2</f>
        <v>1</v>
      </c>
      <c r="H26" s="17" t="b">
        <f>H2</f>
        <v>1</v>
      </c>
      <c r="I26" s="17" t="b">
        <f>I2</f>
        <v>1</v>
      </c>
      <c r="J26" s="17" t="b">
        <f>J2</f>
        <v>1</v>
      </c>
      <c r="K26" s="20" t="b">
        <f>K7</f>
        <v>1</v>
      </c>
      <c r="L26" s="17" t="b">
        <f>L2</f>
        <v>1</v>
      </c>
      <c r="M26" s="17" t="b">
        <f>M2</f>
        <v>1</v>
      </c>
      <c r="N26" s="17" t="b">
        <f>N2</f>
        <v>1</v>
      </c>
      <c r="O26" t="b">
        <f t="shared" si="2"/>
        <v>1</v>
      </c>
      <c r="P26" s="11" t="s">
        <v>1297</v>
      </c>
    </row>
    <row r="27" spans="1:16">
      <c r="A27" t="str">
        <f t="shared" si="0"/>
        <v>FreeStyle Lite</v>
      </c>
      <c r="B27" s="17" t="b">
        <f>B7</f>
        <v>1</v>
      </c>
      <c r="C27" s="20" t="b">
        <f>C2</f>
        <v>1</v>
      </c>
      <c r="D27" s="17" t="b">
        <f>D2</f>
        <v>1</v>
      </c>
      <c r="E27" s="17" t="b">
        <f>E3</f>
        <v>1</v>
      </c>
      <c r="F27" s="20" t="b">
        <f>F2</f>
        <v>1</v>
      </c>
      <c r="G27" s="17" t="b">
        <f>G3</f>
        <v>1</v>
      </c>
      <c r="H27" s="17" t="b">
        <f t="shared" ref="H27:M27" si="15">H2</f>
        <v>1</v>
      </c>
      <c r="I27" s="17" t="b">
        <f t="shared" si="15"/>
        <v>1</v>
      </c>
      <c r="J27" s="17" t="b">
        <f t="shared" si="15"/>
        <v>1</v>
      </c>
      <c r="K27" s="17" t="b">
        <f t="shared" si="15"/>
        <v>1</v>
      </c>
      <c r="L27" s="17" t="b">
        <f t="shared" si="15"/>
        <v>1</v>
      </c>
      <c r="M27" s="17" t="b">
        <f t="shared" si="15"/>
        <v>1</v>
      </c>
      <c r="N27" s="20" t="b">
        <f>N22</f>
        <v>1</v>
      </c>
      <c r="O27" t="b">
        <f t="shared" si="2"/>
        <v>1</v>
      </c>
      <c r="P27" s="11" t="s">
        <v>1298</v>
      </c>
    </row>
    <row r="28" spans="1:16">
      <c r="A28" t="str">
        <f t="shared" si="0"/>
        <v>FreeStyle Insulix</v>
      </c>
      <c r="B28" s="17" t="b">
        <f>B7</f>
        <v>1</v>
      </c>
      <c r="C28" s="20" t="b">
        <f>C2</f>
        <v>1</v>
      </c>
      <c r="D28" s="17" t="b">
        <f>D2</f>
        <v>1</v>
      </c>
      <c r="E28" s="17" t="b">
        <f>E3</f>
        <v>1</v>
      </c>
      <c r="F28" s="17" t="b">
        <f>F3</f>
        <v>1</v>
      </c>
      <c r="G28" s="20" t="b">
        <f t="shared" ref="G28:L28" si="16">G2</f>
        <v>1</v>
      </c>
      <c r="H28" s="17" t="b">
        <f t="shared" si="16"/>
        <v>1</v>
      </c>
      <c r="I28" s="17" t="b">
        <f t="shared" si="16"/>
        <v>1</v>
      </c>
      <c r="J28" s="17" t="b">
        <f t="shared" si="16"/>
        <v>1</v>
      </c>
      <c r="K28" s="17" t="b">
        <f t="shared" si="16"/>
        <v>1</v>
      </c>
      <c r="L28" s="17" t="b">
        <f t="shared" si="16"/>
        <v>1</v>
      </c>
      <c r="M28" s="20" t="b">
        <f>OR('Diabetes Meter Criteria'!B13:C13)</f>
        <v>1</v>
      </c>
      <c r="N28" s="17" t="b">
        <f>N2</f>
        <v>1</v>
      </c>
      <c r="O28" t="b">
        <f t="shared" si="2"/>
        <v>1</v>
      </c>
      <c r="P28" s="11" t="s">
        <v>1302</v>
      </c>
    </row>
    <row r="29" spans="1:16">
      <c r="A29" s="16"/>
      <c r="B29" s="16"/>
      <c r="C29" s="16"/>
      <c r="D29" s="16"/>
      <c r="E29" s="16"/>
      <c r="F29" s="16"/>
      <c r="G29" s="16"/>
      <c r="H29" s="16"/>
      <c r="I29" s="16"/>
      <c r="J29" s="16"/>
      <c r="K29" s="16"/>
      <c r="L29" s="16"/>
      <c r="M29" s="16"/>
      <c r="N29" s="16"/>
      <c r="O29" s="16"/>
      <c r="P29" s="16"/>
    </row>
  </sheetData>
  <hyperlinks>
    <hyperlink ref="P2" r:id="rId1" xr:uid="{00000000-0004-0000-0600-000000000000}"/>
    <hyperlink ref="P3" r:id="rId2" xr:uid="{00000000-0004-0000-0600-000001000000}"/>
    <hyperlink ref="P4" r:id="rId3" xr:uid="{00000000-0004-0000-0600-000002000000}"/>
    <hyperlink ref="P5" r:id="rId4" xr:uid="{00000000-0004-0000-0600-000003000000}"/>
    <hyperlink ref="P7" r:id="rId5" xr:uid="{00000000-0004-0000-0600-000004000000}"/>
    <hyperlink ref="P18" r:id="rId6" display="https://www.onetouch.ca/products/glucose-meters/onetouch-verio-reflect" xr:uid="{00000000-0004-0000-0600-000005000000}"/>
    <hyperlink ref="P19" r:id="rId7" display="https://www.onetouch.ca/products/glucose-meters/onetouch-verio-flex" xr:uid="{00000000-0004-0000-0600-000006000000}"/>
    <hyperlink ref="P20" r:id="rId8" display="https://www.onetouch.ca/products/glucose-meters/onetouch-verio" xr:uid="{00000000-0004-0000-0600-000007000000}"/>
    <hyperlink ref="P21" r:id="rId9" display="https://www.onetouch.ca/products/glucose-meters/onetouch-verio-iq" xr:uid="{00000000-0004-0000-0600-000008000000}"/>
    <hyperlink ref="P22" r:id="rId10" display="https://www.onetouch.ca/products/glucose-meters/onetouch-ultramini" xr:uid="{00000000-0004-0000-0600-000009000000}"/>
    <hyperlink ref="P23" r:id="rId11" display="https://www.onetouch.ca/products/glucose-meters/onetouch-ultra2" xr:uid="{00000000-0004-0000-0600-00000A000000}"/>
    <hyperlink ref="P25" r:id="rId12" xr:uid="{00000000-0004-0000-0600-00000B000000}"/>
    <hyperlink ref="P26" r:id="rId13" xr:uid="{00000000-0004-0000-0600-00000C000000}"/>
    <hyperlink ref="P27" r:id="rId14" xr:uid="{00000000-0004-0000-0600-00000D000000}"/>
    <hyperlink ref="P16" r:id="rId15" xr:uid="{00000000-0004-0000-0600-00000E000000}"/>
    <hyperlink ref="P9" r:id="rId16" xr:uid="{00000000-0004-0000-0600-00000F000000}"/>
    <hyperlink ref="P11" r:id="rId17" xr:uid="{00000000-0004-0000-0600-000010000000}"/>
    <hyperlink ref="P12" r:id="rId18" xr:uid="{00000000-0004-0000-0600-000011000000}"/>
    <hyperlink ref="P13" r:id="rId19" xr:uid="{00000000-0004-0000-0600-000012000000}"/>
    <hyperlink ref="P14" r:id="rId20" xr:uid="{00000000-0004-0000-0600-000013000000}"/>
    <hyperlink ref="P28" r:id="rId21" xr:uid="{00000000-0004-0000-0600-000014000000}"/>
  </hyperlinks>
  <pageMargins left="0.7" right="0.7" top="0.75" bottom="0.75" header="0.3" footer="0.3"/>
  <pageSetup paperSize="9" orientation="portrait" horizontalDpi="0" verticalDpi="0" r:id="rId2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0"/>
  <sheetViews>
    <sheetView workbookViewId="0">
      <selection activeCell="E28" sqref="E28"/>
    </sheetView>
  </sheetViews>
  <sheetFormatPr defaultRowHeight="15"/>
  <cols>
    <col min="1" max="1" width="77.85546875" customWidth="1"/>
    <col min="2" max="2" width="10" style="2" customWidth="1"/>
    <col min="3" max="4" width="9.5703125" style="2" customWidth="1"/>
    <col min="5" max="5" width="27.42578125" style="2" customWidth="1"/>
  </cols>
  <sheetData>
    <row r="1" spans="1:7" ht="15.75" thickTop="1">
      <c r="A1" s="3" t="s">
        <v>15</v>
      </c>
      <c r="B1" s="38" t="s">
        <v>18</v>
      </c>
      <c r="C1" s="61" t="s">
        <v>10</v>
      </c>
      <c r="D1" s="61"/>
      <c r="E1" s="8" t="s">
        <v>19</v>
      </c>
    </row>
    <row r="2" spans="1:7" ht="15.75" thickBot="1">
      <c r="B2" s="4"/>
      <c r="C2" s="62"/>
      <c r="D2" s="62"/>
      <c r="E2" s="4"/>
    </row>
    <row r="3" spans="1:7" ht="15.75" thickBot="1">
      <c r="A3" s="158" t="s">
        <v>3</v>
      </c>
      <c r="B3" s="5" t="b">
        <v>0</v>
      </c>
      <c r="C3" s="62" t="b">
        <f t="shared" ref="C3:C12" si="0">NOT(B3)</f>
        <v>1</v>
      </c>
      <c r="D3" s="62" t="b">
        <f>AND(B17,C5,C6,C8)</f>
        <v>0</v>
      </c>
      <c r="E3" s="4" t="b">
        <f>IF(D3,random!A7)</f>
        <v>0</v>
      </c>
    </row>
    <row r="4" spans="1:7" ht="15.75" thickBot="1">
      <c r="A4" s="158" t="s">
        <v>385</v>
      </c>
      <c r="B4" s="5" t="b">
        <v>0</v>
      </c>
      <c r="C4" s="62" t="b">
        <f t="shared" si="0"/>
        <v>1</v>
      </c>
      <c r="D4" s="62" t="b">
        <f>AND(OR(B18,B17),C9,C11)</f>
        <v>0</v>
      </c>
      <c r="E4" s="4" t="b">
        <f>IF(D4,random!A10)</f>
        <v>0</v>
      </c>
    </row>
    <row r="5" spans="1:7" ht="15.75" thickBot="1">
      <c r="A5" s="162" t="s">
        <v>16</v>
      </c>
      <c r="B5" s="5" t="b">
        <v>0</v>
      </c>
      <c r="C5" s="62" t="b">
        <f t="shared" si="0"/>
        <v>1</v>
      </c>
      <c r="D5" s="62" t="b">
        <f>AND(B19,C3,C4,C6,C8)</f>
        <v>0</v>
      </c>
      <c r="E5" s="4" t="b">
        <f>IF(D5,random!A8)</f>
        <v>0</v>
      </c>
    </row>
    <row r="6" spans="1:7" ht="15.75" thickBot="1">
      <c r="A6" s="158" t="s">
        <v>12</v>
      </c>
      <c r="B6" s="5" t="b">
        <v>0</v>
      </c>
      <c r="C6" s="62" t="b">
        <f t="shared" si="0"/>
        <v>1</v>
      </c>
      <c r="D6" s="62" t="b">
        <f>OR(B20,B17)</f>
        <v>0</v>
      </c>
      <c r="E6" s="4" t="b">
        <f>IF(D6,random!A9)</f>
        <v>0</v>
      </c>
    </row>
    <row r="7" spans="1:7" ht="15.75" thickBot="1">
      <c r="A7" s="158" t="s">
        <v>13</v>
      </c>
      <c r="B7" s="5" t="b">
        <v>0</v>
      </c>
      <c r="C7" s="62" t="b">
        <f t="shared" si="0"/>
        <v>1</v>
      </c>
      <c r="D7" s="62" t="b">
        <f>AND(C11,OR(B21:B22))</f>
        <v>0</v>
      </c>
      <c r="E7" s="4" t="b">
        <f>IF(D7,random!A11)</f>
        <v>0</v>
      </c>
    </row>
    <row r="8" spans="1:7" ht="15.75" thickBot="1">
      <c r="A8" s="162" t="s">
        <v>17</v>
      </c>
      <c r="B8" s="5" t="b">
        <v>0</v>
      </c>
      <c r="C8" s="62" t="b">
        <f t="shared" si="0"/>
        <v>1</v>
      </c>
      <c r="D8" s="62" t="b">
        <f>AND(C4,C6,C10,C12,OR(B21:B22))</f>
        <v>0</v>
      </c>
      <c r="E8" s="4" t="b">
        <f>IF(D8,random!A12)</f>
        <v>0</v>
      </c>
    </row>
    <row r="9" spans="1:7" ht="15.75" thickBot="1">
      <c r="A9" s="162" t="s">
        <v>23</v>
      </c>
      <c r="B9" s="5" t="b">
        <v>0</v>
      </c>
      <c r="C9" s="62" t="b">
        <f t="shared" si="0"/>
        <v>1</v>
      </c>
      <c r="D9" s="62" t="b">
        <f>OR(B17,B19,B23)</f>
        <v>0</v>
      </c>
      <c r="E9" s="60" t="b">
        <f>IF(D9,random!A13)</f>
        <v>0</v>
      </c>
    </row>
    <row r="10" spans="1:7" ht="15.75" thickBot="1">
      <c r="A10" s="164" t="s">
        <v>384</v>
      </c>
      <c r="B10" s="5" t="b">
        <v>0</v>
      </c>
      <c r="C10" s="62" t="b">
        <f t="shared" si="0"/>
        <v>1</v>
      </c>
      <c r="D10" s="62" t="b">
        <f>B23</f>
        <v>0</v>
      </c>
      <c r="E10" s="56" t="b">
        <f>IF(D10,random!A14)</f>
        <v>0</v>
      </c>
    </row>
    <row r="11" spans="1:7" ht="15.75" thickBot="1">
      <c r="A11" s="171" t="s">
        <v>389</v>
      </c>
      <c r="B11" s="5" t="b">
        <v>0</v>
      </c>
      <c r="C11" s="62" t="b">
        <f t="shared" si="0"/>
        <v>1</v>
      </c>
      <c r="D11" s="62"/>
      <c r="E11" s="54"/>
    </row>
    <row r="12" spans="1:7" ht="15.75" thickBot="1">
      <c r="A12" s="171" t="s">
        <v>383</v>
      </c>
      <c r="B12" s="5" t="b">
        <v>0</v>
      </c>
      <c r="C12" s="62" t="b">
        <f t="shared" si="0"/>
        <v>1</v>
      </c>
      <c r="D12" s="62"/>
      <c r="E12" s="39"/>
      <c r="G12" s="32"/>
    </row>
    <row r="13" spans="1:7" ht="15.75" thickBot="1">
      <c r="A13" s="164" t="s">
        <v>1013</v>
      </c>
      <c r="B13" s="6" t="b">
        <v>0</v>
      </c>
      <c r="C13" s="62" t="b">
        <f>NOT(B13)</f>
        <v>1</v>
      </c>
      <c r="D13" s="53"/>
      <c r="E13" s="39"/>
    </row>
    <row r="14" spans="1:7" ht="15.75" thickBot="1">
      <c r="C14" s="53"/>
      <c r="D14" s="53"/>
    </row>
    <row r="15" spans="1:7" ht="15.75" thickTop="1">
      <c r="A15" s="3" t="s">
        <v>14</v>
      </c>
      <c r="B15" s="38" t="s">
        <v>18</v>
      </c>
      <c r="C15" s="52"/>
      <c r="D15" s="52"/>
      <c r="E15"/>
    </row>
    <row r="16" spans="1:7" ht="15.75" thickBot="1">
      <c r="B16" s="4"/>
      <c r="C16" s="53"/>
      <c r="D16" s="53"/>
      <c r="E16"/>
    </row>
    <row r="17" spans="1:5" ht="15.75" thickBot="1">
      <c r="A17" s="196" t="s">
        <v>0</v>
      </c>
      <c r="B17" s="5" t="b">
        <v>0</v>
      </c>
      <c r="C17" s="53"/>
      <c r="D17" s="53"/>
      <c r="E17"/>
    </row>
    <row r="18" spans="1:5" ht="15.75" thickBot="1">
      <c r="A18" s="196" t="s">
        <v>22</v>
      </c>
      <c r="B18" s="5" t="b">
        <v>0</v>
      </c>
      <c r="C18" s="53"/>
      <c r="D18" s="53"/>
      <c r="E18"/>
    </row>
    <row r="19" spans="1:5" ht="15.75" thickBot="1">
      <c r="A19" s="196" t="s">
        <v>1</v>
      </c>
      <c r="B19" s="5" t="b">
        <v>0</v>
      </c>
      <c r="C19" s="53"/>
      <c r="D19" s="53"/>
      <c r="E19"/>
    </row>
    <row r="20" spans="1:5" ht="15.75" thickBot="1">
      <c r="A20" s="196" t="s">
        <v>2</v>
      </c>
      <c r="B20" s="5" t="b">
        <v>0</v>
      </c>
      <c r="C20" s="53"/>
      <c r="D20" s="53"/>
      <c r="E20"/>
    </row>
    <row r="21" spans="1:5" ht="15.75" thickBot="1">
      <c r="A21" s="196" t="s">
        <v>9</v>
      </c>
      <c r="B21" s="5" t="b">
        <v>0</v>
      </c>
      <c r="C21" s="53"/>
      <c r="D21" s="53"/>
      <c r="E21"/>
    </row>
    <row r="22" spans="1:5" ht="15.75" thickBot="1">
      <c r="A22" s="196" t="s">
        <v>21</v>
      </c>
      <c r="B22" s="5" t="b">
        <v>0</v>
      </c>
      <c r="C22" s="53"/>
      <c r="D22" s="53"/>
      <c r="E22" s="10"/>
    </row>
    <row r="23" spans="1:5" ht="15.75" thickBot="1">
      <c r="A23" s="196" t="s">
        <v>37</v>
      </c>
      <c r="B23" s="5" t="b">
        <v>0</v>
      </c>
      <c r="C23" s="53"/>
      <c r="D23" s="53"/>
      <c r="E23" s="10"/>
    </row>
    <row r="24" spans="1:5" ht="15.75" thickBot="1">
      <c r="A24" s="161" t="s">
        <v>20</v>
      </c>
      <c r="B24" s="5" t="b">
        <v>0</v>
      </c>
      <c r="C24" s="62" t="b">
        <f>NOT(B24)</f>
        <v>1</v>
      </c>
      <c r="D24" s="53"/>
      <c r="E24"/>
    </row>
    <row r="25" spans="1:5" ht="15.75" thickBot="1">
      <c r="A25" s="166" t="s">
        <v>533</v>
      </c>
      <c r="B25" s="5" t="b">
        <v>0</v>
      </c>
      <c r="C25" s="62" t="b">
        <f t="shared" ref="C25:C26" si="1">NOT(B25)</f>
        <v>1</v>
      </c>
      <c r="D25" s="53"/>
      <c r="E25"/>
    </row>
    <row r="26" spans="1:5" ht="15.75" thickBot="1">
      <c r="A26" s="167" t="s">
        <v>1150</v>
      </c>
      <c r="B26" s="6" t="b">
        <v>0</v>
      </c>
      <c r="C26" s="62" t="b">
        <f t="shared" si="1"/>
        <v>1</v>
      </c>
      <c r="D26" s="9"/>
      <c r="E26"/>
    </row>
    <row r="27" spans="1:5" ht="15.75" thickTop="1">
      <c r="B27"/>
      <c r="C27"/>
      <c r="D27"/>
      <c r="E27"/>
    </row>
    <row r="28" spans="1:5">
      <c r="B28"/>
      <c r="C28"/>
      <c r="D28"/>
      <c r="E28"/>
    </row>
    <row r="29" spans="1:5">
      <c r="B29"/>
      <c r="C29"/>
      <c r="D29"/>
    </row>
    <row r="30" spans="1:5">
      <c r="B30"/>
      <c r="C30"/>
      <c r="D30"/>
    </row>
  </sheetData>
  <dataValidations xWindow="605" yWindow="492" count="2">
    <dataValidation allowBlank="1" showInputMessage="1" showErrorMessage="1" prompt="Consult your pharmacist if unsure" sqref="A5 A24:A26 A8:A12" xr:uid="{00000000-0002-0000-0700-000000000000}"/>
    <dataValidation allowBlank="1" showInputMessage="1" showErrorMessage="1" prompt="Consult your physician if unsure" sqref="A6 A3:A4 A17:A23 A13" xr:uid="{00000000-0002-0000-07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605" yWindow="492" count="21">
        <x14:dataValidation type="list" showInputMessage="1" showErrorMessage="1" error="Please answer as Yes or No" prompt="Consult your physician in the presence of severe throat pain, difficulty swallowing and/or painful swallowing." xr:uid="{00000000-0002-0000-0700-000002000000}">
          <x14:formula1>
            <xm:f>random!$A$2:$A$3</xm:f>
          </x14:formula1>
          <xm:sqref>B23</xm:sqref>
        </x14:dataValidation>
        <x14:dataValidation type="list" showInputMessage="1" showErrorMessage="1" error="Please answer as Yes or No" prompt="Consult your pharmacist or physician if you require codeine for cough suppression. Consult your physician for cough lasting more than 3 weeks. Consult your pharmacist if you have a persistent dry cough and are taking high blood pressure medication. " xr:uid="{00000000-0002-0000-0700-000003000000}">
          <x14:formula1>
            <xm:f>random!$A$2:$A$3</xm:f>
          </x14:formula1>
          <xm:sqref>B17</xm:sqref>
        </x14:dataValidation>
        <x14:dataValidation type="list" showInputMessage="1" showErrorMessage="1" error="Please answer as Yes or No" prompt="Thinning phelgm may help reduce cough. Avoid suppressing a productive cough unless sleep quality negatively impacted. Consult your physician in presence of bloody or colored sputum." xr:uid="{00000000-0002-0000-0700-000004000000}">
          <x14:formula1>
            <xm:f>random!$A$2:$A$3</xm:f>
          </x14:formula1>
          <xm:sqref>B20</xm:sqref>
        </x14:dataValidation>
        <x14:dataValidation type="list" showInputMessage="1" showErrorMessage="1" error="Please answer as Yes or No" prompt="Some adult liquid preperations may contain alcohol and should be avoided in pregnancy. Most products for children are available as easy to swallow flavored liquid preparations." xr:uid="{00000000-0002-0000-0700-000005000000}">
          <x14:formula1>
            <xm:f>random!$A$2:$A$3</xm:f>
          </x14:formula1>
          <xm:sqref>B24</xm:sqref>
        </x14:dataValidation>
        <x14:dataValidation type="list" showInputMessage="1" error="Please answer as Yes or No" prompt="Oral medications may provide broad/systemic action but are more likely to lead to adverse effects. " xr:uid="{00000000-0002-0000-0700-000006000000}">
          <x14:formula1>
            <xm:f>random!$A$2:$A$3</xm:f>
          </x14:formula1>
          <xm:sqref>B25</xm:sqref>
        </x14:dataValidation>
        <x14:dataValidation type="list" showInputMessage="1" showErrorMessage="1" error="Please answer as Yes or No" prompt="MAOIs include safinamide, linezolid, procarbazine, amphetamines (ADHD meds), methylene blue, rasagiline, moclobemide, selegiline, phenelzine and tranylcypromine. Consult your pharmacist if unsure " xr:uid="{00000000-0002-0000-0700-000007000000}">
          <x14:formula1>
            <xm:f>random!$A$2:$A$3</xm:f>
          </x14:formula1>
          <xm:sqref>B8</xm:sqref>
        </x14:dataValidation>
        <x14:dataValidation type="list" showInputMessage="1" showErrorMessage="1" error="Please answer as Yes or No" prompt="Anticholinergic and CNS depressants are medications that cause or enhance drowsiness. Consult your pharmacist if unsure." xr:uid="{00000000-0002-0000-0700-000008000000}">
          <x14:formula1>
            <xm:f>random!$A$2:$A$3</xm:f>
          </x14:formula1>
          <xm:sqref>B9</xm:sqref>
        </x14:dataValidation>
        <x14:dataValidation type="list" showInputMessage="1" showErrorMessage="1" error="Please answer as Yes or No" prompt="SSRIs include citalopram, escitalopram, fluoxetine, fluvoxamine, paroxetine and sertraline. SNRIs include venlafaxine, desvenlafaxine and duloxetine. Triptans include sumatriptan, almotriptan, frovatriptan, eletriptan, rizatriptan and naratriptan." xr:uid="{00000000-0002-0000-0700-000009000000}">
          <x14:formula1>
            <xm:f>random!$A$2:$A$3</xm:f>
          </x14:formula1>
          <xm:sqref>B5</xm:sqref>
        </x14:dataValidation>
        <x14:dataValidation type="list" showInputMessage="1" showErrorMessage="1" error="Please answer as Yes or No" prompt="Consult your physician if fever higher than 38°C in a child or lasting more than 3 days in an adult. Avoid use of NSAIDS in children with fever due to risk of Reye's Syndrome." xr:uid="{00000000-0002-0000-0700-00000A000000}">
          <x14:formula1>
            <xm:f>random!$A$2:$A$3</xm:f>
          </x14:formula1>
          <xm:sqref>B21</xm:sqref>
        </x14:dataValidation>
        <x14:dataValidation type="list" showInputMessage="1" showErrorMessage="1" error="Please answer as Yes or No" prompt="Dextromethorphan (cough suppressant), decongestants (pseudoephedrine) and alcohol containing products should be avoided in pregnant and/or breast feeding women" xr:uid="{00000000-0002-0000-0700-00000B000000}">
          <x14:formula1>
            <xm:f>random!$A$2:$A$3</xm:f>
          </x14:formula1>
          <xm:sqref>B6</xm:sqref>
        </x14:dataValidation>
        <x14:dataValidation type="list" showInputMessage="1" showErrorMessage="1" error="Please answer as Yes or No" prompt="Health Canada does not recommend many cough and cold ingredients in children younger than 6 yrs old. Consult your physician if child has signs of dehydration including sunken fontanel, absence of tears and/or decreased urination." xr:uid="{00000000-0002-0000-0700-00000C000000}">
          <x14:formula1>
            <xm:f>random!$A$2:$A$3</xm:f>
          </x14:formula1>
          <xm:sqref>B7</xm:sqref>
        </x14:dataValidation>
        <x14:dataValidation type="list" showInputMessage="1" showErrorMessage="1" error="Please answer as Yes or No" prompt="Preparations with decongestants and/or sugar may cause blood glucose levels to increase. Avoid use if you are diabetic. " xr:uid="{00000000-0002-0000-0700-00000D000000}">
          <x14:formula1>
            <xm:f>random!$A$2:$A$3</xm:f>
          </x14:formula1>
          <xm:sqref>B3</xm:sqref>
        </x14:dataValidation>
        <x14:dataValidation type="list" showInputMessage="1" showErrorMessage="1" error="Please answer as Yes or No" prompt="Decongestants (pseudoephedrine) may worsen hypertension, glaucoma, hyperthyroidism and seizures. Avoid use if you have these conditions." xr:uid="{00000000-0002-0000-0700-00000E000000}">
          <x14:formula1>
            <xm:f>random!$A$2:$A$3</xm:f>
          </x14:formula1>
          <xm:sqref>B4</xm:sqref>
        </x14:dataValidation>
        <x14:dataValidation type="list" showInputMessage="1" error="Please answer as Yes or No" prompt="Blood thinners include warfarin, aspirin, clopidogrel, dipyridamole, ticlopidine, ticagrelor, dabigatran, apixaban, rivaroxaban, dalteparin, etc. Ibuprofen may increase risk of bleeding. Counsult your pharmacist for further information." xr:uid="{00000000-0002-0000-0700-00000F000000}">
          <x14:formula1>
            <xm:f>random!$A$2:$A$3</xm:f>
          </x14:formula1>
          <xm:sqref>B12</xm:sqref>
        </x14:dataValidation>
        <x14:dataValidation type="list" showInputMessage="1" showErrorMessage="1" error="Please answer as Yes or No" prompt="Ibuprofen may worsen upset stomach and peptic ulcers. Avoid use if you have these medical conditions." xr:uid="{00000000-0002-0000-0700-000010000000}">
          <x14:formula1>
            <xm:f>random!$A$2:$A$3</xm:f>
          </x14:formula1>
          <xm:sqref>B10</xm:sqref>
        </x14:dataValidation>
        <x14:dataValidation type="list" showInputMessage="1" showErrorMessage="1" error="Please answer as Yes or No" prompt="Consult your physician if you have a respiratory disease, breathing difficulties, wheezing, stridor or chest pain while breathing." xr:uid="{00000000-0002-0000-0700-000011000000}">
          <x14:formula1>
            <xm:f>random!$A$2:$A$3</xm:f>
          </x14:formula1>
          <xm:sqref>B18</xm:sqref>
        </x14:dataValidation>
        <x14:dataValidation type="list" showInputMessage="1" showErrorMessage="1" error="Please answer as Yes or No" prompt="Consult your physician in presence of prolonged nasal congestion with purulent discharge. Consult your pharmacist for blocked ears or for access to single ingredient decongestant. " xr:uid="{00000000-0002-0000-0700-000012000000}">
          <x14:formula1>
            <xm:f>random!$A$2:$A$3</xm:f>
          </x14:formula1>
          <xm:sqref>B19</xm:sqref>
        </x14:dataValidation>
        <x14:dataValidation type="list" showInputMessage="1" showErrorMessage="1" error="Please answer as Yes or No" prompt="Consult your physician if you have a cold or flu with severe headache and/or neck pain. Avoid use of acetaminophen products with frequent alcohol use. Consult your pharmacist for further information." xr:uid="{00000000-0002-0000-0700-000013000000}">
          <x14:formula1>
            <xm:f>random!$A$2:$A$3</xm:f>
          </x14:formula1>
          <xm:sqref>B22</xm:sqref>
        </x14:dataValidation>
        <x14:dataValidation type="list" showInputMessage="1" showErrorMessage="1" error="Please answer as Yes or No" prompt="Alcohol may increase the risk of liver injury. Avoid use with acetaminophen. Alcohol may increase the risk of drowsiness. Avoid use with antihistamines." xr:uid="{00000000-0002-0000-0700-000014000000}">
          <x14:formula1>
            <xm:f>random!$A$2:$A$3</xm:f>
          </x14:formula1>
          <xm:sqref>B11</xm:sqref>
        </x14:dataValidation>
        <x14:dataValidation type="list" showInputMessage="1" error="Please answer as Yes or No" prompt="Topical medications may limit/reduce medication side effects while providing targeted action at the site of application. " xr:uid="{00000000-0002-0000-0700-000015000000}">
          <x14:formula1>
            <xm:f>random!$A$2:$A$3</xm:f>
          </x14:formula1>
          <xm:sqref>B26</xm:sqref>
        </x14:dataValidation>
        <x14:dataValidation type="list" showInputMessage="1" error="Please answer as Yes or No" prompt="Some products contain anesthetics to numb pain. Avoid use if you are sensitive or allergic to anesthetics." xr:uid="{00000000-0002-0000-0700-000016000000}">
          <x14:formula1>
            <xm:f>random!$A$2:$A$3</xm:f>
          </x14:formula1>
          <xm:sqref>B13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167"/>
  <sheetViews>
    <sheetView topLeftCell="B1" zoomScaleNormal="100" workbookViewId="0">
      <selection activeCell="D6" sqref="D6"/>
    </sheetView>
  </sheetViews>
  <sheetFormatPr defaultRowHeight="15"/>
  <cols>
    <col min="1" max="1" width="72.5703125" customWidth="1"/>
    <col min="2" max="2" width="10.7109375" customWidth="1"/>
    <col min="3" max="3" width="7.85546875" customWidth="1"/>
    <col min="4" max="4" width="10.28515625" customWidth="1"/>
    <col min="5" max="5" width="6.85546875" customWidth="1"/>
    <col min="6" max="6" width="9.140625" customWidth="1"/>
    <col min="7" max="7" width="20.42578125" customWidth="1"/>
    <col min="8" max="8" width="16.85546875" customWidth="1"/>
    <col min="9" max="9" width="15.7109375" customWidth="1"/>
    <col min="10" max="10" width="14.28515625" customWidth="1"/>
    <col min="11" max="11" width="9.28515625" customWidth="1"/>
    <col min="12" max="12" width="14.85546875" customWidth="1"/>
    <col min="13" max="15" width="14.28515625" customWidth="1"/>
    <col min="16" max="16" width="9.140625" style="71"/>
    <col min="17" max="17" width="99.140625" style="122" customWidth="1"/>
  </cols>
  <sheetData>
    <row r="1" spans="1:17" ht="16.5" customHeight="1" thickTop="1" thickBot="1">
      <c r="A1" s="63" t="s">
        <v>1248</v>
      </c>
      <c r="B1" s="200" t="s">
        <v>1716</v>
      </c>
      <c r="C1" s="200" t="s">
        <v>915</v>
      </c>
      <c r="D1" s="200" t="s">
        <v>1471</v>
      </c>
      <c r="E1" s="200" t="s">
        <v>1896</v>
      </c>
      <c r="F1" s="200" t="s">
        <v>1895</v>
      </c>
      <c r="G1" s="12" t="s">
        <v>8</v>
      </c>
      <c r="H1" s="12" t="s">
        <v>7</v>
      </c>
      <c r="I1" s="12" t="s">
        <v>5</v>
      </c>
      <c r="J1" s="12" t="s">
        <v>6</v>
      </c>
      <c r="K1" s="12" t="s">
        <v>162</v>
      </c>
      <c r="L1" s="12" t="s">
        <v>112</v>
      </c>
      <c r="M1" s="59" t="s">
        <v>36</v>
      </c>
      <c r="N1" s="36" t="s">
        <v>362</v>
      </c>
      <c r="O1" s="36" t="s">
        <v>359</v>
      </c>
      <c r="P1" s="110" t="s">
        <v>25</v>
      </c>
      <c r="Q1" s="124" t="s">
        <v>26</v>
      </c>
    </row>
    <row r="2" spans="1:17" ht="15.75" thickTop="1">
      <c r="A2" s="57" t="b">
        <f>IF(P2=TRUE,Q2)</f>
        <v>0</v>
      </c>
      <c r="B2" s="20" t="b">
        <f>AND('Cough &amp; Cold Criteria'!B7)</f>
        <v>0</v>
      </c>
      <c r="C2" s="17"/>
      <c r="D2" s="17"/>
      <c r="E2" s="20" t="b">
        <f>AND('Cough &amp; Cold Criteria'!B25,'Cough &amp; Cold Criteria'!C24,'Cough &amp; Cold Criteria'!C26)</f>
        <v>0</v>
      </c>
      <c r="F2" s="17"/>
      <c r="G2" s="13"/>
      <c r="H2" s="35" t="b">
        <f>AND('Cough &amp; Cold Criteria'!C9,'Cough &amp; Cold Criteria'!C11,OR('Cough &amp; Cold Criteria'!B17:B18))</f>
        <v>0</v>
      </c>
      <c r="I2" s="13"/>
      <c r="J2" s="13"/>
      <c r="K2" s="13"/>
      <c r="L2" s="35" t="b">
        <f>AND('Cough &amp; Cold Criteria'!C4,'Cough &amp; Cold Criteria'!C6,'Cough &amp; Cold Criteria'!C10,'Cough &amp; Cold Criteria'!C12,OR('Cough &amp; Cold Criteria'!B21:B22))</f>
        <v>0</v>
      </c>
      <c r="M2" s="14"/>
      <c r="N2" s="14"/>
      <c r="O2" s="14"/>
      <c r="P2" s="109" t="b">
        <f>AND(B2:O2)</f>
        <v>0</v>
      </c>
      <c r="Q2" s="117" t="s">
        <v>47</v>
      </c>
    </row>
    <row r="3" spans="1:17">
      <c r="A3" s="57" t="b">
        <f t="shared" ref="A3:A14" si="0">IF(P3=TRUE,Q3)</f>
        <v>0</v>
      </c>
      <c r="B3" s="20" t="b">
        <f>B2</f>
        <v>0</v>
      </c>
      <c r="C3" s="17"/>
      <c r="D3" s="17"/>
      <c r="E3" s="20" t="b">
        <f>E2</f>
        <v>0</v>
      </c>
      <c r="F3" s="17"/>
      <c r="G3" s="14"/>
      <c r="H3" s="35" t="b">
        <f>H2</f>
        <v>0</v>
      </c>
      <c r="I3" s="13"/>
      <c r="J3" s="13"/>
      <c r="K3" s="13"/>
      <c r="L3" s="35" t="b">
        <f>L2</f>
        <v>0</v>
      </c>
      <c r="M3" s="13"/>
      <c r="N3" s="13"/>
      <c r="O3" s="13"/>
      <c r="P3" s="109" t="b">
        <f t="shared" ref="P3:P66" si="1">AND(B3:O3)</f>
        <v>0</v>
      </c>
      <c r="Q3" s="117" t="s">
        <v>48</v>
      </c>
    </row>
    <row r="4" spans="1:17">
      <c r="A4" s="57" t="b">
        <f t="shared" si="0"/>
        <v>0</v>
      </c>
      <c r="B4" s="20" t="b">
        <f>B2</f>
        <v>0</v>
      </c>
      <c r="C4" s="17"/>
      <c r="D4" s="17"/>
      <c r="E4" s="20" t="b">
        <f>E2</f>
        <v>0</v>
      </c>
      <c r="F4" s="17"/>
      <c r="G4" s="13"/>
      <c r="H4" s="13"/>
      <c r="I4" s="35" t="b">
        <f>AND('Cough &amp; Cold Criteria'!C3:C4,'Cough &amp; Cold Criteria'!C6,'Cough &amp; Cold Criteria'!C8,'Cough &amp; Cold Criteria'!B19)</f>
        <v>0</v>
      </c>
      <c r="J4" s="13"/>
      <c r="K4" s="13"/>
      <c r="L4" s="35" t="b">
        <f>L2</f>
        <v>0</v>
      </c>
      <c r="M4" s="13"/>
      <c r="N4" s="13"/>
      <c r="O4" s="13"/>
      <c r="P4" s="109" t="b">
        <f t="shared" si="1"/>
        <v>0</v>
      </c>
      <c r="Q4" s="117" t="s">
        <v>49</v>
      </c>
    </row>
    <row r="5" spans="1:17">
      <c r="A5" s="57" t="b">
        <f t="shared" si="0"/>
        <v>0</v>
      </c>
      <c r="B5" s="20" t="b">
        <f>B2</f>
        <v>0</v>
      </c>
      <c r="C5" s="17"/>
      <c r="D5" s="17"/>
      <c r="E5" s="20" t="b">
        <f>E2</f>
        <v>0</v>
      </c>
      <c r="F5" s="17"/>
      <c r="G5" s="13"/>
      <c r="H5" s="35" t="b">
        <f>H2</f>
        <v>0</v>
      </c>
      <c r="I5" s="35" t="b">
        <f>I4</f>
        <v>0</v>
      </c>
      <c r="J5" s="13"/>
      <c r="K5" s="13"/>
      <c r="L5" s="35" t="b">
        <f>L2</f>
        <v>0</v>
      </c>
      <c r="M5" s="13"/>
      <c r="N5" s="13"/>
      <c r="O5" s="13"/>
      <c r="P5" s="109" t="b">
        <f t="shared" si="1"/>
        <v>0</v>
      </c>
      <c r="Q5" s="117" t="s">
        <v>50</v>
      </c>
    </row>
    <row r="6" spans="1:17">
      <c r="A6" s="57" t="b">
        <f t="shared" si="0"/>
        <v>0</v>
      </c>
      <c r="B6" s="20" t="b">
        <f>B2</f>
        <v>0</v>
      </c>
      <c r="C6" s="17"/>
      <c r="D6" s="17"/>
      <c r="E6" s="20" t="b">
        <f>E2</f>
        <v>0</v>
      </c>
      <c r="F6" s="17"/>
      <c r="G6" s="13"/>
      <c r="H6" s="13"/>
      <c r="I6" s="35" t="b">
        <f>I4</f>
        <v>0</v>
      </c>
      <c r="J6" s="13"/>
      <c r="K6" s="13"/>
      <c r="L6" s="35" t="b">
        <f>L2</f>
        <v>0</v>
      </c>
      <c r="M6" s="13"/>
      <c r="N6" s="13"/>
      <c r="O6" s="13"/>
      <c r="P6" s="109" t="b">
        <f t="shared" si="1"/>
        <v>0</v>
      </c>
      <c r="Q6" s="117" t="s">
        <v>51</v>
      </c>
    </row>
    <row r="7" spans="1:17">
      <c r="A7" s="57" t="b">
        <f t="shared" si="0"/>
        <v>0</v>
      </c>
      <c r="B7" s="20" t="b">
        <f>B2</f>
        <v>0</v>
      </c>
      <c r="C7" s="17"/>
      <c r="D7" s="17"/>
      <c r="E7" s="20" t="b">
        <f>E2</f>
        <v>0</v>
      </c>
      <c r="F7" s="17"/>
      <c r="G7" s="13"/>
      <c r="H7" s="35" t="b">
        <f>H2</f>
        <v>0</v>
      </c>
      <c r="I7" s="35" t="b">
        <f>I4</f>
        <v>0</v>
      </c>
      <c r="J7" s="13"/>
      <c r="K7" s="13"/>
      <c r="L7" s="35" t="b">
        <f>L2</f>
        <v>0</v>
      </c>
      <c r="M7" s="13"/>
      <c r="N7" s="13"/>
      <c r="O7" s="13"/>
      <c r="P7" s="109" t="b">
        <f t="shared" si="1"/>
        <v>0</v>
      </c>
      <c r="Q7" s="117" t="s">
        <v>52</v>
      </c>
    </row>
    <row r="8" spans="1:17">
      <c r="A8" s="57" t="b">
        <f t="shared" si="0"/>
        <v>0</v>
      </c>
      <c r="B8" s="20" t="b">
        <f>B2</f>
        <v>0</v>
      </c>
      <c r="C8" s="17"/>
      <c r="D8" s="17"/>
      <c r="E8" s="20" t="b">
        <f>E2</f>
        <v>0</v>
      </c>
      <c r="F8" s="17"/>
      <c r="G8" s="13"/>
      <c r="H8" s="35" t="b">
        <f>H2</f>
        <v>0</v>
      </c>
      <c r="I8" s="35" t="b">
        <f>I4</f>
        <v>0</v>
      </c>
      <c r="J8" s="13"/>
      <c r="K8" s="13"/>
      <c r="L8" s="35" t="b">
        <f>L2</f>
        <v>0</v>
      </c>
      <c r="M8" s="13"/>
      <c r="N8" s="13"/>
      <c r="O8" s="13"/>
      <c r="P8" s="109" t="b">
        <f t="shared" si="1"/>
        <v>0</v>
      </c>
      <c r="Q8" s="117" t="s">
        <v>53</v>
      </c>
    </row>
    <row r="9" spans="1:17">
      <c r="A9" s="57" t="b">
        <f t="shared" si="0"/>
        <v>0</v>
      </c>
      <c r="B9" s="20" t="b">
        <f>B2</f>
        <v>0</v>
      </c>
      <c r="C9" s="17"/>
      <c r="D9" s="17"/>
      <c r="E9" s="20" t="b">
        <f>E2</f>
        <v>0</v>
      </c>
      <c r="F9" s="17"/>
      <c r="G9" s="13"/>
      <c r="H9" s="35" t="b">
        <f>H2</f>
        <v>0</v>
      </c>
      <c r="I9" s="35" t="b">
        <f>I4</f>
        <v>0</v>
      </c>
      <c r="J9" s="13"/>
      <c r="K9" s="13"/>
      <c r="L9" s="35" t="b">
        <f>L2</f>
        <v>0</v>
      </c>
      <c r="M9" s="13"/>
      <c r="N9" s="13"/>
      <c r="O9" s="13"/>
      <c r="P9" s="109" t="b">
        <f t="shared" si="1"/>
        <v>0</v>
      </c>
      <c r="Q9" s="117" t="s">
        <v>54</v>
      </c>
    </row>
    <row r="10" spans="1:17">
      <c r="A10" s="57" t="b">
        <f t="shared" si="0"/>
        <v>0</v>
      </c>
      <c r="B10" s="17"/>
      <c r="C10" s="20" t="b">
        <f>AND('Cough &amp; Cold Criteria'!C7)</f>
        <v>1</v>
      </c>
      <c r="D10" s="20" t="b">
        <f>AND('Cough &amp; Cold Criteria'!B24,'Cough &amp; Cold Criteria'!C25:C26,'Cough &amp; Cold Criteria'!C6)</f>
        <v>0</v>
      </c>
      <c r="E10" s="17"/>
      <c r="F10" s="17"/>
      <c r="G10" s="13"/>
      <c r="H10" s="13"/>
      <c r="I10" s="13"/>
      <c r="J10" s="13"/>
      <c r="K10" s="13"/>
      <c r="L10" s="35" t="b">
        <f>L2</f>
        <v>0</v>
      </c>
      <c r="M10" s="13"/>
      <c r="N10" s="13"/>
      <c r="O10" s="13"/>
      <c r="P10" s="109" t="b">
        <f t="shared" si="1"/>
        <v>0</v>
      </c>
      <c r="Q10" s="117" t="s">
        <v>55</v>
      </c>
    </row>
    <row r="11" spans="1:17">
      <c r="A11" s="57" t="b">
        <f t="shared" si="0"/>
        <v>0</v>
      </c>
      <c r="B11" s="17"/>
      <c r="C11" s="20" t="b">
        <f>C10</f>
        <v>1</v>
      </c>
      <c r="D11" s="20" t="b">
        <f>D10</f>
        <v>0</v>
      </c>
      <c r="E11" s="17"/>
      <c r="F11" s="17"/>
      <c r="G11" s="13"/>
      <c r="H11" s="13"/>
      <c r="I11" s="35" t="b">
        <f>I4</f>
        <v>0</v>
      </c>
      <c r="J11" s="13"/>
      <c r="K11" s="13"/>
      <c r="L11" s="35" t="b">
        <f>L2</f>
        <v>0</v>
      </c>
      <c r="M11" s="13"/>
      <c r="N11" s="13"/>
      <c r="O11" s="13"/>
      <c r="P11" s="109" t="b">
        <f t="shared" si="1"/>
        <v>0</v>
      </c>
      <c r="Q11" s="117" t="s">
        <v>542</v>
      </c>
    </row>
    <row r="12" spans="1:17">
      <c r="A12" s="57" t="b">
        <f t="shared" si="0"/>
        <v>0</v>
      </c>
      <c r="B12" s="17"/>
      <c r="C12" s="20" t="b">
        <f>C10</f>
        <v>1</v>
      </c>
      <c r="D12" s="20" t="b">
        <f>D10</f>
        <v>0</v>
      </c>
      <c r="E12" s="17"/>
      <c r="F12" s="17"/>
      <c r="G12" s="13"/>
      <c r="H12" s="35" t="b">
        <f>H2</f>
        <v>0</v>
      </c>
      <c r="I12" s="35" t="b">
        <f>I4</f>
        <v>0</v>
      </c>
      <c r="J12" s="13"/>
      <c r="K12" s="13"/>
      <c r="L12" s="35" t="b">
        <f>L2</f>
        <v>0</v>
      </c>
      <c r="M12" s="13"/>
      <c r="N12" s="13"/>
      <c r="O12" s="13"/>
      <c r="P12" s="109" t="b">
        <f t="shared" si="1"/>
        <v>0</v>
      </c>
      <c r="Q12" s="117" t="s">
        <v>541</v>
      </c>
    </row>
    <row r="13" spans="1:17">
      <c r="A13" s="57" t="b">
        <f t="shared" si="0"/>
        <v>0</v>
      </c>
      <c r="B13" s="17"/>
      <c r="C13" s="20" t="b">
        <f>C10</f>
        <v>1</v>
      </c>
      <c r="D13" s="20" t="b">
        <f>D10</f>
        <v>0</v>
      </c>
      <c r="E13" s="17"/>
      <c r="F13" s="17"/>
      <c r="G13" s="13"/>
      <c r="H13" s="13"/>
      <c r="I13" s="13"/>
      <c r="J13" s="13"/>
      <c r="K13" s="13"/>
      <c r="L13" s="35" t="b">
        <f>L2</f>
        <v>0</v>
      </c>
      <c r="M13" s="13"/>
      <c r="N13" s="13"/>
      <c r="O13" s="13"/>
      <c r="P13" s="109" t="b">
        <f t="shared" si="1"/>
        <v>0</v>
      </c>
      <c r="Q13" s="117" t="s">
        <v>543</v>
      </c>
    </row>
    <row r="14" spans="1:17">
      <c r="A14" s="57" t="b">
        <f t="shared" si="0"/>
        <v>0</v>
      </c>
      <c r="B14" s="17"/>
      <c r="C14" s="20" t="b">
        <f>C10</f>
        <v>1</v>
      </c>
      <c r="D14" s="17"/>
      <c r="E14" s="20" t="b">
        <f>E2</f>
        <v>0</v>
      </c>
      <c r="F14" s="17"/>
      <c r="G14" s="13"/>
      <c r="H14" s="13"/>
      <c r="I14" s="13"/>
      <c r="J14" s="13"/>
      <c r="K14" s="13"/>
      <c r="L14" s="35" t="b">
        <f>L2</f>
        <v>0</v>
      </c>
      <c r="M14" s="13"/>
      <c r="N14" s="13"/>
      <c r="O14" s="13"/>
      <c r="P14" s="109" t="b">
        <f t="shared" si="1"/>
        <v>0</v>
      </c>
      <c r="Q14" s="117" t="s">
        <v>544</v>
      </c>
    </row>
    <row r="15" spans="1:17">
      <c r="A15" s="58"/>
      <c r="B15" s="16"/>
      <c r="C15" s="16"/>
      <c r="D15" s="16"/>
      <c r="E15" s="16"/>
      <c r="F15" s="16"/>
      <c r="G15" s="15"/>
      <c r="H15" s="15"/>
      <c r="I15" s="15"/>
      <c r="J15" s="15"/>
      <c r="K15" s="15"/>
      <c r="L15" s="15"/>
      <c r="M15" s="15"/>
      <c r="N15" s="15"/>
      <c r="O15" s="15"/>
      <c r="P15" s="75"/>
      <c r="Q15" s="111"/>
    </row>
    <row r="16" spans="1:17">
      <c r="A16" s="57" t="b">
        <f>IF(P16=TRUE,Q16)</f>
        <v>0</v>
      </c>
      <c r="B16" s="20" t="b">
        <f>B2</f>
        <v>0</v>
      </c>
      <c r="C16" s="17"/>
      <c r="D16" s="17"/>
      <c r="E16" s="20" t="b">
        <f>E2</f>
        <v>0</v>
      </c>
      <c r="F16" s="17"/>
      <c r="G16" s="13"/>
      <c r="H16" s="13"/>
      <c r="I16" s="35" t="b">
        <f>I4</f>
        <v>0</v>
      </c>
      <c r="J16" s="13"/>
      <c r="K16" s="35" t="b">
        <f>AND('Cough &amp; Cold Criteria'!C11,OR('Cough &amp; Cold Criteria'!B21:B22))</f>
        <v>0</v>
      </c>
      <c r="L16" s="13"/>
      <c r="M16" s="13"/>
      <c r="N16" s="13"/>
      <c r="O16" s="13"/>
      <c r="P16" s="109" t="b">
        <f t="shared" si="1"/>
        <v>0</v>
      </c>
      <c r="Q16" s="119" t="s">
        <v>27</v>
      </c>
    </row>
    <row r="17" spans="1:17">
      <c r="A17" s="57" t="b">
        <f t="shared" ref="A17:A80" si="2">IF(P17=TRUE,Q17)</f>
        <v>0</v>
      </c>
      <c r="B17" s="17"/>
      <c r="C17" s="20" t="b">
        <f>C10</f>
        <v>1</v>
      </c>
      <c r="D17" s="17"/>
      <c r="E17" s="20" t="b">
        <f>E2</f>
        <v>0</v>
      </c>
      <c r="F17" s="17"/>
      <c r="G17" s="13"/>
      <c r="H17" s="13"/>
      <c r="I17" s="13"/>
      <c r="J17" s="13"/>
      <c r="K17" s="35" t="b">
        <f>K16</f>
        <v>0</v>
      </c>
      <c r="L17" s="13"/>
      <c r="M17" s="13"/>
      <c r="N17" s="13"/>
      <c r="O17" s="13"/>
      <c r="P17" s="109" t="b">
        <f t="shared" si="1"/>
        <v>0</v>
      </c>
      <c r="Q17" s="119" t="s">
        <v>44</v>
      </c>
    </row>
    <row r="18" spans="1:17">
      <c r="A18" s="57" t="b">
        <f t="shared" si="2"/>
        <v>0</v>
      </c>
      <c r="B18" s="20" t="b">
        <f>B2</f>
        <v>0</v>
      </c>
      <c r="C18" s="17"/>
      <c r="D18" s="17"/>
      <c r="E18" s="20" t="b">
        <f>E2</f>
        <v>0</v>
      </c>
      <c r="F18" s="17"/>
      <c r="G18" s="35" t="b">
        <f>AND('Cough &amp; Cold Criteria'!C5,'Cough &amp; Cold Criteria'!C6,'Cough &amp; Cold Criteria'!C8,'Cough &amp; Cold Criteria'!B17)</f>
        <v>0</v>
      </c>
      <c r="H18" s="35" t="b">
        <f>H2</f>
        <v>0</v>
      </c>
      <c r="I18" s="35" t="b">
        <f>I4</f>
        <v>0</v>
      </c>
      <c r="J18" s="35" t="b">
        <f>OR('Cough &amp; Cold Criteria'!B17,'Cough &amp; Cold Criteria'!B20)</f>
        <v>0</v>
      </c>
      <c r="K18" s="35" t="b">
        <f>K16</f>
        <v>0</v>
      </c>
      <c r="L18" s="13"/>
      <c r="M18" s="13"/>
      <c r="N18" s="13"/>
      <c r="O18" s="13"/>
      <c r="P18" s="109" t="b">
        <f t="shared" si="1"/>
        <v>0</v>
      </c>
      <c r="Q18" s="119" t="s">
        <v>28</v>
      </c>
    </row>
    <row r="19" spans="1:17">
      <c r="A19" s="57" t="b">
        <f t="shared" si="2"/>
        <v>0</v>
      </c>
      <c r="B19" s="20" t="b">
        <f>B2</f>
        <v>0</v>
      </c>
      <c r="C19" s="17"/>
      <c r="D19" s="17"/>
      <c r="E19" s="20" t="b">
        <f>E2</f>
        <v>0</v>
      </c>
      <c r="F19" s="17"/>
      <c r="G19" s="35" t="b">
        <f>G18</f>
        <v>0</v>
      </c>
      <c r="H19" s="13"/>
      <c r="I19" s="35" t="b">
        <f>I4</f>
        <v>0</v>
      </c>
      <c r="J19" s="35" t="b">
        <f>J18</f>
        <v>0</v>
      </c>
      <c r="K19" s="35" t="b">
        <f>K16</f>
        <v>0</v>
      </c>
      <c r="L19" s="13"/>
      <c r="M19" s="13"/>
      <c r="N19" s="13"/>
      <c r="O19" s="13"/>
      <c r="P19" s="109" t="b">
        <f t="shared" si="1"/>
        <v>0</v>
      </c>
      <c r="Q19" s="119" t="s">
        <v>29</v>
      </c>
    </row>
    <row r="20" spans="1:17">
      <c r="A20" s="57" t="b">
        <f t="shared" si="2"/>
        <v>0</v>
      </c>
      <c r="B20" s="20" t="b">
        <f>B2</f>
        <v>0</v>
      </c>
      <c r="C20" s="17"/>
      <c r="D20" s="20" t="b">
        <f>D10</f>
        <v>0</v>
      </c>
      <c r="E20" s="17"/>
      <c r="F20" s="17"/>
      <c r="G20" s="35" t="b">
        <f>G18</f>
        <v>0</v>
      </c>
      <c r="H20" s="13"/>
      <c r="I20" s="35" t="b">
        <f>I4</f>
        <v>0</v>
      </c>
      <c r="J20" s="35" t="b">
        <f>J18</f>
        <v>0</v>
      </c>
      <c r="K20" s="35" t="b">
        <f>K16</f>
        <v>0</v>
      </c>
      <c r="L20" s="13"/>
      <c r="M20" s="35" t="b">
        <f>OR('Cough &amp; Cold Criteria'!B17,'Cough &amp; Cold Criteria'!B19,'Cough &amp; Cold Criteria'!B23)</f>
        <v>0</v>
      </c>
      <c r="N20" s="13"/>
      <c r="O20" s="13"/>
      <c r="P20" s="109" t="b">
        <f t="shared" si="1"/>
        <v>0</v>
      </c>
      <c r="Q20" s="119" t="s">
        <v>30</v>
      </c>
    </row>
    <row r="21" spans="1:17">
      <c r="A21" s="57" t="b">
        <f t="shared" si="2"/>
        <v>0</v>
      </c>
      <c r="B21" s="20" t="b">
        <f>B2</f>
        <v>0</v>
      </c>
      <c r="C21" s="17"/>
      <c r="D21" s="20" t="b">
        <f>D10</f>
        <v>0</v>
      </c>
      <c r="E21" s="17"/>
      <c r="F21" s="17"/>
      <c r="G21" s="35" t="b">
        <f>G18</f>
        <v>0</v>
      </c>
      <c r="H21" s="35" t="b">
        <f>H2</f>
        <v>0</v>
      </c>
      <c r="I21" s="35" t="b">
        <f>I4</f>
        <v>0</v>
      </c>
      <c r="J21" s="35" t="b">
        <f>J18</f>
        <v>0</v>
      </c>
      <c r="K21" s="35" t="b">
        <f>K16</f>
        <v>0</v>
      </c>
      <c r="L21" s="13"/>
      <c r="M21" s="35" t="b">
        <f>M20</f>
        <v>0</v>
      </c>
      <c r="N21" s="13"/>
      <c r="O21" s="13"/>
      <c r="P21" s="109" t="b">
        <f t="shared" si="1"/>
        <v>0</v>
      </c>
      <c r="Q21" s="118" t="s">
        <v>31</v>
      </c>
    </row>
    <row r="22" spans="1:17">
      <c r="A22" s="57" t="b">
        <f t="shared" si="2"/>
        <v>0</v>
      </c>
      <c r="B22" s="20" t="b">
        <f>B2</f>
        <v>0</v>
      </c>
      <c r="C22" s="17"/>
      <c r="D22" s="17"/>
      <c r="E22" s="20" t="b">
        <f>E2</f>
        <v>0</v>
      </c>
      <c r="F22" s="17"/>
      <c r="G22" s="35" t="b">
        <f>G18</f>
        <v>0</v>
      </c>
      <c r="H22" s="35" t="b">
        <f>H2</f>
        <v>0</v>
      </c>
      <c r="I22" s="35" t="b">
        <f>I4</f>
        <v>0</v>
      </c>
      <c r="J22" s="13"/>
      <c r="K22" s="35" t="b">
        <f>K16</f>
        <v>0</v>
      </c>
      <c r="L22" s="13"/>
      <c r="M22" s="13"/>
      <c r="N22" s="13"/>
      <c r="O22" s="13"/>
      <c r="P22" s="109" t="b">
        <f t="shared" si="1"/>
        <v>0</v>
      </c>
      <c r="Q22" s="119" t="s">
        <v>32</v>
      </c>
    </row>
    <row r="23" spans="1:17">
      <c r="A23" s="57" t="b">
        <f t="shared" si="2"/>
        <v>0</v>
      </c>
      <c r="B23" s="20" t="b">
        <f>B2</f>
        <v>0</v>
      </c>
      <c r="C23" s="17"/>
      <c r="D23" s="17"/>
      <c r="E23" s="20" t="b">
        <f>E2</f>
        <v>0</v>
      </c>
      <c r="F23" s="17"/>
      <c r="G23" s="35" t="b">
        <f>G18</f>
        <v>0</v>
      </c>
      <c r="H23" s="35" t="b">
        <f>H2</f>
        <v>0</v>
      </c>
      <c r="I23" s="35" t="b">
        <f>I4</f>
        <v>0</v>
      </c>
      <c r="J23" s="13"/>
      <c r="K23" s="35" t="b">
        <f>K16</f>
        <v>0</v>
      </c>
      <c r="L23" s="13"/>
      <c r="M23" s="13"/>
      <c r="N23" s="13"/>
      <c r="O23" s="13"/>
      <c r="P23" s="109" t="b">
        <f t="shared" si="1"/>
        <v>0</v>
      </c>
      <c r="Q23" s="119" t="s">
        <v>33</v>
      </c>
    </row>
    <row r="24" spans="1:17">
      <c r="A24" s="57" t="b">
        <f t="shared" si="2"/>
        <v>0</v>
      </c>
      <c r="B24" s="20" t="b">
        <f>B2</f>
        <v>0</v>
      </c>
      <c r="C24" s="17"/>
      <c r="D24" s="17"/>
      <c r="E24" s="20" t="b">
        <f>E2</f>
        <v>0</v>
      </c>
      <c r="F24" s="17"/>
      <c r="G24" s="13"/>
      <c r="H24" s="35" t="b">
        <f>H2</f>
        <v>0</v>
      </c>
      <c r="I24" s="35" t="b">
        <f>I4</f>
        <v>0</v>
      </c>
      <c r="J24" s="13"/>
      <c r="K24" s="35" t="b">
        <f>K16</f>
        <v>0</v>
      </c>
      <c r="L24" s="13"/>
      <c r="M24" s="13"/>
      <c r="N24" s="13"/>
      <c r="O24" s="13"/>
      <c r="P24" s="109" t="b">
        <f t="shared" si="1"/>
        <v>0</v>
      </c>
      <c r="Q24" s="119" t="s">
        <v>34</v>
      </c>
    </row>
    <row r="25" spans="1:17">
      <c r="A25" s="57" t="b">
        <f t="shared" si="2"/>
        <v>0</v>
      </c>
      <c r="B25" s="20" t="b">
        <f>B2</f>
        <v>0</v>
      </c>
      <c r="C25" s="17"/>
      <c r="D25" s="17"/>
      <c r="E25" s="20" t="b">
        <f>E2</f>
        <v>0</v>
      </c>
      <c r="F25" s="17"/>
      <c r="G25" s="13"/>
      <c r="H25" s="35" t="b">
        <f>H2</f>
        <v>0</v>
      </c>
      <c r="I25" s="35" t="b">
        <f>I4</f>
        <v>0</v>
      </c>
      <c r="J25" s="13"/>
      <c r="K25" s="35" t="b">
        <f>K16</f>
        <v>0</v>
      </c>
      <c r="L25" s="13"/>
      <c r="M25" s="13"/>
      <c r="N25" s="13"/>
      <c r="O25" s="13"/>
      <c r="P25" s="109" t="b">
        <f t="shared" si="1"/>
        <v>0</v>
      </c>
      <c r="Q25" s="119" t="s">
        <v>35</v>
      </c>
    </row>
    <row r="26" spans="1:17">
      <c r="A26" s="57" t="b">
        <f t="shared" si="2"/>
        <v>0</v>
      </c>
      <c r="B26" s="17"/>
      <c r="C26" s="20" t="b">
        <f>C10</f>
        <v>1</v>
      </c>
      <c r="D26" s="20" t="b">
        <f>D10</f>
        <v>0</v>
      </c>
      <c r="E26" s="17"/>
      <c r="F26" s="17"/>
      <c r="G26" s="13"/>
      <c r="H26" s="13"/>
      <c r="I26" s="13"/>
      <c r="J26" s="13"/>
      <c r="K26" s="35" t="b">
        <f>K16</f>
        <v>0</v>
      </c>
      <c r="L26" s="13"/>
      <c r="M26" s="13"/>
      <c r="N26" s="13"/>
      <c r="O26" s="13"/>
      <c r="P26" s="109" t="b">
        <f t="shared" si="1"/>
        <v>0</v>
      </c>
      <c r="Q26" s="119" t="s">
        <v>45</v>
      </c>
    </row>
    <row r="27" spans="1:17">
      <c r="A27" s="57" t="b">
        <f t="shared" si="2"/>
        <v>0</v>
      </c>
      <c r="B27" s="17"/>
      <c r="C27" s="20" t="b">
        <f>C10</f>
        <v>1</v>
      </c>
      <c r="D27" s="20" t="b">
        <f>D10</f>
        <v>0</v>
      </c>
      <c r="E27" s="17"/>
      <c r="F27" s="17"/>
      <c r="G27" s="13"/>
      <c r="H27" s="13"/>
      <c r="I27" s="13"/>
      <c r="J27" s="13"/>
      <c r="K27" s="35" t="b">
        <f>K16</f>
        <v>0</v>
      </c>
      <c r="L27" s="13"/>
      <c r="M27" s="13"/>
      <c r="N27" s="13"/>
      <c r="O27" s="13"/>
      <c r="P27" s="109" t="b">
        <f t="shared" si="1"/>
        <v>0</v>
      </c>
      <c r="Q27" s="119" t="s">
        <v>46</v>
      </c>
    </row>
    <row r="28" spans="1:17">
      <c r="A28" s="57" t="b">
        <f t="shared" si="2"/>
        <v>0</v>
      </c>
      <c r="B28" s="17"/>
      <c r="C28" s="20" t="b">
        <f>C10</f>
        <v>1</v>
      </c>
      <c r="D28" s="20" t="b">
        <f>D10</f>
        <v>0</v>
      </c>
      <c r="E28" s="17"/>
      <c r="F28" s="17"/>
      <c r="G28" s="13"/>
      <c r="H28" s="13"/>
      <c r="I28" s="35" t="b">
        <f>I4</f>
        <v>0</v>
      </c>
      <c r="J28" s="13"/>
      <c r="K28" s="35" t="b">
        <f>K16</f>
        <v>0</v>
      </c>
      <c r="L28" s="13"/>
      <c r="M28" s="13"/>
      <c r="N28" s="13"/>
      <c r="O28" s="13"/>
      <c r="P28" s="109" t="b">
        <f t="shared" si="1"/>
        <v>0</v>
      </c>
      <c r="Q28" s="119" t="s">
        <v>38</v>
      </c>
    </row>
    <row r="29" spans="1:17">
      <c r="A29" s="57" t="b">
        <f t="shared" si="2"/>
        <v>0</v>
      </c>
      <c r="B29" s="17"/>
      <c r="C29" s="20" t="b">
        <f>C10</f>
        <v>1</v>
      </c>
      <c r="D29" s="20" t="b">
        <f>D10</f>
        <v>0</v>
      </c>
      <c r="E29" s="17"/>
      <c r="F29" s="17"/>
      <c r="G29" s="13"/>
      <c r="H29" s="35" t="b">
        <f>H2</f>
        <v>0</v>
      </c>
      <c r="I29" s="35" t="b">
        <f>I4</f>
        <v>0</v>
      </c>
      <c r="J29" s="13"/>
      <c r="K29" s="35" t="b">
        <f>K16</f>
        <v>0</v>
      </c>
      <c r="L29" s="13"/>
      <c r="M29" s="13"/>
      <c r="N29" s="13"/>
      <c r="O29" s="13"/>
      <c r="P29" s="109" t="b">
        <f t="shared" si="1"/>
        <v>0</v>
      </c>
      <c r="Q29" s="119" t="s">
        <v>39</v>
      </c>
    </row>
    <row r="30" spans="1:17">
      <c r="A30" s="57" t="b">
        <f t="shared" si="2"/>
        <v>0</v>
      </c>
      <c r="B30" s="17"/>
      <c r="C30" s="20" t="b">
        <f>C10</f>
        <v>1</v>
      </c>
      <c r="D30" s="20" t="b">
        <f>D10</f>
        <v>0</v>
      </c>
      <c r="E30" s="17"/>
      <c r="F30" s="17"/>
      <c r="G30" s="35" t="b">
        <f>G18</f>
        <v>0</v>
      </c>
      <c r="H30" s="35" t="b">
        <f>H2</f>
        <v>0</v>
      </c>
      <c r="I30" s="13"/>
      <c r="J30" s="13"/>
      <c r="K30" s="35" t="b">
        <f>K16</f>
        <v>0</v>
      </c>
      <c r="L30" s="13"/>
      <c r="M30" s="13"/>
      <c r="N30" s="13"/>
      <c r="O30" s="13"/>
      <c r="P30" s="109" t="b">
        <f t="shared" si="1"/>
        <v>0</v>
      </c>
      <c r="Q30" s="119" t="s">
        <v>534</v>
      </c>
    </row>
    <row r="31" spans="1:17">
      <c r="A31" s="57" t="b">
        <f t="shared" si="2"/>
        <v>0</v>
      </c>
      <c r="B31" s="17"/>
      <c r="C31" s="20" t="b">
        <f>C10</f>
        <v>1</v>
      </c>
      <c r="D31" s="20" t="b">
        <f>D10</f>
        <v>0</v>
      </c>
      <c r="E31" s="17"/>
      <c r="F31" s="17"/>
      <c r="G31" s="35" t="b">
        <f>G18</f>
        <v>0</v>
      </c>
      <c r="H31" s="35" t="b">
        <f>H2</f>
        <v>0</v>
      </c>
      <c r="I31" s="35" t="b">
        <f>I4</f>
        <v>0</v>
      </c>
      <c r="J31" s="13"/>
      <c r="K31" s="35" t="b">
        <f>K16</f>
        <v>0</v>
      </c>
      <c r="L31" s="13"/>
      <c r="M31" s="13"/>
      <c r="N31" s="13"/>
      <c r="O31" s="13"/>
      <c r="P31" s="109" t="b">
        <f t="shared" si="1"/>
        <v>0</v>
      </c>
      <c r="Q31" s="119" t="s">
        <v>535</v>
      </c>
    </row>
    <row r="32" spans="1:17">
      <c r="A32" s="57" t="b">
        <f t="shared" si="2"/>
        <v>0</v>
      </c>
      <c r="B32" s="17"/>
      <c r="C32" s="20" t="b">
        <f>C10</f>
        <v>1</v>
      </c>
      <c r="D32" s="20" t="b">
        <f>D10</f>
        <v>0</v>
      </c>
      <c r="E32" s="17"/>
      <c r="F32" s="17"/>
      <c r="G32" s="35" t="b">
        <f>G18</f>
        <v>0</v>
      </c>
      <c r="H32" s="35" t="b">
        <f>H2</f>
        <v>0</v>
      </c>
      <c r="I32" s="35" t="b">
        <f>I4</f>
        <v>0</v>
      </c>
      <c r="J32" s="13"/>
      <c r="K32" s="35" t="b">
        <f>K16</f>
        <v>0</v>
      </c>
      <c r="L32" s="13"/>
      <c r="M32" s="13"/>
      <c r="N32" s="13"/>
      <c r="O32" s="13"/>
      <c r="P32" s="109" t="b">
        <f t="shared" si="1"/>
        <v>0</v>
      </c>
      <c r="Q32" s="119" t="s">
        <v>536</v>
      </c>
    </row>
    <row r="33" spans="1:17">
      <c r="A33" s="57" t="b">
        <f t="shared" si="2"/>
        <v>0</v>
      </c>
      <c r="B33" s="17"/>
      <c r="C33" s="20" t="b">
        <f>C10</f>
        <v>1</v>
      </c>
      <c r="D33" s="20" t="b">
        <f>D10</f>
        <v>0</v>
      </c>
      <c r="E33" s="17"/>
      <c r="F33" s="17"/>
      <c r="G33" s="35" t="b">
        <f>G18</f>
        <v>0</v>
      </c>
      <c r="H33" s="35" t="b">
        <f>H2</f>
        <v>0</v>
      </c>
      <c r="I33" s="13"/>
      <c r="J33" s="13"/>
      <c r="K33" s="35" t="b">
        <f>K16</f>
        <v>0</v>
      </c>
      <c r="L33" s="13"/>
      <c r="M33" s="13"/>
      <c r="N33" s="13"/>
      <c r="O33" s="13"/>
      <c r="P33" s="109" t="b">
        <f t="shared" si="1"/>
        <v>0</v>
      </c>
      <c r="Q33" s="119" t="s">
        <v>537</v>
      </c>
    </row>
    <row r="34" spans="1:17">
      <c r="A34" s="58"/>
      <c r="B34" s="16"/>
      <c r="C34" s="16"/>
      <c r="D34" s="16"/>
      <c r="E34" s="16"/>
      <c r="F34" s="16"/>
      <c r="G34" s="15"/>
      <c r="H34" s="15"/>
      <c r="I34" s="15"/>
      <c r="J34" s="15"/>
      <c r="K34" s="15"/>
      <c r="L34" s="15"/>
      <c r="M34" s="15"/>
      <c r="N34" s="15"/>
      <c r="O34" s="15"/>
      <c r="P34" s="75"/>
      <c r="Q34" s="112"/>
    </row>
    <row r="35" spans="1:17">
      <c r="A35" s="57" t="b">
        <f t="shared" si="2"/>
        <v>0</v>
      </c>
      <c r="B35" s="20" t="b">
        <f>B2</f>
        <v>0</v>
      </c>
      <c r="C35" s="17"/>
      <c r="D35" s="17"/>
      <c r="E35" s="20" t="b">
        <f>E2</f>
        <v>0</v>
      </c>
      <c r="F35" s="17"/>
      <c r="G35" s="13"/>
      <c r="H35" s="13"/>
      <c r="I35" s="13"/>
      <c r="J35" s="35" t="b">
        <f>J18</f>
        <v>0</v>
      </c>
      <c r="K35" s="13"/>
      <c r="L35" s="13"/>
      <c r="M35" s="13"/>
      <c r="N35" s="13"/>
      <c r="O35" s="13"/>
      <c r="P35" s="109" t="b">
        <f t="shared" si="1"/>
        <v>0</v>
      </c>
      <c r="Q35" s="120" t="s">
        <v>43</v>
      </c>
    </row>
    <row r="36" spans="1:17" ht="13.5" customHeight="1">
      <c r="A36" s="58"/>
      <c r="B36" s="16"/>
      <c r="C36" s="16"/>
      <c r="D36" s="16"/>
      <c r="E36" s="16"/>
      <c r="F36" s="16"/>
      <c r="G36" s="15"/>
      <c r="H36" s="15"/>
      <c r="I36" s="15"/>
      <c r="J36" s="15"/>
      <c r="K36" s="15"/>
      <c r="L36" s="15"/>
      <c r="M36" s="15"/>
      <c r="N36" s="15"/>
      <c r="O36" s="15"/>
      <c r="P36" s="75"/>
      <c r="Q36" s="121"/>
    </row>
    <row r="37" spans="1:17">
      <c r="A37" s="57" t="b">
        <f t="shared" si="2"/>
        <v>0</v>
      </c>
      <c r="B37" s="20" t="b">
        <f>B2</f>
        <v>0</v>
      </c>
      <c r="C37" s="17"/>
      <c r="D37" s="20" t="b">
        <f>D10</f>
        <v>0</v>
      </c>
      <c r="E37" s="17"/>
      <c r="F37" s="17"/>
      <c r="G37" s="13"/>
      <c r="H37" s="13"/>
      <c r="I37" s="13"/>
      <c r="J37" s="13"/>
      <c r="K37" s="13"/>
      <c r="L37" s="13"/>
      <c r="M37" s="35" t="b">
        <f>M20</f>
        <v>0</v>
      </c>
      <c r="N37" s="13"/>
      <c r="O37" s="13"/>
      <c r="P37" s="109" t="b">
        <f t="shared" si="1"/>
        <v>0</v>
      </c>
      <c r="Q37" s="122" t="s">
        <v>545</v>
      </c>
    </row>
    <row r="38" spans="1:17">
      <c r="A38" s="57" t="b">
        <f t="shared" si="2"/>
        <v>0</v>
      </c>
      <c r="B38" s="20" t="b">
        <f>B2</f>
        <v>0</v>
      </c>
      <c r="C38" s="17"/>
      <c r="D38" s="20" t="b">
        <f>D10</f>
        <v>0</v>
      </c>
      <c r="E38" s="17"/>
      <c r="F38" s="17"/>
      <c r="G38" s="13"/>
      <c r="H38" s="35" t="b">
        <f>H2</f>
        <v>0</v>
      </c>
      <c r="I38" s="13"/>
      <c r="J38" s="13"/>
      <c r="K38" s="13"/>
      <c r="L38" s="13"/>
      <c r="M38" s="35" t="b">
        <f>M20</f>
        <v>0</v>
      </c>
      <c r="N38" s="13"/>
      <c r="O38" s="13"/>
      <c r="P38" s="109" t="b">
        <f t="shared" si="1"/>
        <v>0</v>
      </c>
      <c r="Q38" s="122" t="s">
        <v>546</v>
      </c>
    </row>
    <row r="39" spans="1:17">
      <c r="A39" s="57" t="b">
        <f t="shared" si="2"/>
        <v>0</v>
      </c>
      <c r="B39" s="20" t="b">
        <f>B2</f>
        <v>0</v>
      </c>
      <c r="C39" s="17"/>
      <c r="D39" s="20" t="b">
        <f>D10</f>
        <v>0</v>
      </c>
      <c r="E39" s="17"/>
      <c r="F39" s="17"/>
      <c r="G39" s="13"/>
      <c r="H39" s="13"/>
      <c r="I39" s="13"/>
      <c r="J39" s="13"/>
      <c r="K39" s="35" t="b">
        <f>K16</f>
        <v>0</v>
      </c>
      <c r="L39" s="13"/>
      <c r="M39" s="35" t="b">
        <f>M20</f>
        <v>0</v>
      </c>
      <c r="N39" s="13"/>
      <c r="O39" s="13"/>
      <c r="P39" s="109" t="b">
        <f t="shared" si="1"/>
        <v>0</v>
      </c>
      <c r="Q39" s="122" t="s">
        <v>547</v>
      </c>
    </row>
    <row r="40" spans="1:17">
      <c r="A40" s="57" t="b">
        <f t="shared" si="2"/>
        <v>0</v>
      </c>
      <c r="B40" s="20" t="b">
        <f>B2</f>
        <v>0</v>
      </c>
      <c r="C40" s="17"/>
      <c r="D40" s="20" t="b">
        <f>D10</f>
        <v>0</v>
      </c>
      <c r="E40" s="17"/>
      <c r="F40" s="17"/>
      <c r="G40" s="13"/>
      <c r="H40" s="13"/>
      <c r="I40" s="13"/>
      <c r="J40" s="35" t="b">
        <f>J18</f>
        <v>0</v>
      </c>
      <c r="K40" s="35" t="b">
        <f>K16</f>
        <v>0</v>
      </c>
      <c r="L40" s="13"/>
      <c r="M40" s="35" t="b">
        <f>M20</f>
        <v>0</v>
      </c>
      <c r="N40" s="13"/>
      <c r="O40" s="13"/>
      <c r="P40" s="109" t="b">
        <f t="shared" si="1"/>
        <v>0</v>
      </c>
      <c r="Q40" s="122" t="s">
        <v>548</v>
      </c>
    </row>
    <row r="41" spans="1:17">
      <c r="A41" s="57" t="b">
        <f t="shared" si="2"/>
        <v>0</v>
      </c>
      <c r="B41" s="20" t="b">
        <f>B2</f>
        <v>0</v>
      </c>
      <c r="C41" s="17"/>
      <c r="D41" s="20" t="b">
        <f>D10</f>
        <v>0</v>
      </c>
      <c r="E41" s="17"/>
      <c r="F41" s="17"/>
      <c r="G41" s="13"/>
      <c r="H41" s="13"/>
      <c r="I41" s="13"/>
      <c r="J41" s="35" t="b">
        <f>J18</f>
        <v>0</v>
      </c>
      <c r="K41" s="13"/>
      <c r="L41" s="13"/>
      <c r="M41" s="35" t="b">
        <f>M20</f>
        <v>0</v>
      </c>
      <c r="N41" s="13"/>
      <c r="O41" s="13"/>
      <c r="P41" s="109" t="b">
        <f t="shared" si="1"/>
        <v>0</v>
      </c>
      <c r="Q41" s="122" t="s">
        <v>549</v>
      </c>
    </row>
    <row r="42" spans="1:17">
      <c r="A42" s="57" t="b">
        <f t="shared" si="2"/>
        <v>0</v>
      </c>
      <c r="B42" s="20" t="b">
        <f>B2</f>
        <v>0</v>
      </c>
      <c r="C42" s="17"/>
      <c r="D42" s="20" t="b">
        <f>D10</f>
        <v>0</v>
      </c>
      <c r="E42" s="17"/>
      <c r="F42" s="17"/>
      <c r="G42" s="13"/>
      <c r="H42" s="13"/>
      <c r="I42" s="13"/>
      <c r="J42" s="35" t="b">
        <f>J18</f>
        <v>0</v>
      </c>
      <c r="K42" s="13"/>
      <c r="L42" s="13"/>
      <c r="M42" s="35" t="b">
        <f>M20</f>
        <v>0</v>
      </c>
      <c r="N42" s="13"/>
      <c r="O42" s="13"/>
      <c r="P42" s="109" t="b">
        <f t="shared" si="1"/>
        <v>0</v>
      </c>
      <c r="Q42" s="122" t="s">
        <v>550</v>
      </c>
    </row>
    <row r="43" spans="1:17">
      <c r="A43" s="57" t="b">
        <f t="shared" si="2"/>
        <v>0</v>
      </c>
      <c r="B43" s="20" t="b">
        <f>B2</f>
        <v>0</v>
      </c>
      <c r="C43" s="17"/>
      <c r="D43" s="17"/>
      <c r="E43" s="20" t="b">
        <f>E2</f>
        <v>0</v>
      </c>
      <c r="F43" s="17"/>
      <c r="G43" s="35" t="b">
        <f>G18</f>
        <v>0</v>
      </c>
      <c r="H43" s="13"/>
      <c r="I43" s="35" t="b">
        <f>I4</f>
        <v>0</v>
      </c>
      <c r="J43" s="13"/>
      <c r="K43" s="35" t="b">
        <f>K16</f>
        <v>0</v>
      </c>
      <c r="L43" s="13"/>
      <c r="M43" s="13"/>
      <c r="N43" s="13"/>
      <c r="O43" s="13"/>
      <c r="P43" s="109" t="b">
        <f t="shared" si="1"/>
        <v>0</v>
      </c>
      <c r="Q43" s="122" t="s">
        <v>56</v>
      </c>
    </row>
    <row r="44" spans="1:17">
      <c r="A44" s="57" t="b">
        <f t="shared" si="2"/>
        <v>0</v>
      </c>
      <c r="B44" s="20" t="b">
        <f>B2</f>
        <v>0</v>
      </c>
      <c r="C44" s="17"/>
      <c r="D44" s="17"/>
      <c r="E44" s="20" t="b">
        <f>E2</f>
        <v>0</v>
      </c>
      <c r="F44" s="17"/>
      <c r="G44" s="35" t="b">
        <f>G18</f>
        <v>0</v>
      </c>
      <c r="H44" s="35" t="b">
        <f>H2</f>
        <v>0</v>
      </c>
      <c r="I44" s="35" t="b">
        <f>I4</f>
        <v>0</v>
      </c>
      <c r="J44" s="13"/>
      <c r="K44" s="35" t="b">
        <f>K16</f>
        <v>0</v>
      </c>
      <c r="L44" s="13"/>
      <c r="M44" s="13"/>
      <c r="N44" s="13"/>
      <c r="O44" s="13"/>
      <c r="P44" s="109" t="b">
        <f t="shared" si="1"/>
        <v>0</v>
      </c>
      <c r="Q44" s="122" t="s">
        <v>57</v>
      </c>
    </row>
    <row r="45" spans="1:17">
      <c r="A45" s="57" t="b">
        <f t="shared" si="2"/>
        <v>0</v>
      </c>
      <c r="B45" s="20" t="b">
        <f>B2</f>
        <v>0</v>
      </c>
      <c r="C45" s="17"/>
      <c r="D45" s="17"/>
      <c r="E45" s="20" t="b">
        <f>E2</f>
        <v>0</v>
      </c>
      <c r="F45" s="17"/>
      <c r="G45" s="35" t="b">
        <f>G18</f>
        <v>0</v>
      </c>
      <c r="H45" s="13"/>
      <c r="I45" s="35" t="b">
        <f>I4</f>
        <v>0</v>
      </c>
      <c r="J45" s="35" t="b">
        <f>J18</f>
        <v>0</v>
      </c>
      <c r="K45" s="35" t="b">
        <f>K16</f>
        <v>0</v>
      </c>
      <c r="L45" s="14"/>
      <c r="M45" s="13"/>
      <c r="N45" s="13"/>
      <c r="O45" s="13"/>
      <c r="P45" s="109" t="b">
        <f t="shared" si="1"/>
        <v>0</v>
      </c>
      <c r="Q45" s="122" t="s">
        <v>58</v>
      </c>
    </row>
    <row r="46" spans="1:17">
      <c r="A46" s="57" t="b">
        <f t="shared" si="2"/>
        <v>0</v>
      </c>
      <c r="B46" s="20" t="b">
        <f>B2</f>
        <v>0</v>
      </c>
      <c r="C46" s="17"/>
      <c r="D46" s="17"/>
      <c r="E46" s="20" t="b">
        <f>E2</f>
        <v>0</v>
      </c>
      <c r="F46" s="17"/>
      <c r="G46" s="20" t="b">
        <f>G18</f>
        <v>0</v>
      </c>
      <c r="H46" s="20" t="b">
        <f>H2</f>
        <v>0</v>
      </c>
      <c r="I46" s="20" t="b">
        <f>I4</f>
        <v>0</v>
      </c>
      <c r="J46" s="20" t="b">
        <f>J18</f>
        <v>0</v>
      </c>
      <c r="K46" s="20" t="b">
        <f>K16</f>
        <v>0</v>
      </c>
      <c r="L46" s="17"/>
      <c r="M46" s="17"/>
      <c r="N46" s="17"/>
      <c r="O46" s="17"/>
      <c r="P46" s="109" t="b">
        <f t="shared" si="1"/>
        <v>0</v>
      </c>
      <c r="Q46" s="122" t="s">
        <v>59</v>
      </c>
    </row>
    <row r="47" spans="1:17">
      <c r="A47" s="57" t="b">
        <f t="shared" si="2"/>
        <v>0</v>
      </c>
      <c r="B47" s="20" t="b">
        <f>B2</f>
        <v>0</v>
      </c>
      <c r="C47" s="17"/>
      <c r="D47" s="17"/>
      <c r="E47" s="20" t="b">
        <f>E2</f>
        <v>0</v>
      </c>
      <c r="F47" s="17"/>
      <c r="G47" s="20" t="b">
        <f>G18</f>
        <v>0</v>
      </c>
      <c r="H47" s="20" t="b">
        <f>H2</f>
        <v>0</v>
      </c>
      <c r="I47" s="20" t="b">
        <f>I4</f>
        <v>0</v>
      </c>
      <c r="J47" s="17"/>
      <c r="K47" s="20" t="b">
        <f>K16</f>
        <v>0</v>
      </c>
      <c r="L47" s="17"/>
      <c r="M47" s="17"/>
      <c r="N47" s="17"/>
      <c r="O47" s="17"/>
      <c r="P47" s="109" t="b">
        <f t="shared" si="1"/>
        <v>0</v>
      </c>
      <c r="Q47" s="122" t="s">
        <v>60</v>
      </c>
    </row>
    <row r="48" spans="1:17">
      <c r="A48" s="57" t="b">
        <f t="shared" si="2"/>
        <v>0</v>
      </c>
      <c r="B48" s="20" t="b">
        <f>B2</f>
        <v>0</v>
      </c>
      <c r="C48" s="17"/>
      <c r="D48" s="17"/>
      <c r="E48" s="20" t="b">
        <f>E2</f>
        <v>0</v>
      </c>
      <c r="F48" s="17"/>
      <c r="G48" s="20" t="b">
        <f>G18</f>
        <v>0</v>
      </c>
      <c r="H48" s="17"/>
      <c r="I48" s="20" t="b">
        <f>I4</f>
        <v>0</v>
      </c>
      <c r="J48" s="17"/>
      <c r="K48" s="20" t="b">
        <f>K16</f>
        <v>0</v>
      </c>
      <c r="L48" s="17"/>
      <c r="M48" s="17"/>
      <c r="N48" s="17"/>
      <c r="O48" s="17"/>
      <c r="P48" s="109" t="b">
        <f t="shared" si="1"/>
        <v>0</v>
      </c>
      <c r="Q48" s="122" t="s">
        <v>61</v>
      </c>
    </row>
    <row r="49" spans="1:18">
      <c r="A49" s="57" t="b">
        <f t="shared" si="2"/>
        <v>0</v>
      </c>
      <c r="B49" s="20" t="b">
        <f>B2</f>
        <v>0</v>
      </c>
      <c r="C49" s="17"/>
      <c r="D49" s="17"/>
      <c r="E49" s="20" t="b">
        <f>E2</f>
        <v>0</v>
      </c>
      <c r="F49" s="17"/>
      <c r="G49" s="20" t="b">
        <f>G18</f>
        <v>0</v>
      </c>
      <c r="H49" s="20" t="b">
        <f>H2</f>
        <v>0</v>
      </c>
      <c r="I49" s="20" t="b">
        <f>I4</f>
        <v>0</v>
      </c>
      <c r="J49" s="17"/>
      <c r="K49" s="20" t="b">
        <f>K16</f>
        <v>0</v>
      </c>
      <c r="L49" s="17"/>
      <c r="M49" s="17"/>
      <c r="N49" s="17"/>
      <c r="O49" s="17"/>
      <c r="P49" s="109" t="b">
        <f t="shared" si="1"/>
        <v>0</v>
      </c>
      <c r="Q49" s="122" t="s">
        <v>62</v>
      </c>
    </row>
    <row r="50" spans="1:18">
      <c r="A50" s="57" t="b">
        <f t="shared" si="2"/>
        <v>0</v>
      </c>
      <c r="B50" s="20" t="b">
        <f>B2</f>
        <v>0</v>
      </c>
      <c r="C50" s="17"/>
      <c r="D50" s="17"/>
      <c r="E50" s="20" t="b">
        <f>E2</f>
        <v>0</v>
      </c>
      <c r="F50" s="17"/>
      <c r="G50" s="20" t="b">
        <f>G18</f>
        <v>0</v>
      </c>
      <c r="H50" s="20" t="b">
        <f>H2</f>
        <v>0</v>
      </c>
      <c r="I50" s="20" t="b">
        <f>I4</f>
        <v>0</v>
      </c>
      <c r="J50" s="17"/>
      <c r="K50" s="20" t="b">
        <f>K16</f>
        <v>0</v>
      </c>
      <c r="L50" s="17"/>
      <c r="M50" s="17"/>
      <c r="N50" s="17"/>
      <c r="O50" s="17"/>
      <c r="P50" s="109" t="b">
        <f t="shared" si="1"/>
        <v>0</v>
      </c>
      <c r="Q50" s="122" t="s">
        <v>63</v>
      </c>
    </row>
    <row r="51" spans="1:18">
      <c r="A51" s="57" t="b">
        <f t="shared" si="2"/>
        <v>0</v>
      </c>
      <c r="B51" s="20" t="b">
        <f>B2</f>
        <v>0</v>
      </c>
      <c r="C51" s="17"/>
      <c r="D51" s="17"/>
      <c r="E51" s="20" t="b">
        <f>E2</f>
        <v>0</v>
      </c>
      <c r="F51" s="17"/>
      <c r="G51" s="17"/>
      <c r="H51" s="17"/>
      <c r="I51" s="17"/>
      <c r="J51" s="17"/>
      <c r="K51" s="17"/>
      <c r="L51" s="17"/>
      <c r="M51" s="20" t="b">
        <f>M20</f>
        <v>0</v>
      </c>
      <c r="N51" s="17"/>
      <c r="O51" s="17"/>
      <c r="P51" s="109" t="b">
        <f t="shared" si="1"/>
        <v>0</v>
      </c>
      <c r="Q51" s="122" t="s">
        <v>64</v>
      </c>
    </row>
    <row r="52" spans="1:18">
      <c r="A52" s="57" t="b">
        <f t="shared" si="2"/>
        <v>0</v>
      </c>
      <c r="B52" s="20" t="b">
        <f>B2</f>
        <v>0</v>
      </c>
      <c r="C52" s="17"/>
      <c r="D52" s="17"/>
      <c r="E52" s="20" t="b">
        <f>E2</f>
        <v>0</v>
      </c>
      <c r="F52" s="17"/>
      <c r="G52" s="17"/>
      <c r="H52" s="17"/>
      <c r="I52" s="17"/>
      <c r="J52" s="17"/>
      <c r="K52" s="17"/>
      <c r="L52" s="17"/>
      <c r="M52" s="20" t="b">
        <f>M20</f>
        <v>0</v>
      </c>
      <c r="N52" s="17"/>
      <c r="O52" s="17"/>
      <c r="P52" s="109" t="b">
        <f t="shared" si="1"/>
        <v>0</v>
      </c>
      <c r="Q52" s="122" t="s">
        <v>65</v>
      </c>
    </row>
    <row r="53" spans="1:18">
      <c r="A53" s="57" t="b">
        <f t="shared" si="2"/>
        <v>0</v>
      </c>
      <c r="B53" s="17"/>
      <c r="C53" s="20" t="b">
        <f>C10</f>
        <v>1</v>
      </c>
      <c r="D53" s="20" t="b">
        <f>D10</f>
        <v>0</v>
      </c>
      <c r="E53" s="17"/>
      <c r="F53" s="17"/>
      <c r="G53" s="20" t="b">
        <f>G18</f>
        <v>0</v>
      </c>
      <c r="H53" s="17"/>
      <c r="I53" s="20" t="b">
        <f>I4</f>
        <v>0</v>
      </c>
      <c r="J53" s="17"/>
      <c r="K53" s="17"/>
      <c r="L53" s="17"/>
      <c r="M53" s="17"/>
      <c r="N53" s="17"/>
      <c r="O53" s="17"/>
      <c r="P53" s="109" t="b">
        <f t="shared" si="1"/>
        <v>0</v>
      </c>
      <c r="Q53" s="122" t="s">
        <v>538</v>
      </c>
    </row>
    <row r="54" spans="1:18">
      <c r="A54" s="57" t="b">
        <f t="shared" si="2"/>
        <v>0</v>
      </c>
      <c r="B54" s="17"/>
      <c r="C54" s="20" t="b">
        <f>C10</f>
        <v>1</v>
      </c>
      <c r="D54" s="20" t="b">
        <f>D10</f>
        <v>0</v>
      </c>
      <c r="E54" s="17"/>
      <c r="F54" s="17"/>
      <c r="G54" s="17"/>
      <c r="H54" s="20" t="b">
        <f>H2</f>
        <v>0</v>
      </c>
      <c r="I54" s="20" t="b">
        <f>I4</f>
        <v>0</v>
      </c>
      <c r="J54" s="17"/>
      <c r="K54" s="17"/>
      <c r="L54" s="17"/>
      <c r="M54" s="17"/>
      <c r="N54" s="17"/>
      <c r="O54" s="17"/>
      <c r="P54" s="109" t="b">
        <f t="shared" si="1"/>
        <v>0</v>
      </c>
      <c r="Q54" s="122" t="s">
        <v>539</v>
      </c>
    </row>
    <row r="55" spans="1:18" s="21" customFormat="1">
      <c r="A55" s="58" t="b">
        <f t="shared" si="2"/>
        <v>0</v>
      </c>
      <c r="B55" s="16"/>
      <c r="C55" s="16"/>
      <c r="D55" s="16"/>
      <c r="E55" s="16"/>
      <c r="F55" s="16"/>
      <c r="G55" s="16"/>
      <c r="H55" s="16"/>
      <c r="I55" s="16"/>
      <c r="J55" s="16"/>
      <c r="K55" s="16"/>
      <c r="L55" s="16"/>
      <c r="M55" s="16"/>
      <c r="N55" s="16"/>
      <c r="O55" s="16"/>
      <c r="P55" s="75"/>
      <c r="Q55" s="121"/>
    </row>
    <row r="56" spans="1:18">
      <c r="A56" s="57" t="b">
        <f t="shared" si="2"/>
        <v>0</v>
      </c>
      <c r="B56" s="17"/>
      <c r="C56" s="20" t="b">
        <f>C10</f>
        <v>1</v>
      </c>
      <c r="D56" s="20" t="b">
        <f>D10</f>
        <v>0</v>
      </c>
      <c r="E56" s="17"/>
      <c r="F56" s="17"/>
      <c r="G56" s="20" t="b">
        <f>G18</f>
        <v>0</v>
      </c>
      <c r="H56" s="20" t="b">
        <f>H2</f>
        <v>0</v>
      </c>
      <c r="I56" s="17"/>
      <c r="J56" s="17"/>
      <c r="K56" s="17"/>
      <c r="L56" s="17"/>
      <c r="M56" s="17"/>
      <c r="N56" s="17"/>
      <c r="O56" s="17"/>
      <c r="P56" s="109" t="b">
        <f t="shared" si="1"/>
        <v>0</v>
      </c>
      <c r="Q56" s="114" t="s">
        <v>540</v>
      </c>
    </row>
    <row r="57" spans="1:18">
      <c r="A57" s="57" t="b">
        <f t="shared" si="2"/>
        <v>0</v>
      </c>
      <c r="B57" s="17"/>
      <c r="C57" s="20" t="b">
        <f>C10</f>
        <v>1</v>
      </c>
      <c r="D57" s="17"/>
      <c r="E57" s="17"/>
      <c r="F57" s="20" t="b">
        <f>AND('Cough &amp; Cold Criteria'!B26,'Cough &amp; Cold Criteria'!C24:C25)</f>
        <v>0</v>
      </c>
      <c r="G57" s="17"/>
      <c r="H57" s="17"/>
      <c r="I57" s="17"/>
      <c r="J57" s="17"/>
      <c r="K57" s="17"/>
      <c r="L57" s="17"/>
      <c r="M57" s="20" t="b">
        <f>M20</f>
        <v>0</v>
      </c>
      <c r="N57" s="17"/>
      <c r="O57" s="17"/>
      <c r="P57" s="109" t="b">
        <f t="shared" si="1"/>
        <v>0</v>
      </c>
      <c r="Q57" s="114" t="s">
        <v>248</v>
      </c>
    </row>
    <row r="58" spans="1:18">
      <c r="A58" s="57" t="b">
        <f t="shared" si="2"/>
        <v>0</v>
      </c>
      <c r="B58" s="17"/>
      <c r="C58" s="20" t="b">
        <f>C10</f>
        <v>1</v>
      </c>
      <c r="D58" s="17"/>
      <c r="E58" s="17"/>
      <c r="F58" s="20" t="b">
        <f>F57</f>
        <v>0</v>
      </c>
      <c r="G58" s="17"/>
      <c r="H58" s="17"/>
      <c r="I58" s="17"/>
      <c r="J58" s="17"/>
      <c r="K58" s="17"/>
      <c r="L58" s="17"/>
      <c r="M58" s="20" t="b">
        <f>M20</f>
        <v>0</v>
      </c>
      <c r="N58" s="17"/>
      <c r="O58" s="17"/>
      <c r="P58" s="109" t="b">
        <f t="shared" si="1"/>
        <v>0</v>
      </c>
      <c r="Q58" s="114" t="s">
        <v>249</v>
      </c>
      <c r="R58" s="32"/>
    </row>
    <row r="59" spans="1:18">
      <c r="A59" s="57" t="b">
        <f t="shared" si="2"/>
        <v>0</v>
      </c>
      <c r="B59" s="17"/>
      <c r="C59" s="20" t="b">
        <f>C10</f>
        <v>1</v>
      </c>
      <c r="D59" s="17"/>
      <c r="E59" s="17"/>
      <c r="F59" s="20" t="b">
        <f>F57</f>
        <v>0</v>
      </c>
      <c r="G59" s="17"/>
      <c r="H59" s="17"/>
      <c r="I59" s="17"/>
      <c r="J59" s="17"/>
      <c r="K59" s="17"/>
      <c r="L59" s="17"/>
      <c r="M59" s="20" t="b">
        <f>M20</f>
        <v>0</v>
      </c>
      <c r="N59" s="17"/>
      <c r="O59" s="17"/>
      <c r="P59" s="109" t="b">
        <f t="shared" si="1"/>
        <v>0</v>
      </c>
      <c r="Q59" s="114" t="s">
        <v>250</v>
      </c>
    </row>
    <row r="60" spans="1:18">
      <c r="A60" s="57" t="b">
        <f t="shared" si="2"/>
        <v>0</v>
      </c>
      <c r="B60" s="20" t="b">
        <f>B2</f>
        <v>0</v>
      </c>
      <c r="C60" s="17"/>
      <c r="D60" s="17"/>
      <c r="E60" s="17"/>
      <c r="F60" s="20" t="b">
        <f>F57</f>
        <v>0</v>
      </c>
      <c r="G60" s="17"/>
      <c r="H60" s="17"/>
      <c r="I60" s="17"/>
      <c r="J60" s="17"/>
      <c r="K60" s="17"/>
      <c r="L60" s="17"/>
      <c r="M60" s="20" t="b">
        <f>M20</f>
        <v>0</v>
      </c>
      <c r="N60" s="17"/>
      <c r="O60" s="17"/>
      <c r="P60" s="109" t="b">
        <f t="shared" si="1"/>
        <v>0</v>
      </c>
      <c r="Q60" s="114" t="s">
        <v>251</v>
      </c>
    </row>
    <row r="61" spans="1:18">
      <c r="A61" s="57" t="b">
        <f t="shared" si="2"/>
        <v>0</v>
      </c>
      <c r="B61" s="20" t="b">
        <f>B2</f>
        <v>0</v>
      </c>
      <c r="C61" s="17"/>
      <c r="D61" s="17"/>
      <c r="E61" s="17"/>
      <c r="F61" s="20" t="b">
        <f>F57</f>
        <v>0</v>
      </c>
      <c r="G61" s="17"/>
      <c r="H61" s="17"/>
      <c r="I61" s="17"/>
      <c r="J61" s="17"/>
      <c r="K61" s="17"/>
      <c r="L61" s="17"/>
      <c r="M61" s="20" t="b">
        <f>M20</f>
        <v>0</v>
      </c>
      <c r="N61" s="17"/>
      <c r="O61" s="17"/>
      <c r="P61" s="109" t="b">
        <f t="shared" si="1"/>
        <v>0</v>
      </c>
      <c r="Q61" s="114" t="s">
        <v>252</v>
      </c>
    </row>
    <row r="62" spans="1:18">
      <c r="A62" s="57" t="b">
        <f t="shared" si="2"/>
        <v>0</v>
      </c>
      <c r="B62" s="20" t="b">
        <f>B2</f>
        <v>0</v>
      </c>
      <c r="C62" s="17"/>
      <c r="D62" s="17"/>
      <c r="E62" s="20" t="b">
        <f>E2</f>
        <v>0</v>
      </c>
      <c r="F62" s="17"/>
      <c r="G62" s="20" t="b">
        <f>G18</f>
        <v>0</v>
      </c>
      <c r="H62" s="17"/>
      <c r="I62" s="20" t="b">
        <f>I4</f>
        <v>0</v>
      </c>
      <c r="J62" s="20" t="b">
        <f>J18</f>
        <v>0</v>
      </c>
      <c r="K62" s="20" t="b">
        <f>K16</f>
        <v>0</v>
      </c>
      <c r="L62" s="17"/>
      <c r="M62" s="17"/>
      <c r="N62" s="17"/>
      <c r="O62" s="17"/>
      <c r="P62" s="109" t="b">
        <f t="shared" si="1"/>
        <v>0</v>
      </c>
      <c r="Q62" s="114" t="s">
        <v>253</v>
      </c>
    </row>
    <row r="63" spans="1:18">
      <c r="A63" s="57" t="b">
        <f t="shared" si="2"/>
        <v>0</v>
      </c>
      <c r="B63" s="20" t="b">
        <f>B2</f>
        <v>0</v>
      </c>
      <c r="C63" s="17"/>
      <c r="D63" s="20" t="b">
        <f>D10</f>
        <v>0</v>
      </c>
      <c r="E63" s="17"/>
      <c r="F63" s="17"/>
      <c r="G63" s="20" t="b">
        <f>G18</f>
        <v>0</v>
      </c>
      <c r="H63" s="17"/>
      <c r="I63" s="20" t="b">
        <f>I4</f>
        <v>0</v>
      </c>
      <c r="J63" s="20" t="b">
        <f>J18</f>
        <v>0</v>
      </c>
      <c r="K63" s="20" t="b">
        <f>K16</f>
        <v>0</v>
      </c>
      <c r="L63" s="17"/>
      <c r="M63" s="17"/>
      <c r="N63" s="17"/>
      <c r="O63" s="17"/>
      <c r="P63" s="109" t="b">
        <f t="shared" si="1"/>
        <v>0</v>
      </c>
      <c r="Q63" s="114" t="s">
        <v>254</v>
      </c>
    </row>
    <row r="64" spans="1:18">
      <c r="A64" s="57" t="b">
        <f t="shared" si="2"/>
        <v>0</v>
      </c>
      <c r="B64" s="20" t="b">
        <f>B2</f>
        <v>0</v>
      </c>
      <c r="C64" s="17"/>
      <c r="D64" s="17"/>
      <c r="E64" s="20" t="b">
        <f>E2</f>
        <v>0</v>
      </c>
      <c r="F64" s="17"/>
      <c r="G64" s="20" t="b">
        <f>G18</f>
        <v>0</v>
      </c>
      <c r="H64" s="20" t="b">
        <f>H2</f>
        <v>0</v>
      </c>
      <c r="I64" s="20" t="b">
        <f>I4</f>
        <v>0</v>
      </c>
      <c r="J64" s="20" t="b">
        <f>J18</f>
        <v>0</v>
      </c>
      <c r="K64" s="20" t="b">
        <f>K16</f>
        <v>0</v>
      </c>
      <c r="L64" s="17"/>
      <c r="M64" s="17"/>
      <c r="N64" s="17"/>
      <c r="O64" s="17"/>
      <c r="P64" s="109" t="b">
        <f t="shared" si="1"/>
        <v>0</v>
      </c>
      <c r="Q64" s="114" t="s">
        <v>255</v>
      </c>
    </row>
    <row r="65" spans="1:17">
      <c r="A65" s="57" t="b">
        <f t="shared" si="2"/>
        <v>0</v>
      </c>
      <c r="B65" s="20" t="b">
        <f>B2</f>
        <v>0</v>
      </c>
      <c r="C65" s="17"/>
      <c r="D65" s="17"/>
      <c r="E65" s="20" t="b">
        <f>E2</f>
        <v>0</v>
      </c>
      <c r="F65" s="17"/>
      <c r="G65" s="20" t="b">
        <f>G18</f>
        <v>0</v>
      </c>
      <c r="H65" s="17"/>
      <c r="I65" s="20" t="b">
        <f>I4</f>
        <v>0</v>
      </c>
      <c r="J65" s="17"/>
      <c r="K65" s="20" t="b">
        <f>K16</f>
        <v>0</v>
      </c>
      <c r="L65" s="17"/>
      <c r="M65" s="17"/>
      <c r="N65" s="17"/>
      <c r="O65" s="17"/>
      <c r="P65" s="109" t="b">
        <f t="shared" si="1"/>
        <v>0</v>
      </c>
      <c r="Q65" s="114" t="s">
        <v>256</v>
      </c>
    </row>
    <row r="66" spans="1:17">
      <c r="A66" s="57" t="b">
        <f t="shared" si="2"/>
        <v>0</v>
      </c>
      <c r="B66" s="20" t="b">
        <f>B2</f>
        <v>0</v>
      </c>
      <c r="C66" s="17"/>
      <c r="D66" s="17"/>
      <c r="E66" s="20" t="b">
        <f>E2</f>
        <v>0</v>
      </c>
      <c r="F66" s="17"/>
      <c r="G66" s="20" t="b">
        <f>G18</f>
        <v>0</v>
      </c>
      <c r="H66" s="20" t="b">
        <f>H2</f>
        <v>0</v>
      </c>
      <c r="I66" s="20" t="b">
        <f>I4</f>
        <v>0</v>
      </c>
      <c r="J66" s="17"/>
      <c r="K66" s="20" t="b">
        <f>K16</f>
        <v>0</v>
      </c>
      <c r="L66" s="17"/>
      <c r="M66" s="17"/>
      <c r="N66" s="17"/>
      <c r="O66" s="17"/>
      <c r="P66" s="109" t="b">
        <f t="shared" si="1"/>
        <v>0</v>
      </c>
      <c r="Q66" s="114" t="s">
        <v>257</v>
      </c>
    </row>
    <row r="67" spans="1:17">
      <c r="A67" s="57" t="b">
        <f t="shared" si="2"/>
        <v>0</v>
      </c>
      <c r="B67" s="20" t="b">
        <f>B2</f>
        <v>0</v>
      </c>
      <c r="C67" s="17"/>
      <c r="D67" s="17"/>
      <c r="E67" s="20" t="b">
        <f>E2</f>
        <v>0</v>
      </c>
      <c r="F67" s="17"/>
      <c r="G67" s="17"/>
      <c r="H67" s="20" t="b">
        <f>H2</f>
        <v>0</v>
      </c>
      <c r="I67" s="20" t="b">
        <f>I4</f>
        <v>0</v>
      </c>
      <c r="J67" s="17"/>
      <c r="K67" s="20" t="b">
        <f>K16</f>
        <v>0</v>
      </c>
      <c r="L67" s="17"/>
      <c r="M67" s="17"/>
      <c r="N67" s="17"/>
      <c r="O67" s="17"/>
      <c r="P67" s="109" t="b">
        <f t="shared" ref="P67:P130" si="3">AND(B67:O67)</f>
        <v>0</v>
      </c>
      <c r="Q67" s="114" t="s">
        <v>258</v>
      </c>
    </row>
    <row r="68" spans="1:17">
      <c r="A68" s="57" t="b">
        <f t="shared" si="2"/>
        <v>0</v>
      </c>
      <c r="B68" s="20" t="b">
        <f>B2</f>
        <v>0</v>
      </c>
      <c r="C68" s="17"/>
      <c r="D68" s="20" t="b">
        <f>D10</f>
        <v>0</v>
      </c>
      <c r="E68" s="17"/>
      <c r="F68" s="17"/>
      <c r="G68" s="20" t="b">
        <f>G18</f>
        <v>0</v>
      </c>
      <c r="H68" s="17"/>
      <c r="I68" s="20" t="b">
        <f>I4</f>
        <v>0</v>
      </c>
      <c r="J68" s="17"/>
      <c r="K68" s="20" t="b">
        <f>K16</f>
        <v>0</v>
      </c>
      <c r="L68" s="17"/>
      <c r="M68" s="17"/>
      <c r="N68" s="17"/>
      <c r="O68" s="17"/>
      <c r="P68" s="109" t="b">
        <f t="shared" si="3"/>
        <v>0</v>
      </c>
      <c r="Q68" s="114" t="s">
        <v>259</v>
      </c>
    </row>
    <row r="69" spans="1:17">
      <c r="A69" s="57" t="b">
        <f t="shared" si="2"/>
        <v>0</v>
      </c>
      <c r="B69" s="20" t="b">
        <f>B2</f>
        <v>0</v>
      </c>
      <c r="C69" s="17"/>
      <c r="D69" s="20" t="b">
        <f>D10</f>
        <v>0</v>
      </c>
      <c r="E69" s="17"/>
      <c r="F69" s="17"/>
      <c r="G69" s="20" t="b">
        <f>G18</f>
        <v>0</v>
      </c>
      <c r="H69" s="17"/>
      <c r="I69" s="17"/>
      <c r="J69" s="17"/>
      <c r="K69" s="17"/>
      <c r="L69" s="17"/>
      <c r="M69" s="17"/>
      <c r="N69" s="17"/>
      <c r="O69" s="17"/>
      <c r="P69" s="109" t="b">
        <f t="shared" si="3"/>
        <v>0</v>
      </c>
      <c r="Q69" s="114" t="s">
        <v>260</v>
      </c>
    </row>
    <row r="70" spans="1:17">
      <c r="A70" s="57" t="b">
        <f t="shared" si="2"/>
        <v>0</v>
      </c>
      <c r="B70" s="20" t="b">
        <f>B2</f>
        <v>0</v>
      </c>
      <c r="C70" s="17"/>
      <c r="D70" s="20" t="b">
        <f>D10</f>
        <v>0</v>
      </c>
      <c r="E70" s="17"/>
      <c r="F70" s="17"/>
      <c r="G70" s="20" t="b">
        <f>G18</f>
        <v>0</v>
      </c>
      <c r="H70" s="17"/>
      <c r="I70" s="17"/>
      <c r="J70" s="20" t="b">
        <f>J18</f>
        <v>0</v>
      </c>
      <c r="K70" s="17"/>
      <c r="L70" s="17"/>
      <c r="M70" s="17"/>
      <c r="N70" s="17"/>
      <c r="O70" s="17"/>
      <c r="P70" s="109" t="b">
        <f t="shared" si="3"/>
        <v>0</v>
      </c>
      <c r="Q70" s="114" t="s">
        <v>261</v>
      </c>
    </row>
    <row r="71" spans="1:17">
      <c r="A71" s="57" t="b">
        <f t="shared" si="2"/>
        <v>0</v>
      </c>
      <c r="B71" s="20" t="b">
        <f>B2</f>
        <v>0</v>
      </c>
      <c r="C71" s="17"/>
      <c r="D71" s="17"/>
      <c r="E71" s="20" t="b">
        <f>E2</f>
        <v>0</v>
      </c>
      <c r="F71" s="17"/>
      <c r="G71" s="17"/>
      <c r="H71" s="17"/>
      <c r="I71" s="20" t="b">
        <f>I4</f>
        <v>0</v>
      </c>
      <c r="J71" s="17"/>
      <c r="K71" s="20" t="b">
        <f>K16</f>
        <v>0</v>
      </c>
      <c r="L71" s="17"/>
      <c r="M71" s="17"/>
      <c r="N71" s="17"/>
      <c r="O71" s="17"/>
      <c r="P71" s="109" t="b">
        <f t="shared" si="3"/>
        <v>0</v>
      </c>
      <c r="Q71" s="114" t="s">
        <v>262</v>
      </c>
    </row>
    <row r="72" spans="1:17">
      <c r="A72" s="57" t="b">
        <f t="shared" si="2"/>
        <v>0</v>
      </c>
      <c r="B72" s="20" t="b">
        <f>B2</f>
        <v>0</v>
      </c>
      <c r="C72" s="17"/>
      <c r="D72" s="17"/>
      <c r="E72" s="20" t="b">
        <f>E2</f>
        <v>0</v>
      </c>
      <c r="F72" s="17"/>
      <c r="G72" s="20" t="b">
        <f>G18</f>
        <v>0</v>
      </c>
      <c r="H72" s="20" t="b">
        <f>H2</f>
        <v>0</v>
      </c>
      <c r="I72" s="20" t="b">
        <f>I4</f>
        <v>0</v>
      </c>
      <c r="J72" s="17"/>
      <c r="K72" s="20" t="b">
        <f>K16</f>
        <v>0</v>
      </c>
      <c r="L72" s="17"/>
      <c r="M72" s="17"/>
      <c r="N72" s="17"/>
      <c r="O72" s="17"/>
      <c r="P72" s="109" t="b">
        <f t="shared" si="3"/>
        <v>0</v>
      </c>
      <c r="Q72" s="114" t="s">
        <v>263</v>
      </c>
    </row>
    <row r="73" spans="1:17">
      <c r="A73" s="57" t="b">
        <f t="shared" si="2"/>
        <v>0</v>
      </c>
      <c r="B73" s="20" t="b">
        <f>B2</f>
        <v>0</v>
      </c>
      <c r="C73" s="17"/>
      <c r="D73" s="17"/>
      <c r="E73" s="20" t="b">
        <f>E2</f>
        <v>0</v>
      </c>
      <c r="F73" s="17"/>
      <c r="G73" s="20" t="b">
        <f>G18</f>
        <v>0</v>
      </c>
      <c r="H73" s="20" t="b">
        <f>H2</f>
        <v>0</v>
      </c>
      <c r="I73" s="20" t="b">
        <f>I4</f>
        <v>0</v>
      </c>
      <c r="J73" s="17"/>
      <c r="K73" s="20" t="b">
        <f>K16</f>
        <v>0</v>
      </c>
      <c r="L73" s="17"/>
      <c r="M73" s="17"/>
      <c r="N73" s="17"/>
      <c r="O73" s="17"/>
      <c r="P73" s="109" t="b">
        <f t="shared" si="3"/>
        <v>0</v>
      </c>
      <c r="Q73" s="114" t="s">
        <v>264</v>
      </c>
    </row>
    <row r="74" spans="1:17">
      <c r="A74" s="57" t="b">
        <f t="shared" si="2"/>
        <v>0</v>
      </c>
      <c r="B74" s="20" t="b">
        <f>B2</f>
        <v>0</v>
      </c>
      <c r="C74" s="17"/>
      <c r="D74" s="20" t="b">
        <f>D10</f>
        <v>0</v>
      </c>
      <c r="E74" s="17"/>
      <c r="F74" s="17"/>
      <c r="G74" s="20" t="b">
        <f>G18</f>
        <v>0</v>
      </c>
      <c r="H74" s="20" t="b">
        <f>H2</f>
        <v>0</v>
      </c>
      <c r="I74" s="20" t="b">
        <f>I4</f>
        <v>0</v>
      </c>
      <c r="J74" s="17"/>
      <c r="K74" s="20" t="b">
        <f>K16</f>
        <v>0</v>
      </c>
      <c r="L74" s="17"/>
      <c r="M74" s="17"/>
      <c r="N74" s="17"/>
      <c r="O74" s="17"/>
      <c r="P74" s="109" t="b">
        <f t="shared" si="3"/>
        <v>0</v>
      </c>
      <c r="Q74" s="114" t="s">
        <v>265</v>
      </c>
    </row>
    <row r="75" spans="1:17">
      <c r="A75" s="57" t="b">
        <f t="shared" si="2"/>
        <v>0</v>
      </c>
      <c r="B75" s="20" t="b">
        <f>B2</f>
        <v>0</v>
      </c>
      <c r="C75" s="17"/>
      <c r="D75" s="17"/>
      <c r="E75" s="20" t="b">
        <f>E2</f>
        <v>0</v>
      </c>
      <c r="F75" s="17"/>
      <c r="G75" s="20" t="b">
        <f>G18</f>
        <v>0</v>
      </c>
      <c r="H75" s="20" t="b">
        <f>H2</f>
        <v>0</v>
      </c>
      <c r="I75" s="17"/>
      <c r="J75" s="17"/>
      <c r="K75" s="20" t="b">
        <f>K16</f>
        <v>0</v>
      </c>
      <c r="L75" s="17"/>
      <c r="M75" s="17"/>
      <c r="N75" s="17"/>
      <c r="O75" s="17"/>
      <c r="P75" s="109" t="b">
        <f t="shared" si="3"/>
        <v>0</v>
      </c>
      <c r="Q75" s="114" t="s">
        <v>266</v>
      </c>
    </row>
    <row r="76" spans="1:17">
      <c r="A76" s="57" t="b">
        <f t="shared" si="2"/>
        <v>0</v>
      </c>
      <c r="B76" s="20" t="b">
        <f>B2</f>
        <v>0</v>
      </c>
      <c r="C76" s="17"/>
      <c r="D76" s="20" t="b">
        <f>D10</f>
        <v>0</v>
      </c>
      <c r="E76" s="17"/>
      <c r="F76" s="17"/>
      <c r="G76" s="20" t="b">
        <f>G18</f>
        <v>0</v>
      </c>
      <c r="H76" s="20" t="b">
        <f>H2</f>
        <v>0</v>
      </c>
      <c r="I76" s="17"/>
      <c r="J76" s="17"/>
      <c r="K76" s="20" t="b">
        <f>K16</f>
        <v>0</v>
      </c>
      <c r="L76" s="17"/>
      <c r="M76" s="17"/>
      <c r="N76" s="17"/>
      <c r="O76" s="17"/>
      <c r="P76" s="109" t="b">
        <f t="shared" si="3"/>
        <v>0</v>
      </c>
      <c r="Q76" s="114" t="s">
        <v>267</v>
      </c>
    </row>
    <row r="77" spans="1:17">
      <c r="A77" s="57" t="b">
        <f t="shared" si="2"/>
        <v>0</v>
      </c>
      <c r="B77" s="20" t="b">
        <f>B2</f>
        <v>0</v>
      </c>
      <c r="C77" s="17"/>
      <c r="D77" s="20" t="b">
        <f>D10</f>
        <v>0</v>
      </c>
      <c r="E77" s="17"/>
      <c r="F77" s="17"/>
      <c r="G77" s="20" t="b">
        <f>G18</f>
        <v>0</v>
      </c>
      <c r="H77" s="20" t="b">
        <f>H2</f>
        <v>0</v>
      </c>
      <c r="I77" s="17"/>
      <c r="J77" s="17"/>
      <c r="K77" s="17"/>
      <c r="L77" s="17"/>
      <c r="M77" s="17"/>
      <c r="N77" s="17"/>
      <c r="O77" s="17"/>
      <c r="P77" s="109" t="b">
        <f t="shared" si="3"/>
        <v>0</v>
      </c>
      <c r="Q77" s="114" t="s">
        <v>268</v>
      </c>
    </row>
    <row r="78" spans="1:17">
      <c r="A78" s="57" t="b">
        <f t="shared" si="2"/>
        <v>0</v>
      </c>
      <c r="B78" s="20" t="b">
        <f>B2</f>
        <v>0</v>
      </c>
      <c r="C78" s="17"/>
      <c r="D78" s="17"/>
      <c r="E78" s="20" t="b">
        <f>E2</f>
        <v>0</v>
      </c>
      <c r="F78" s="17"/>
      <c r="G78" s="17"/>
      <c r="H78" s="20" t="b">
        <f>H2</f>
        <v>0</v>
      </c>
      <c r="I78" s="20" t="b">
        <f>I4</f>
        <v>0</v>
      </c>
      <c r="J78" s="17"/>
      <c r="K78" s="20" t="b">
        <f>K16</f>
        <v>0</v>
      </c>
      <c r="L78" s="17"/>
      <c r="M78" s="17"/>
      <c r="N78" s="17"/>
      <c r="O78" s="17"/>
      <c r="P78" s="109" t="b">
        <f t="shared" si="3"/>
        <v>0</v>
      </c>
      <c r="Q78" s="114" t="s">
        <v>269</v>
      </c>
    </row>
    <row r="79" spans="1:17">
      <c r="A79" s="58" t="b">
        <f t="shared" si="2"/>
        <v>0</v>
      </c>
      <c r="B79" s="16"/>
      <c r="C79" s="16"/>
      <c r="D79" s="16"/>
      <c r="E79" s="16"/>
      <c r="F79" s="16"/>
      <c r="G79" s="16"/>
      <c r="H79" s="16"/>
      <c r="I79" s="16"/>
      <c r="J79" s="16"/>
      <c r="K79" s="16"/>
      <c r="L79" s="16"/>
      <c r="M79" s="16"/>
      <c r="N79" s="16"/>
      <c r="O79" s="16"/>
      <c r="P79" s="75"/>
      <c r="Q79" s="115"/>
    </row>
    <row r="80" spans="1:17">
      <c r="A80" s="57" t="b">
        <f t="shared" si="2"/>
        <v>0</v>
      </c>
      <c r="B80" s="20" t="b">
        <f>B2</f>
        <v>0</v>
      </c>
      <c r="C80" s="17"/>
      <c r="D80" s="20" t="b">
        <f>D10</f>
        <v>0</v>
      </c>
      <c r="E80" s="17"/>
      <c r="F80" s="17"/>
      <c r="G80" s="20" t="b">
        <f>G18</f>
        <v>0</v>
      </c>
      <c r="H80" s="17"/>
      <c r="I80" s="17"/>
      <c r="J80" s="20" t="b">
        <f>J18</f>
        <v>0</v>
      </c>
      <c r="K80" s="17"/>
      <c r="L80" s="17"/>
      <c r="M80" s="17"/>
      <c r="N80" s="17"/>
      <c r="O80" s="17"/>
      <c r="P80" s="109" t="b">
        <f t="shared" si="3"/>
        <v>0</v>
      </c>
      <c r="Q80" s="116" t="s">
        <v>270</v>
      </c>
    </row>
    <row r="81" spans="1:17" ht="14.25" customHeight="1">
      <c r="A81" s="57" t="b">
        <f t="shared" ref="A81:A144" si="4">IF(P81=TRUE,Q81)</f>
        <v>0</v>
      </c>
      <c r="B81" s="20" t="b">
        <f>B2</f>
        <v>0</v>
      </c>
      <c r="C81" s="17"/>
      <c r="D81" s="20" t="b">
        <f>D10</f>
        <v>0</v>
      </c>
      <c r="E81" s="17"/>
      <c r="F81" s="17"/>
      <c r="G81" s="20" t="b">
        <f>G18</f>
        <v>0</v>
      </c>
      <c r="H81" s="17"/>
      <c r="I81" s="17"/>
      <c r="J81" s="20" t="b">
        <f>J18</f>
        <v>0</v>
      </c>
      <c r="K81" s="17"/>
      <c r="L81" s="17"/>
      <c r="M81" s="17"/>
      <c r="N81" s="17"/>
      <c r="O81" s="17"/>
      <c r="P81" s="109" t="b">
        <f t="shared" si="3"/>
        <v>0</v>
      </c>
      <c r="Q81" s="114" t="s">
        <v>271</v>
      </c>
    </row>
    <row r="82" spans="1:17" ht="14.25" customHeight="1">
      <c r="A82" s="57" t="b">
        <f t="shared" si="4"/>
        <v>0</v>
      </c>
      <c r="B82" s="20" t="b">
        <f>B2</f>
        <v>0</v>
      </c>
      <c r="C82" s="17"/>
      <c r="D82" s="20" t="b">
        <f>D10</f>
        <v>0</v>
      </c>
      <c r="E82" s="17"/>
      <c r="F82" s="17"/>
      <c r="G82" s="20" t="b">
        <f>G18</f>
        <v>0</v>
      </c>
      <c r="H82" s="17"/>
      <c r="I82" s="17"/>
      <c r="J82" s="20" t="b">
        <f>J18</f>
        <v>0</v>
      </c>
      <c r="K82" s="17"/>
      <c r="L82" s="17"/>
      <c r="M82" s="17"/>
      <c r="N82" s="17"/>
      <c r="O82" s="17"/>
      <c r="P82" s="109" t="b">
        <f t="shared" si="3"/>
        <v>0</v>
      </c>
      <c r="Q82" s="114" t="s">
        <v>272</v>
      </c>
    </row>
    <row r="83" spans="1:17" ht="14.25" customHeight="1">
      <c r="A83" s="57" t="b">
        <f t="shared" si="4"/>
        <v>0</v>
      </c>
      <c r="B83" s="20" t="b">
        <f>B2</f>
        <v>0</v>
      </c>
      <c r="C83" s="17"/>
      <c r="D83" s="20" t="b">
        <f>D10</f>
        <v>0</v>
      </c>
      <c r="E83" s="17"/>
      <c r="F83" s="17"/>
      <c r="G83" s="20" t="b">
        <f>G18</f>
        <v>0</v>
      </c>
      <c r="H83" s="17"/>
      <c r="I83" s="17"/>
      <c r="J83" s="20" t="b">
        <f>J18</f>
        <v>0</v>
      </c>
      <c r="K83" s="17"/>
      <c r="L83" s="17"/>
      <c r="M83" s="17"/>
      <c r="N83" s="17"/>
      <c r="O83" s="17"/>
      <c r="P83" s="109" t="b">
        <f t="shared" si="3"/>
        <v>0</v>
      </c>
      <c r="Q83" s="114" t="s">
        <v>273</v>
      </c>
    </row>
    <row r="84" spans="1:17" ht="14.25" customHeight="1">
      <c r="A84" s="57" t="b">
        <f t="shared" si="4"/>
        <v>0</v>
      </c>
      <c r="B84" s="20" t="b">
        <f>B2</f>
        <v>0</v>
      </c>
      <c r="C84" s="17"/>
      <c r="D84" s="20" t="b">
        <f>D10</f>
        <v>0</v>
      </c>
      <c r="E84" s="17"/>
      <c r="F84" s="17"/>
      <c r="G84" s="17"/>
      <c r="H84" s="17"/>
      <c r="I84" s="17"/>
      <c r="J84" s="20" t="b">
        <f>J18</f>
        <v>0</v>
      </c>
      <c r="K84" s="17"/>
      <c r="L84" s="17"/>
      <c r="M84" s="17"/>
      <c r="N84" s="17"/>
      <c r="O84" s="17"/>
      <c r="P84" s="109" t="b">
        <f t="shared" si="3"/>
        <v>0</v>
      </c>
      <c r="Q84" s="114" t="s">
        <v>274</v>
      </c>
    </row>
    <row r="85" spans="1:17" ht="14.25" customHeight="1">
      <c r="A85" s="57" t="b">
        <f t="shared" si="4"/>
        <v>0</v>
      </c>
      <c r="B85" s="20" t="b">
        <f>B2</f>
        <v>0</v>
      </c>
      <c r="C85" s="17"/>
      <c r="D85" s="20" t="b">
        <f>D10</f>
        <v>0</v>
      </c>
      <c r="E85" s="17"/>
      <c r="F85" s="17"/>
      <c r="G85" s="17"/>
      <c r="H85" s="17"/>
      <c r="I85" s="17"/>
      <c r="J85" s="20" t="b">
        <f>J18</f>
        <v>0</v>
      </c>
      <c r="K85" s="17"/>
      <c r="L85" s="17"/>
      <c r="M85" s="17"/>
      <c r="N85" s="17"/>
      <c r="O85" s="17"/>
      <c r="P85" s="109" t="b">
        <f t="shared" si="3"/>
        <v>0</v>
      </c>
      <c r="Q85" s="114" t="s">
        <v>275</v>
      </c>
    </row>
    <row r="86" spans="1:17" ht="14.25" customHeight="1">
      <c r="A86" s="57" t="b">
        <f t="shared" si="4"/>
        <v>0</v>
      </c>
      <c r="B86" s="20" t="b">
        <f>B2</f>
        <v>0</v>
      </c>
      <c r="C86" s="17"/>
      <c r="D86" s="17"/>
      <c r="E86" s="20" t="b">
        <f>E2</f>
        <v>0</v>
      </c>
      <c r="F86" s="17"/>
      <c r="G86" s="20" t="b">
        <f>G18</f>
        <v>0</v>
      </c>
      <c r="H86" s="17"/>
      <c r="I86" s="17"/>
      <c r="J86" s="17"/>
      <c r="K86" s="17"/>
      <c r="L86" s="17"/>
      <c r="M86" s="17"/>
      <c r="N86" s="17"/>
      <c r="O86" s="17"/>
      <c r="P86" s="109" t="b">
        <f t="shared" si="3"/>
        <v>0</v>
      </c>
      <c r="Q86" s="114" t="s">
        <v>276</v>
      </c>
    </row>
    <row r="87" spans="1:17" ht="14.25" customHeight="1">
      <c r="A87" s="57" t="b">
        <f t="shared" si="4"/>
        <v>0</v>
      </c>
      <c r="B87" s="20" t="b">
        <f>B2</f>
        <v>0</v>
      </c>
      <c r="C87" s="17"/>
      <c r="D87" s="20" t="b">
        <f>D10</f>
        <v>0</v>
      </c>
      <c r="E87" s="17"/>
      <c r="F87" s="17"/>
      <c r="G87" s="20" t="b">
        <f>G18</f>
        <v>0</v>
      </c>
      <c r="H87" s="20" t="b">
        <f>H2</f>
        <v>0</v>
      </c>
      <c r="I87" s="17"/>
      <c r="J87" s="17"/>
      <c r="K87" s="17"/>
      <c r="L87" s="17"/>
      <c r="M87" s="17"/>
      <c r="N87" s="17"/>
      <c r="O87" s="17"/>
      <c r="P87" s="109" t="b">
        <f t="shared" si="3"/>
        <v>0</v>
      </c>
      <c r="Q87" s="114" t="s">
        <v>277</v>
      </c>
    </row>
    <row r="88" spans="1:17" ht="14.25" customHeight="1">
      <c r="A88" s="57" t="b">
        <f t="shared" si="4"/>
        <v>0</v>
      </c>
      <c r="B88" s="20" t="b">
        <f>B2</f>
        <v>0</v>
      </c>
      <c r="C88" s="17"/>
      <c r="D88" s="20" t="b">
        <f>D10</f>
        <v>0</v>
      </c>
      <c r="E88" s="17"/>
      <c r="F88" s="17"/>
      <c r="G88" s="20" t="b">
        <f>G18</f>
        <v>0</v>
      </c>
      <c r="H88" s="17"/>
      <c r="I88" s="20" t="b">
        <f>I4</f>
        <v>0</v>
      </c>
      <c r="J88" s="20" t="b">
        <f>J18</f>
        <v>0</v>
      </c>
      <c r="K88" s="17"/>
      <c r="L88" s="17"/>
      <c r="M88" s="17"/>
      <c r="N88" s="17"/>
      <c r="O88" s="17"/>
      <c r="P88" s="109" t="b">
        <f t="shared" si="3"/>
        <v>0</v>
      </c>
      <c r="Q88" s="114" t="s">
        <v>278</v>
      </c>
    </row>
    <row r="89" spans="1:17" ht="14.25" customHeight="1">
      <c r="A89" s="57" t="b">
        <f t="shared" si="4"/>
        <v>0</v>
      </c>
      <c r="B89" s="20" t="b">
        <f>B2</f>
        <v>0</v>
      </c>
      <c r="C89" s="17"/>
      <c r="D89" s="20" t="b">
        <f>D10</f>
        <v>0</v>
      </c>
      <c r="E89" s="17"/>
      <c r="F89" s="17"/>
      <c r="G89" s="20" t="b">
        <f>G18</f>
        <v>0</v>
      </c>
      <c r="H89" s="17"/>
      <c r="I89" s="20" t="b">
        <f>I4</f>
        <v>0</v>
      </c>
      <c r="J89" s="20" t="b">
        <f>J18</f>
        <v>0</v>
      </c>
      <c r="K89" s="17"/>
      <c r="L89" s="17"/>
      <c r="M89" s="17"/>
      <c r="N89" s="17"/>
      <c r="O89" s="17"/>
      <c r="P89" s="109" t="b">
        <f t="shared" si="3"/>
        <v>0</v>
      </c>
      <c r="Q89" s="114" t="s">
        <v>279</v>
      </c>
    </row>
    <row r="90" spans="1:17" ht="14.25" customHeight="1">
      <c r="A90" s="57" t="b">
        <f t="shared" si="4"/>
        <v>0</v>
      </c>
      <c r="B90" s="20" t="b">
        <f>B2</f>
        <v>0</v>
      </c>
      <c r="C90" s="17"/>
      <c r="D90" s="20" t="b">
        <f>D10</f>
        <v>0</v>
      </c>
      <c r="E90" s="17"/>
      <c r="F90" s="17"/>
      <c r="G90" s="20" t="b">
        <f>G18</f>
        <v>0</v>
      </c>
      <c r="H90" s="17"/>
      <c r="I90" s="20" t="b">
        <f>I4</f>
        <v>0</v>
      </c>
      <c r="J90" s="17"/>
      <c r="K90" s="20" t="b">
        <f>K16</f>
        <v>0</v>
      </c>
      <c r="L90" s="17"/>
      <c r="M90" s="17"/>
      <c r="N90" s="17"/>
      <c r="O90" s="17"/>
      <c r="P90" s="109" t="b">
        <f t="shared" si="3"/>
        <v>0</v>
      </c>
      <c r="Q90" s="114" t="s">
        <v>280</v>
      </c>
    </row>
    <row r="91" spans="1:17" ht="14.25" customHeight="1">
      <c r="A91" s="57" t="b">
        <f t="shared" si="4"/>
        <v>0</v>
      </c>
      <c r="B91" s="20" t="b">
        <f>B2</f>
        <v>0</v>
      </c>
      <c r="C91" s="17"/>
      <c r="D91" s="20" t="b">
        <f>D10</f>
        <v>0</v>
      </c>
      <c r="E91" s="17"/>
      <c r="F91" s="17"/>
      <c r="G91" s="20" t="b">
        <f>G18</f>
        <v>0</v>
      </c>
      <c r="H91" s="20" t="b">
        <f>H2</f>
        <v>0</v>
      </c>
      <c r="I91" s="20" t="b">
        <f>I4</f>
        <v>0</v>
      </c>
      <c r="J91" s="17"/>
      <c r="K91" s="20" t="b">
        <f>K16</f>
        <v>0</v>
      </c>
      <c r="L91" s="17"/>
      <c r="M91" s="17"/>
      <c r="N91" s="17"/>
      <c r="O91" s="17"/>
      <c r="P91" s="109" t="b">
        <f t="shared" si="3"/>
        <v>0</v>
      </c>
      <c r="Q91" s="114" t="s">
        <v>281</v>
      </c>
    </row>
    <row r="92" spans="1:17" ht="14.25" customHeight="1">
      <c r="A92" s="57" t="b">
        <f t="shared" si="4"/>
        <v>0</v>
      </c>
      <c r="B92" s="20" t="b">
        <f>B2</f>
        <v>0</v>
      </c>
      <c r="C92" s="17"/>
      <c r="D92" s="17"/>
      <c r="E92" s="20" t="b">
        <f>E2</f>
        <v>0</v>
      </c>
      <c r="F92" s="17"/>
      <c r="G92" s="20" t="b">
        <f>G18</f>
        <v>0</v>
      </c>
      <c r="H92" s="17"/>
      <c r="I92" s="20" t="b">
        <f>I4</f>
        <v>0</v>
      </c>
      <c r="J92" s="17"/>
      <c r="K92" s="20" t="b">
        <f>K16</f>
        <v>0</v>
      </c>
      <c r="L92" s="17"/>
      <c r="M92" s="17"/>
      <c r="N92" s="17"/>
      <c r="O92" s="17"/>
      <c r="P92" s="109" t="b">
        <f t="shared" si="3"/>
        <v>0</v>
      </c>
      <c r="Q92" s="114" t="s">
        <v>282</v>
      </c>
    </row>
    <row r="93" spans="1:17" ht="14.25" customHeight="1">
      <c r="A93" s="57" t="b">
        <f t="shared" si="4"/>
        <v>0</v>
      </c>
      <c r="B93" s="20" t="b">
        <f>B2</f>
        <v>0</v>
      </c>
      <c r="C93" s="17"/>
      <c r="D93" s="17"/>
      <c r="E93" s="20" t="b">
        <f>E2</f>
        <v>0</v>
      </c>
      <c r="F93" s="17"/>
      <c r="G93" s="20" t="b">
        <f>G18</f>
        <v>0</v>
      </c>
      <c r="H93" s="20" t="b">
        <f>H2</f>
        <v>0</v>
      </c>
      <c r="I93" s="20" t="b">
        <f>I4</f>
        <v>0</v>
      </c>
      <c r="J93" s="17"/>
      <c r="K93" s="20" t="b">
        <f>K16</f>
        <v>0</v>
      </c>
      <c r="L93" s="17"/>
      <c r="M93" s="17"/>
      <c r="N93" s="17"/>
      <c r="O93" s="17"/>
      <c r="P93" s="109" t="b">
        <f t="shared" si="3"/>
        <v>0</v>
      </c>
      <c r="Q93" s="114" t="s">
        <v>283</v>
      </c>
    </row>
    <row r="94" spans="1:17" ht="14.25" customHeight="1">
      <c r="A94" s="57" t="b">
        <f t="shared" si="4"/>
        <v>0</v>
      </c>
      <c r="B94" s="17"/>
      <c r="C94" s="20" t="b">
        <f>C10</f>
        <v>1</v>
      </c>
      <c r="D94" s="20" t="b">
        <f>D10</f>
        <v>0</v>
      </c>
      <c r="E94" s="17"/>
      <c r="F94" s="17"/>
      <c r="G94" s="17"/>
      <c r="H94" s="20" t="b">
        <f>H2</f>
        <v>0</v>
      </c>
      <c r="I94" s="20" t="b">
        <f>I4</f>
        <v>0</v>
      </c>
      <c r="J94" s="17"/>
      <c r="K94" s="17"/>
      <c r="L94" s="17"/>
      <c r="M94" s="17"/>
      <c r="N94" s="17"/>
      <c r="O94" s="17"/>
      <c r="P94" s="109" t="b">
        <f t="shared" si="3"/>
        <v>0</v>
      </c>
      <c r="Q94" s="114" t="s">
        <v>284</v>
      </c>
    </row>
    <row r="95" spans="1:17" ht="14.25" customHeight="1">
      <c r="A95" s="57" t="b">
        <f t="shared" si="4"/>
        <v>0</v>
      </c>
      <c r="B95" s="17"/>
      <c r="C95" s="20" t="b">
        <f>C10</f>
        <v>1</v>
      </c>
      <c r="D95" s="20" t="b">
        <f>D10</f>
        <v>0</v>
      </c>
      <c r="E95" s="17"/>
      <c r="F95" s="17"/>
      <c r="G95" s="20" t="b">
        <f>G18</f>
        <v>0</v>
      </c>
      <c r="H95" s="17"/>
      <c r="I95" s="20" t="b">
        <f>I4</f>
        <v>0</v>
      </c>
      <c r="J95" s="17"/>
      <c r="K95" s="17"/>
      <c r="L95" s="17"/>
      <c r="M95" s="17"/>
      <c r="N95" s="17"/>
      <c r="O95" s="17"/>
      <c r="P95" s="109" t="b">
        <f t="shared" si="3"/>
        <v>0</v>
      </c>
      <c r="Q95" s="114" t="s">
        <v>285</v>
      </c>
    </row>
    <row r="96" spans="1:17" ht="14.25" customHeight="1">
      <c r="A96" s="57" t="b">
        <f t="shared" si="4"/>
        <v>0</v>
      </c>
      <c r="B96" s="17"/>
      <c r="C96" s="20" t="b">
        <f>C10</f>
        <v>1</v>
      </c>
      <c r="D96" s="20" t="b">
        <f>D10</f>
        <v>0</v>
      </c>
      <c r="E96" s="17"/>
      <c r="F96" s="17"/>
      <c r="G96" s="20" t="b">
        <f>G18</f>
        <v>0</v>
      </c>
      <c r="H96" s="20" t="b">
        <f>H2</f>
        <v>0</v>
      </c>
      <c r="I96" s="20" t="b">
        <f>I4</f>
        <v>0</v>
      </c>
      <c r="J96" s="17"/>
      <c r="K96" s="17"/>
      <c r="L96" s="17"/>
      <c r="M96" s="17"/>
      <c r="N96" s="17"/>
      <c r="O96" s="17"/>
      <c r="P96" s="109" t="b">
        <f t="shared" si="3"/>
        <v>0</v>
      </c>
      <c r="Q96" s="114" t="s">
        <v>286</v>
      </c>
    </row>
    <row r="97" spans="1:17" ht="14.25" customHeight="1">
      <c r="A97" s="58" t="b">
        <f t="shared" si="4"/>
        <v>0</v>
      </c>
      <c r="B97" s="16"/>
      <c r="C97" s="16"/>
      <c r="D97" s="16"/>
      <c r="E97" s="16"/>
      <c r="F97" s="16"/>
      <c r="G97" s="16"/>
      <c r="H97" s="16"/>
      <c r="I97" s="16"/>
      <c r="J97" s="16"/>
      <c r="K97" s="16"/>
      <c r="L97" s="16"/>
      <c r="M97" s="16"/>
      <c r="N97" s="16"/>
      <c r="O97" s="16"/>
      <c r="P97" s="75"/>
      <c r="Q97" s="115"/>
    </row>
    <row r="98" spans="1:17" ht="14.25" customHeight="1">
      <c r="A98" s="57" t="b">
        <f t="shared" si="4"/>
        <v>0</v>
      </c>
      <c r="B98" s="17"/>
      <c r="C98" s="20" t="b">
        <f>C10</f>
        <v>1</v>
      </c>
      <c r="D98" s="20" t="b">
        <f>D10</f>
        <v>0</v>
      </c>
      <c r="E98" s="17"/>
      <c r="F98" s="17"/>
      <c r="G98" s="17"/>
      <c r="H98" s="20" t="b">
        <f>H2</f>
        <v>0</v>
      </c>
      <c r="I98" s="20" t="b">
        <f>I4</f>
        <v>0</v>
      </c>
      <c r="J98" s="17"/>
      <c r="K98" s="17"/>
      <c r="L98" s="17"/>
      <c r="M98" s="17"/>
      <c r="N98" s="17"/>
      <c r="O98" s="17"/>
      <c r="P98" s="109" t="b">
        <f t="shared" si="3"/>
        <v>0</v>
      </c>
      <c r="Q98" s="114" t="s">
        <v>287</v>
      </c>
    </row>
    <row r="99" spans="1:17" ht="14.25" customHeight="1">
      <c r="A99" s="57" t="b">
        <f t="shared" si="4"/>
        <v>0</v>
      </c>
      <c r="B99" s="17"/>
      <c r="C99" s="20" t="b">
        <f>C10</f>
        <v>1</v>
      </c>
      <c r="D99" s="20" t="b">
        <f>D10</f>
        <v>0</v>
      </c>
      <c r="E99" s="17"/>
      <c r="F99" s="17"/>
      <c r="G99" s="20" t="b">
        <f>G18</f>
        <v>0</v>
      </c>
      <c r="H99" s="20" t="b">
        <f>H2</f>
        <v>0</v>
      </c>
      <c r="I99" s="20" t="b">
        <f>I4</f>
        <v>0</v>
      </c>
      <c r="J99" s="17"/>
      <c r="K99" s="17"/>
      <c r="L99" s="17"/>
      <c r="M99" s="17"/>
      <c r="N99" s="17"/>
      <c r="O99" s="17"/>
      <c r="P99" s="109" t="b">
        <f t="shared" si="3"/>
        <v>0</v>
      </c>
      <c r="Q99" s="114" t="s">
        <v>288</v>
      </c>
    </row>
    <row r="100" spans="1:17" ht="14.25" customHeight="1">
      <c r="A100" s="57" t="b">
        <f t="shared" si="4"/>
        <v>0</v>
      </c>
      <c r="B100" s="17"/>
      <c r="C100" s="20" t="b">
        <f>C10</f>
        <v>1</v>
      </c>
      <c r="D100" s="20" t="b">
        <f>D10</f>
        <v>0</v>
      </c>
      <c r="E100" s="17"/>
      <c r="F100" s="17"/>
      <c r="G100" s="20" t="b">
        <f>G18</f>
        <v>0</v>
      </c>
      <c r="H100" s="20" t="b">
        <f>H2</f>
        <v>0</v>
      </c>
      <c r="I100" s="20" t="b">
        <f>I4</f>
        <v>0</v>
      </c>
      <c r="J100" s="17"/>
      <c r="K100" s="17"/>
      <c r="L100" s="17"/>
      <c r="M100" s="17"/>
      <c r="N100" s="17"/>
      <c r="O100" s="17"/>
      <c r="P100" s="109" t="b">
        <f t="shared" si="3"/>
        <v>0</v>
      </c>
      <c r="Q100" s="114" t="s">
        <v>289</v>
      </c>
    </row>
    <row r="101" spans="1:17" ht="14.25" customHeight="1">
      <c r="A101" s="57" t="b">
        <f t="shared" si="4"/>
        <v>0</v>
      </c>
      <c r="B101" s="17"/>
      <c r="C101" s="20" t="b">
        <f>C10</f>
        <v>1</v>
      </c>
      <c r="D101" s="20" t="b">
        <f>D10</f>
        <v>0</v>
      </c>
      <c r="E101" s="17"/>
      <c r="F101" s="17"/>
      <c r="G101" s="17"/>
      <c r="H101" s="20" t="b">
        <f>H2</f>
        <v>0</v>
      </c>
      <c r="I101" s="20" t="b">
        <f>I4</f>
        <v>0</v>
      </c>
      <c r="J101" s="17"/>
      <c r="K101" s="20" t="b">
        <f>K16</f>
        <v>0</v>
      </c>
      <c r="L101" s="17"/>
      <c r="M101" s="20" t="b">
        <f>M20</f>
        <v>0</v>
      </c>
      <c r="N101" s="17"/>
      <c r="O101" s="17"/>
      <c r="P101" s="109" t="b">
        <f t="shared" si="3"/>
        <v>0</v>
      </c>
      <c r="Q101" s="114" t="s">
        <v>290</v>
      </c>
    </row>
    <row r="102" spans="1:17" ht="14.25" customHeight="1">
      <c r="A102" s="57" t="b">
        <f t="shared" si="4"/>
        <v>0</v>
      </c>
      <c r="B102" s="17"/>
      <c r="C102" s="20" t="b">
        <f>C10</f>
        <v>1</v>
      </c>
      <c r="D102" s="20" t="b">
        <f>D10</f>
        <v>0</v>
      </c>
      <c r="E102" s="17"/>
      <c r="F102" s="17"/>
      <c r="G102" s="20" t="b">
        <f>G18</f>
        <v>0</v>
      </c>
      <c r="H102" s="20" t="b">
        <f>H2</f>
        <v>0</v>
      </c>
      <c r="I102" s="20" t="b">
        <f>I4</f>
        <v>0</v>
      </c>
      <c r="J102" s="17"/>
      <c r="K102" s="17"/>
      <c r="L102" s="17"/>
      <c r="M102" s="17"/>
      <c r="N102" s="17"/>
      <c r="O102" s="17"/>
      <c r="P102" s="109" t="b">
        <f t="shared" si="3"/>
        <v>0</v>
      </c>
      <c r="Q102" s="114" t="s">
        <v>291</v>
      </c>
    </row>
    <row r="103" spans="1:17" ht="14.25" customHeight="1">
      <c r="A103" s="57" t="b">
        <f t="shared" si="4"/>
        <v>0</v>
      </c>
      <c r="B103" s="17"/>
      <c r="C103" s="20" t="b">
        <f>C10</f>
        <v>1</v>
      </c>
      <c r="D103" s="20" t="b">
        <f>D10</f>
        <v>0</v>
      </c>
      <c r="E103" s="17"/>
      <c r="F103" s="17"/>
      <c r="G103" s="17"/>
      <c r="H103" s="20" t="b">
        <f>H2</f>
        <v>0</v>
      </c>
      <c r="I103" s="20" t="b">
        <f>I4</f>
        <v>0</v>
      </c>
      <c r="J103" s="17"/>
      <c r="K103" s="17"/>
      <c r="L103" s="17"/>
      <c r="M103" s="17"/>
      <c r="N103" s="17"/>
      <c r="O103" s="17"/>
      <c r="P103" s="109" t="b">
        <f t="shared" si="3"/>
        <v>0</v>
      </c>
      <c r="Q103" s="114" t="s">
        <v>292</v>
      </c>
    </row>
    <row r="104" spans="1:17" ht="14.25" customHeight="1">
      <c r="A104" s="58" t="b">
        <f t="shared" si="4"/>
        <v>0</v>
      </c>
      <c r="B104" s="16"/>
      <c r="C104" s="16"/>
      <c r="D104" s="16"/>
      <c r="E104" s="16"/>
      <c r="F104" s="16"/>
      <c r="G104" s="16"/>
      <c r="H104" s="16"/>
      <c r="I104" s="16"/>
      <c r="J104" s="16"/>
      <c r="K104" s="16"/>
      <c r="L104" s="16"/>
      <c r="M104" s="16"/>
      <c r="N104" s="16"/>
      <c r="O104" s="16"/>
      <c r="P104" s="75"/>
      <c r="Q104" s="123"/>
    </row>
    <row r="105" spans="1:17" ht="14.25" customHeight="1">
      <c r="A105" s="57" t="b">
        <f t="shared" si="4"/>
        <v>0</v>
      </c>
      <c r="B105" s="20" t="b">
        <f>B2</f>
        <v>0</v>
      </c>
      <c r="C105" s="17"/>
      <c r="D105" s="20" t="b">
        <f>D10</f>
        <v>0</v>
      </c>
      <c r="E105" s="17"/>
      <c r="F105" s="17"/>
      <c r="G105" s="17"/>
      <c r="H105" s="20" t="b">
        <f>H2</f>
        <v>0</v>
      </c>
      <c r="I105" s="20" t="b">
        <f>I4</f>
        <v>0</v>
      </c>
      <c r="J105" s="17"/>
      <c r="K105" s="20" t="b">
        <f>K16</f>
        <v>0</v>
      </c>
      <c r="L105" s="17"/>
      <c r="M105" s="17"/>
      <c r="N105" s="17"/>
      <c r="O105" s="17"/>
      <c r="P105" s="109" t="b">
        <f t="shared" si="3"/>
        <v>0</v>
      </c>
      <c r="Q105" s="114" t="s">
        <v>293</v>
      </c>
    </row>
    <row r="106" spans="1:17" ht="14.25" customHeight="1">
      <c r="A106" s="57" t="b">
        <f t="shared" si="4"/>
        <v>0</v>
      </c>
      <c r="B106" s="20" t="b">
        <f>B2</f>
        <v>0</v>
      </c>
      <c r="C106" s="17"/>
      <c r="D106" s="20" t="b">
        <f>D10</f>
        <v>0</v>
      </c>
      <c r="E106" s="17"/>
      <c r="F106" s="17"/>
      <c r="G106" s="20" t="b">
        <f>G18</f>
        <v>0</v>
      </c>
      <c r="H106" s="17"/>
      <c r="I106" s="20" t="b">
        <f>I4</f>
        <v>0</v>
      </c>
      <c r="J106" s="17"/>
      <c r="K106" s="20" t="b">
        <f>K16</f>
        <v>0</v>
      </c>
      <c r="L106" s="17"/>
      <c r="M106" s="17"/>
      <c r="N106" s="17"/>
      <c r="O106" s="17"/>
      <c r="P106" s="109" t="b">
        <f t="shared" si="3"/>
        <v>0</v>
      </c>
      <c r="Q106" s="114" t="s">
        <v>294</v>
      </c>
    </row>
    <row r="107" spans="1:17" ht="14.25" customHeight="1">
      <c r="A107" s="57" t="b">
        <f t="shared" si="4"/>
        <v>0</v>
      </c>
      <c r="B107" s="20" t="b">
        <f>B2</f>
        <v>0</v>
      </c>
      <c r="C107" s="17"/>
      <c r="D107" s="20" t="b">
        <f>D10</f>
        <v>0</v>
      </c>
      <c r="E107" s="17"/>
      <c r="F107" s="17"/>
      <c r="G107" s="17"/>
      <c r="H107" s="20" t="b">
        <f>H2</f>
        <v>0</v>
      </c>
      <c r="I107" s="20" t="b">
        <f>I4</f>
        <v>0</v>
      </c>
      <c r="J107" s="17"/>
      <c r="K107" s="20" t="b">
        <f>K16</f>
        <v>0</v>
      </c>
      <c r="L107" s="17"/>
      <c r="M107" s="17"/>
      <c r="N107" s="17"/>
      <c r="O107" s="17"/>
      <c r="P107" s="109" t="b">
        <f t="shared" si="3"/>
        <v>0</v>
      </c>
      <c r="Q107" s="114" t="s">
        <v>295</v>
      </c>
    </row>
    <row r="108" spans="1:17" ht="14.25" customHeight="1">
      <c r="A108" s="57" t="b">
        <f t="shared" si="4"/>
        <v>0</v>
      </c>
      <c r="B108" s="20" t="b">
        <f>B2</f>
        <v>0</v>
      </c>
      <c r="C108" s="17"/>
      <c r="D108" s="20" t="b">
        <f>D10</f>
        <v>0</v>
      </c>
      <c r="E108" s="17"/>
      <c r="F108" s="17"/>
      <c r="G108" s="17"/>
      <c r="H108" s="20" t="b">
        <f>H2</f>
        <v>0</v>
      </c>
      <c r="I108" s="20" t="b">
        <f>I4</f>
        <v>0</v>
      </c>
      <c r="J108" s="17"/>
      <c r="K108" s="20" t="b">
        <f>K16</f>
        <v>0</v>
      </c>
      <c r="L108" s="17"/>
      <c r="M108" s="17"/>
      <c r="N108" s="17"/>
      <c r="O108" s="17"/>
      <c r="P108" s="109" t="b">
        <f t="shared" si="3"/>
        <v>0</v>
      </c>
      <c r="Q108" s="114" t="s">
        <v>296</v>
      </c>
    </row>
    <row r="109" spans="1:17" ht="14.25" customHeight="1">
      <c r="A109" s="57" t="b">
        <f t="shared" si="4"/>
        <v>0</v>
      </c>
      <c r="B109" s="20" t="b">
        <f>B2</f>
        <v>0</v>
      </c>
      <c r="C109" s="17"/>
      <c r="D109" s="20" t="b">
        <f>D10</f>
        <v>0</v>
      </c>
      <c r="E109" s="17"/>
      <c r="F109" s="17"/>
      <c r="G109" s="17"/>
      <c r="H109" s="20" t="b">
        <f>H2</f>
        <v>0</v>
      </c>
      <c r="I109" s="20" t="b">
        <f>I4</f>
        <v>0</v>
      </c>
      <c r="J109" s="17"/>
      <c r="K109" s="20" t="b">
        <f>K16</f>
        <v>0</v>
      </c>
      <c r="L109" s="17"/>
      <c r="M109" s="17"/>
      <c r="N109" s="17"/>
      <c r="O109" s="17"/>
      <c r="P109" s="109" t="b">
        <f t="shared" si="3"/>
        <v>0</v>
      </c>
      <c r="Q109" s="114" t="s">
        <v>297</v>
      </c>
    </row>
    <row r="110" spans="1:17" ht="14.25" customHeight="1">
      <c r="A110" s="57" t="b">
        <f t="shared" si="4"/>
        <v>0</v>
      </c>
      <c r="B110" s="20" t="b">
        <f>B2</f>
        <v>0</v>
      </c>
      <c r="C110" s="17"/>
      <c r="D110" s="20" t="b">
        <f>D10</f>
        <v>0</v>
      </c>
      <c r="E110" s="17"/>
      <c r="F110" s="17"/>
      <c r="G110" s="17"/>
      <c r="H110" s="20" t="b">
        <f>H2</f>
        <v>0</v>
      </c>
      <c r="I110" s="20" t="b">
        <f>I4</f>
        <v>0</v>
      </c>
      <c r="J110" s="17"/>
      <c r="K110" s="20" t="b">
        <f>K16</f>
        <v>0</v>
      </c>
      <c r="L110" s="17"/>
      <c r="M110" s="17"/>
      <c r="N110" s="17"/>
      <c r="O110" s="17"/>
      <c r="P110" s="109" t="b">
        <f t="shared" si="3"/>
        <v>0</v>
      </c>
      <c r="Q110" s="114" t="s">
        <v>298</v>
      </c>
    </row>
    <row r="111" spans="1:17" ht="14.25" customHeight="1">
      <c r="A111" s="57" t="b">
        <f t="shared" si="4"/>
        <v>0</v>
      </c>
      <c r="B111" s="20" t="b">
        <f>B2</f>
        <v>0</v>
      </c>
      <c r="C111" s="17"/>
      <c r="D111" s="20" t="b">
        <f>D10</f>
        <v>0</v>
      </c>
      <c r="E111" s="17"/>
      <c r="F111" s="17"/>
      <c r="G111" s="20" t="b">
        <f>G18</f>
        <v>0</v>
      </c>
      <c r="H111" s="20" t="b">
        <f>H2</f>
        <v>0</v>
      </c>
      <c r="I111" s="20" t="b">
        <f>I4</f>
        <v>0</v>
      </c>
      <c r="J111" s="17"/>
      <c r="K111" s="20" t="b">
        <f>K16</f>
        <v>0</v>
      </c>
      <c r="L111" s="17"/>
      <c r="M111" s="17"/>
      <c r="N111" s="17"/>
      <c r="O111" s="17"/>
      <c r="P111" s="109" t="b">
        <f t="shared" si="3"/>
        <v>0</v>
      </c>
      <c r="Q111" s="114" t="s">
        <v>299</v>
      </c>
    </row>
    <row r="112" spans="1:17" ht="14.25" customHeight="1">
      <c r="A112" s="57" t="b">
        <f t="shared" si="4"/>
        <v>0</v>
      </c>
      <c r="B112" s="20" t="b">
        <f>B2</f>
        <v>0</v>
      </c>
      <c r="C112" s="17"/>
      <c r="D112" s="20" t="b">
        <f>D10</f>
        <v>0</v>
      </c>
      <c r="E112" s="17"/>
      <c r="F112" s="17"/>
      <c r="G112" s="20" t="b">
        <f>G18</f>
        <v>0</v>
      </c>
      <c r="H112" s="17"/>
      <c r="I112" s="20" t="b">
        <f>I4</f>
        <v>0</v>
      </c>
      <c r="J112" s="17"/>
      <c r="K112" s="20" t="b">
        <f>K16</f>
        <v>0</v>
      </c>
      <c r="L112" s="17"/>
      <c r="M112" s="17"/>
      <c r="N112" s="17"/>
      <c r="O112" s="17"/>
      <c r="P112" s="109" t="b">
        <f t="shared" si="3"/>
        <v>0</v>
      </c>
      <c r="Q112" s="114" t="s">
        <v>300</v>
      </c>
    </row>
    <row r="113" spans="1:17" ht="14.25" customHeight="1">
      <c r="A113" s="57" t="b">
        <f t="shared" si="4"/>
        <v>0</v>
      </c>
      <c r="B113" s="20" t="b">
        <f>B2</f>
        <v>0</v>
      </c>
      <c r="C113" s="17"/>
      <c r="D113" s="20" t="b">
        <f>D10</f>
        <v>0</v>
      </c>
      <c r="E113" s="17"/>
      <c r="F113" s="17"/>
      <c r="G113" s="17"/>
      <c r="H113" s="17"/>
      <c r="I113" s="20" t="b">
        <f>I4</f>
        <v>0</v>
      </c>
      <c r="J113" s="17"/>
      <c r="K113" s="20" t="b">
        <f>K16</f>
        <v>0</v>
      </c>
      <c r="L113" s="17"/>
      <c r="M113" s="17"/>
      <c r="N113" s="17"/>
      <c r="O113" s="17"/>
      <c r="P113" s="109" t="b">
        <f t="shared" si="3"/>
        <v>0</v>
      </c>
      <c r="Q113" s="114" t="s">
        <v>301</v>
      </c>
    </row>
    <row r="114" spans="1:17" ht="14.25" customHeight="1">
      <c r="A114" s="58" t="b">
        <f t="shared" si="4"/>
        <v>0</v>
      </c>
      <c r="B114" s="16"/>
      <c r="C114" s="16"/>
      <c r="D114" s="16"/>
      <c r="E114" s="16"/>
      <c r="F114" s="16"/>
      <c r="G114" s="16"/>
      <c r="H114" s="16"/>
      <c r="I114" s="16"/>
      <c r="J114" s="16"/>
      <c r="K114" s="16"/>
      <c r="L114" s="16"/>
      <c r="M114" s="16"/>
      <c r="N114" s="16"/>
      <c r="O114" s="16"/>
      <c r="P114" s="75"/>
      <c r="Q114" s="115"/>
    </row>
    <row r="115" spans="1:17" ht="14.25" customHeight="1">
      <c r="A115" s="57" t="b">
        <f t="shared" si="4"/>
        <v>0</v>
      </c>
      <c r="B115" s="20" t="b">
        <f>B2</f>
        <v>0</v>
      </c>
      <c r="C115" s="17"/>
      <c r="D115" s="17"/>
      <c r="E115" s="20" t="b">
        <f>E2</f>
        <v>0</v>
      </c>
      <c r="F115" s="17"/>
      <c r="G115" s="20" t="b">
        <f>G18</f>
        <v>0</v>
      </c>
      <c r="H115" s="17"/>
      <c r="I115" s="20" t="b">
        <f>I4</f>
        <v>0</v>
      </c>
      <c r="J115" s="20" t="b">
        <f>J18</f>
        <v>0</v>
      </c>
      <c r="K115" s="20" t="b">
        <f>K16</f>
        <v>0</v>
      </c>
      <c r="L115" s="17"/>
      <c r="M115" s="17"/>
      <c r="N115" s="17"/>
      <c r="O115" s="17"/>
      <c r="P115" s="109" t="b">
        <f t="shared" si="3"/>
        <v>0</v>
      </c>
      <c r="Q115" s="117" t="s">
        <v>330</v>
      </c>
    </row>
    <row r="116" spans="1:17">
      <c r="A116" s="57" t="b">
        <f t="shared" si="4"/>
        <v>0</v>
      </c>
      <c r="B116" s="20" t="b">
        <f>B2</f>
        <v>0</v>
      </c>
      <c r="C116" s="17"/>
      <c r="D116" s="17"/>
      <c r="E116" s="20" t="b">
        <f>E2</f>
        <v>0</v>
      </c>
      <c r="F116" s="17"/>
      <c r="G116" s="20" t="b">
        <f>G18</f>
        <v>0</v>
      </c>
      <c r="H116" s="20" t="b">
        <f>H2</f>
        <v>0</v>
      </c>
      <c r="I116" s="20" t="b">
        <f>I4</f>
        <v>0</v>
      </c>
      <c r="J116" s="20" t="b">
        <f>J18</f>
        <v>0</v>
      </c>
      <c r="K116" s="20" t="b">
        <f>K16</f>
        <v>0</v>
      </c>
      <c r="L116" s="17"/>
      <c r="M116" s="17"/>
      <c r="N116" s="17"/>
      <c r="O116" s="17"/>
      <c r="P116" s="109" t="b">
        <f t="shared" si="3"/>
        <v>0</v>
      </c>
      <c r="Q116" s="117" t="s">
        <v>331</v>
      </c>
    </row>
    <row r="117" spans="1:17">
      <c r="A117" s="57" t="b">
        <f t="shared" si="4"/>
        <v>0</v>
      </c>
      <c r="B117" s="20" t="b">
        <f>B2</f>
        <v>0</v>
      </c>
      <c r="C117" s="17"/>
      <c r="D117" s="17"/>
      <c r="E117" s="20" t="b">
        <f>E2</f>
        <v>0</v>
      </c>
      <c r="F117" s="17"/>
      <c r="G117" s="20" t="b">
        <f>G18</f>
        <v>0</v>
      </c>
      <c r="H117" s="17"/>
      <c r="I117" s="20" t="b">
        <f>I4</f>
        <v>0</v>
      </c>
      <c r="J117" s="20" t="b">
        <f>J18</f>
        <v>0</v>
      </c>
      <c r="K117" s="20" t="b">
        <f>K16</f>
        <v>0</v>
      </c>
      <c r="L117" s="17"/>
      <c r="M117" s="17"/>
      <c r="N117" s="17"/>
      <c r="O117" s="17"/>
      <c r="P117" s="109" t="b">
        <f t="shared" si="3"/>
        <v>0</v>
      </c>
      <c r="Q117" s="117" t="s">
        <v>332</v>
      </c>
    </row>
    <row r="118" spans="1:17">
      <c r="A118" s="57" t="b">
        <f t="shared" si="4"/>
        <v>0</v>
      </c>
      <c r="B118" s="20" t="b">
        <f>B2</f>
        <v>0</v>
      </c>
      <c r="C118" s="17"/>
      <c r="D118" s="17"/>
      <c r="E118" s="20" t="b">
        <f>E2</f>
        <v>0</v>
      </c>
      <c r="F118" s="17"/>
      <c r="G118" s="17"/>
      <c r="H118" s="20" t="b">
        <f>H2</f>
        <v>0</v>
      </c>
      <c r="I118" s="20" t="b">
        <f>I4</f>
        <v>0</v>
      </c>
      <c r="J118" s="17"/>
      <c r="K118" s="20" t="b">
        <f>K16</f>
        <v>0</v>
      </c>
      <c r="L118" s="17"/>
      <c r="M118" s="17"/>
      <c r="N118" s="17"/>
      <c r="O118" s="17"/>
      <c r="P118" s="109" t="b">
        <f t="shared" si="3"/>
        <v>0</v>
      </c>
      <c r="Q118" s="117" t="s">
        <v>333</v>
      </c>
    </row>
    <row r="119" spans="1:17">
      <c r="A119" s="57" t="b">
        <f t="shared" si="4"/>
        <v>0</v>
      </c>
      <c r="B119" s="20" t="b">
        <f>B2</f>
        <v>0</v>
      </c>
      <c r="C119" s="17"/>
      <c r="D119" s="20" t="b">
        <f>D10</f>
        <v>0</v>
      </c>
      <c r="E119" s="17"/>
      <c r="F119" s="17"/>
      <c r="G119" s="20" t="b">
        <f>G18</f>
        <v>0</v>
      </c>
      <c r="H119" s="20" t="b">
        <f>H2</f>
        <v>0</v>
      </c>
      <c r="I119" s="20" t="b">
        <f>I4</f>
        <v>0</v>
      </c>
      <c r="J119" s="20" t="b">
        <f>J18</f>
        <v>0</v>
      </c>
      <c r="K119" s="20" t="b">
        <f>K16</f>
        <v>0</v>
      </c>
      <c r="L119" s="17"/>
      <c r="M119" s="20" t="b">
        <f>M20</f>
        <v>0</v>
      </c>
      <c r="N119" s="17"/>
      <c r="O119" s="17"/>
      <c r="P119" s="109" t="b">
        <f t="shared" si="3"/>
        <v>0</v>
      </c>
      <c r="Q119" s="117" t="s">
        <v>334</v>
      </c>
    </row>
    <row r="120" spans="1:17">
      <c r="A120" s="57" t="b">
        <f t="shared" si="4"/>
        <v>0</v>
      </c>
      <c r="B120" s="20" t="b">
        <f>B2</f>
        <v>0</v>
      </c>
      <c r="C120" s="17"/>
      <c r="D120" s="20" t="b">
        <f>D10</f>
        <v>0</v>
      </c>
      <c r="E120" s="17"/>
      <c r="F120" s="17"/>
      <c r="G120" s="20" t="b">
        <f>G18</f>
        <v>0</v>
      </c>
      <c r="H120" s="17"/>
      <c r="I120" s="20" t="b">
        <f>I4</f>
        <v>0</v>
      </c>
      <c r="J120" s="20" t="b">
        <f>J18</f>
        <v>0</v>
      </c>
      <c r="K120" s="20" t="b">
        <f>K16</f>
        <v>0</v>
      </c>
      <c r="L120" s="17"/>
      <c r="M120" s="20" t="b">
        <f>M20</f>
        <v>0</v>
      </c>
      <c r="N120" s="17"/>
      <c r="O120" s="17"/>
      <c r="P120" s="109" t="b">
        <f t="shared" si="3"/>
        <v>0</v>
      </c>
      <c r="Q120" s="117" t="s">
        <v>335</v>
      </c>
    </row>
    <row r="121" spans="1:17">
      <c r="A121" s="57" t="b">
        <f t="shared" si="4"/>
        <v>0</v>
      </c>
      <c r="B121" s="20" t="b">
        <f>B2</f>
        <v>0</v>
      </c>
      <c r="C121" s="17"/>
      <c r="D121" s="20" t="b">
        <f>D10</f>
        <v>0</v>
      </c>
      <c r="E121" s="17"/>
      <c r="F121" s="17"/>
      <c r="G121" s="20" t="b">
        <f>G18</f>
        <v>0</v>
      </c>
      <c r="H121" s="17"/>
      <c r="I121" s="20" t="b">
        <f>I4</f>
        <v>0</v>
      </c>
      <c r="J121" s="20" t="b">
        <f>J18</f>
        <v>0</v>
      </c>
      <c r="K121" s="20" t="b">
        <f>K16</f>
        <v>0</v>
      </c>
      <c r="L121" s="17"/>
      <c r="M121" s="20" t="b">
        <f>M20</f>
        <v>0</v>
      </c>
      <c r="N121" s="17"/>
      <c r="O121" s="17"/>
      <c r="P121" s="109" t="b">
        <f t="shared" si="3"/>
        <v>0</v>
      </c>
      <c r="Q121" s="117" t="s">
        <v>336</v>
      </c>
    </row>
    <row r="122" spans="1:17">
      <c r="A122" s="57" t="b">
        <f t="shared" si="4"/>
        <v>0</v>
      </c>
      <c r="B122" s="17"/>
      <c r="C122" s="20" t="b">
        <f>C10</f>
        <v>1</v>
      </c>
      <c r="D122" s="20" t="b">
        <f>D10</f>
        <v>0</v>
      </c>
      <c r="E122" s="17"/>
      <c r="F122" s="17"/>
      <c r="G122" s="20" t="b">
        <f>G18</f>
        <v>0</v>
      </c>
      <c r="H122" s="20" t="b">
        <f>H2</f>
        <v>0</v>
      </c>
      <c r="I122" s="17"/>
      <c r="J122" s="17"/>
      <c r="K122" s="20" t="b">
        <f>K16</f>
        <v>0</v>
      </c>
      <c r="L122" s="17"/>
      <c r="M122" s="17"/>
      <c r="N122" s="17"/>
      <c r="O122" s="17"/>
      <c r="P122" s="109" t="b">
        <f t="shared" si="3"/>
        <v>0</v>
      </c>
      <c r="Q122" s="117" t="s">
        <v>337</v>
      </c>
    </row>
    <row r="123" spans="1:17">
      <c r="A123" s="57" t="b">
        <f t="shared" si="4"/>
        <v>0</v>
      </c>
      <c r="B123" s="17"/>
      <c r="C123" s="20" t="b">
        <f>C10</f>
        <v>1</v>
      </c>
      <c r="D123" s="20" t="b">
        <f>D10</f>
        <v>0</v>
      </c>
      <c r="E123" s="17"/>
      <c r="F123" s="17"/>
      <c r="G123" s="20" t="b">
        <f>G18</f>
        <v>0</v>
      </c>
      <c r="H123" s="20" t="b">
        <f>H2</f>
        <v>0</v>
      </c>
      <c r="I123" s="20" t="b">
        <f>I4</f>
        <v>0</v>
      </c>
      <c r="J123" s="17"/>
      <c r="K123" s="20" t="b">
        <f>K16</f>
        <v>0</v>
      </c>
      <c r="L123" s="17"/>
      <c r="M123" s="17"/>
      <c r="N123" s="17"/>
      <c r="O123" s="17"/>
      <c r="P123" s="109" t="b">
        <f t="shared" si="3"/>
        <v>0</v>
      </c>
      <c r="Q123" s="117" t="s">
        <v>338</v>
      </c>
    </row>
    <row r="124" spans="1:17">
      <c r="A124" s="57" t="b">
        <f t="shared" si="4"/>
        <v>0</v>
      </c>
      <c r="B124" s="20" t="b">
        <f>B2</f>
        <v>0</v>
      </c>
      <c r="C124" s="17"/>
      <c r="D124" s="17"/>
      <c r="E124" s="20" t="b">
        <f>E2</f>
        <v>0</v>
      </c>
      <c r="F124" s="17"/>
      <c r="G124" s="20" t="b">
        <f>G18</f>
        <v>0</v>
      </c>
      <c r="H124" s="17"/>
      <c r="I124" s="20" t="b">
        <f>I4</f>
        <v>0</v>
      </c>
      <c r="J124" s="20" t="b">
        <f>J18</f>
        <v>0</v>
      </c>
      <c r="K124" s="20" t="b">
        <f>K16</f>
        <v>0</v>
      </c>
      <c r="L124" s="17"/>
      <c r="M124" s="17"/>
      <c r="N124" s="17"/>
      <c r="O124" s="17"/>
      <c r="P124" s="109" t="b">
        <f t="shared" si="3"/>
        <v>0</v>
      </c>
      <c r="Q124" s="117" t="s">
        <v>339</v>
      </c>
    </row>
    <row r="125" spans="1:17">
      <c r="A125" s="57" t="b">
        <f t="shared" si="4"/>
        <v>0</v>
      </c>
      <c r="B125" s="20" t="b">
        <f>B2</f>
        <v>0</v>
      </c>
      <c r="C125" s="17"/>
      <c r="D125" s="20" t="b">
        <f>D10</f>
        <v>0</v>
      </c>
      <c r="E125" s="17"/>
      <c r="F125" s="17"/>
      <c r="G125" s="20" t="b">
        <f>G18</f>
        <v>0</v>
      </c>
      <c r="H125" s="20" t="b">
        <f>H2</f>
        <v>0</v>
      </c>
      <c r="I125" s="20" t="b">
        <f>I4</f>
        <v>0</v>
      </c>
      <c r="J125" s="20" t="b">
        <f>J18</f>
        <v>0</v>
      </c>
      <c r="K125" s="20" t="b">
        <f>K16</f>
        <v>0</v>
      </c>
      <c r="L125" s="17"/>
      <c r="M125" s="20" t="b">
        <f>M20</f>
        <v>0</v>
      </c>
      <c r="N125" s="17"/>
      <c r="O125" s="17"/>
      <c r="P125" s="109" t="b">
        <f t="shared" si="3"/>
        <v>0</v>
      </c>
      <c r="Q125" s="117" t="s">
        <v>340</v>
      </c>
    </row>
    <row r="126" spans="1:17">
      <c r="A126" s="57" t="b">
        <f t="shared" si="4"/>
        <v>0</v>
      </c>
      <c r="B126" s="20" t="b">
        <f>B2</f>
        <v>0</v>
      </c>
      <c r="C126" s="17"/>
      <c r="D126" s="20" t="b">
        <f>D10</f>
        <v>0</v>
      </c>
      <c r="E126" s="17"/>
      <c r="F126" s="17"/>
      <c r="G126" s="20" t="b">
        <f>G18</f>
        <v>0</v>
      </c>
      <c r="H126" s="17"/>
      <c r="I126" s="20" t="b">
        <f>I4</f>
        <v>0</v>
      </c>
      <c r="J126" s="20" t="b">
        <f>J18</f>
        <v>0</v>
      </c>
      <c r="K126" s="20" t="b">
        <f>K16</f>
        <v>0</v>
      </c>
      <c r="L126" s="17"/>
      <c r="M126" s="17"/>
      <c r="N126" s="17"/>
      <c r="O126" s="17"/>
      <c r="P126" s="109" t="b">
        <f t="shared" si="3"/>
        <v>0</v>
      </c>
      <c r="Q126" s="117" t="s">
        <v>341</v>
      </c>
    </row>
    <row r="127" spans="1:17">
      <c r="A127" s="57" t="b">
        <f t="shared" si="4"/>
        <v>0</v>
      </c>
      <c r="B127" s="20" t="b">
        <f>B2</f>
        <v>0</v>
      </c>
      <c r="C127" s="17"/>
      <c r="D127" s="20" t="b">
        <f>D10</f>
        <v>0</v>
      </c>
      <c r="E127" s="17"/>
      <c r="F127" s="17"/>
      <c r="G127" s="20" t="b">
        <f>G18</f>
        <v>0</v>
      </c>
      <c r="H127" s="17"/>
      <c r="I127" s="17"/>
      <c r="J127" s="20" t="b">
        <f>J18</f>
        <v>0</v>
      </c>
      <c r="K127" s="17"/>
      <c r="L127" s="17"/>
      <c r="M127" s="20" t="b">
        <f>M20</f>
        <v>0</v>
      </c>
      <c r="N127" s="17"/>
      <c r="O127" s="17"/>
      <c r="P127" s="109" t="b">
        <f t="shared" si="3"/>
        <v>0</v>
      </c>
      <c r="Q127" s="117" t="s">
        <v>342</v>
      </c>
    </row>
    <row r="128" spans="1:17">
      <c r="A128" s="57" t="b">
        <f t="shared" si="4"/>
        <v>0</v>
      </c>
      <c r="B128" s="20" t="b">
        <f>B2</f>
        <v>0</v>
      </c>
      <c r="C128" s="17"/>
      <c r="D128" s="20" t="b">
        <f>D10</f>
        <v>0</v>
      </c>
      <c r="E128" s="17"/>
      <c r="F128" s="17"/>
      <c r="G128" s="17"/>
      <c r="H128" s="17"/>
      <c r="I128" s="17"/>
      <c r="J128" s="20" t="b">
        <f>J18</f>
        <v>0</v>
      </c>
      <c r="K128" s="17"/>
      <c r="L128" s="17"/>
      <c r="M128" s="20" t="b">
        <f>M20</f>
        <v>0</v>
      </c>
      <c r="N128" s="17"/>
      <c r="O128" s="17"/>
      <c r="P128" s="109" t="b">
        <f t="shared" si="3"/>
        <v>0</v>
      </c>
      <c r="Q128" s="117" t="s">
        <v>343</v>
      </c>
    </row>
    <row r="129" spans="1:17">
      <c r="A129" s="57" t="b">
        <f t="shared" si="4"/>
        <v>0</v>
      </c>
      <c r="B129" s="20" t="b">
        <f>B2</f>
        <v>0</v>
      </c>
      <c r="C129" s="17"/>
      <c r="D129" s="20" t="b">
        <f>D10</f>
        <v>0</v>
      </c>
      <c r="E129" s="17"/>
      <c r="F129" s="17"/>
      <c r="G129" s="20" t="b">
        <f>G18</f>
        <v>0</v>
      </c>
      <c r="H129" s="17"/>
      <c r="I129" s="17"/>
      <c r="J129" s="20" t="b">
        <f>J18</f>
        <v>0</v>
      </c>
      <c r="K129" s="17"/>
      <c r="L129" s="17"/>
      <c r="M129" s="20" t="b">
        <f>M20</f>
        <v>0</v>
      </c>
      <c r="N129" s="17"/>
      <c r="O129" s="17"/>
      <c r="P129" s="109" t="b">
        <f t="shared" si="3"/>
        <v>0</v>
      </c>
      <c r="Q129" s="117" t="s">
        <v>551</v>
      </c>
    </row>
    <row r="130" spans="1:17">
      <c r="A130" s="57" t="b">
        <f t="shared" si="4"/>
        <v>0</v>
      </c>
      <c r="B130" s="20" t="b">
        <f>B2</f>
        <v>0</v>
      </c>
      <c r="C130" s="17"/>
      <c r="D130" s="20" t="b">
        <f>D10</f>
        <v>0</v>
      </c>
      <c r="E130" s="17"/>
      <c r="F130" s="17"/>
      <c r="G130" s="17"/>
      <c r="H130" s="17"/>
      <c r="I130" s="17"/>
      <c r="J130" s="20" t="b">
        <f>J18</f>
        <v>0</v>
      </c>
      <c r="K130" s="17"/>
      <c r="L130" s="17"/>
      <c r="M130" s="20" t="b">
        <f>M20</f>
        <v>0</v>
      </c>
      <c r="N130" s="17"/>
      <c r="O130" s="17"/>
      <c r="P130" s="109" t="b">
        <f t="shared" si="3"/>
        <v>0</v>
      </c>
      <c r="Q130" s="117" t="s">
        <v>344</v>
      </c>
    </row>
    <row r="131" spans="1:17">
      <c r="A131" s="57" t="b">
        <f t="shared" si="4"/>
        <v>0</v>
      </c>
      <c r="B131" s="20" t="b">
        <f>B2</f>
        <v>0</v>
      </c>
      <c r="C131" s="17"/>
      <c r="D131" s="20" t="b">
        <f>D10</f>
        <v>0</v>
      </c>
      <c r="E131" s="17"/>
      <c r="F131" s="17"/>
      <c r="G131" s="20" t="b">
        <f>G18</f>
        <v>0</v>
      </c>
      <c r="H131" s="17"/>
      <c r="I131" s="17"/>
      <c r="J131" s="20" t="b">
        <f>J18</f>
        <v>0</v>
      </c>
      <c r="K131" s="17"/>
      <c r="L131" s="17"/>
      <c r="M131" s="20" t="b">
        <f>M20</f>
        <v>0</v>
      </c>
      <c r="N131" s="17"/>
      <c r="O131" s="17"/>
      <c r="P131" s="109" t="b">
        <f t="shared" ref="P131:P158" si="5">AND(B131:O131)</f>
        <v>0</v>
      </c>
      <c r="Q131" s="117" t="s">
        <v>345</v>
      </c>
    </row>
    <row r="132" spans="1:17">
      <c r="A132" s="57" t="b">
        <f t="shared" si="4"/>
        <v>0</v>
      </c>
      <c r="B132" s="20" t="b">
        <f>B2</f>
        <v>0</v>
      </c>
      <c r="C132" s="17"/>
      <c r="D132" s="20" t="b">
        <f>D10</f>
        <v>0</v>
      </c>
      <c r="E132" s="17"/>
      <c r="F132" s="17"/>
      <c r="G132" s="20" t="b">
        <f>G18</f>
        <v>0</v>
      </c>
      <c r="H132" s="17"/>
      <c r="I132" s="20" t="b">
        <f>I4</f>
        <v>0</v>
      </c>
      <c r="J132" s="20" t="b">
        <f>J18</f>
        <v>0</v>
      </c>
      <c r="K132" s="17"/>
      <c r="L132" s="17"/>
      <c r="M132" s="20" t="b">
        <f>M20</f>
        <v>0</v>
      </c>
      <c r="N132" s="17"/>
      <c r="O132" s="17"/>
      <c r="P132" s="109" t="b">
        <f t="shared" si="5"/>
        <v>0</v>
      </c>
      <c r="Q132" s="117" t="s">
        <v>346</v>
      </c>
    </row>
    <row r="133" spans="1:17">
      <c r="A133" s="57" t="b">
        <f t="shared" si="4"/>
        <v>0</v>
      </c>
      <c r="B133" s="20" t="b">
        <f>B2</f>
        <v>0</v>
      </c>
      <c r="C133" s="17"/>
      <c r="D133" s="20" t="b">
        <f>D10</f>
        <v>0</v>
      </c>
      <c r="E133" s="17"/>
      <c r="F133" s="17"/>
      <c r="G133" s="20" t="b">
        <f>G18</f>
        <v>0</v>
      </c>
      <c r="H133" s="17"/>
      <c r="I133" s="20" t="b">
        <f>I4</f>
        <v>0</v>
      </c>
      <c r="J133" s="20" t="b">
        <f>J18</f>
        <v>0</v>
      </c>
      <c r="K133" s="17"/>
      <c r="L133" s="17"/>
      <c r="M133" s="20" t="b">
        <f>M20</f>
        <v>0</v>
      </c>
      <c r="N133" s="17"/>
      <c r="O133" s="17"/>
      <c r="P133" s="109" t="b">
        <f t="shared" si="5"/>
        <v>0</v>
      </c>
      <c r="Q133" s="117" t="s">
        <v>347</v>
      </c>
    </row>
    <row r="134" spans="1:17">
      <c r="A134" s="57" t="b">
        <f t="shared" si="4"/>
        <v>0</v>
      </c>
      <c r="B134" s="20" t="b">
        <f>B2</f>
        <v>0</v>
      </c>
      <c r="C134" s="17"/>
      <c r="D134" s="20" t="b">
        <f>D10</f>
        <v>0</v>
      </c>
      <c r="E134" s="17"/>
      <c r="F134" s="17"/>
      <c r="G134" s="17"/>
      <c r="H134" s="20" t="b">
        <f>H2</f>
        <v>0</v>
      </c>
      <c r="I134" s="17"/>
      <c r="J134" s="17"/>
      <c r="K134" s="17"/>
      <c r="L134" s="17"/>
      <c r="M134" s="17"/>
      <c r="N134" s="17"/>
      <c r="O134" s="17"/>
      <c r="P134" s="109" t="b">
        <f t="shared" si="5"/>
        <v>0</v>
      </c>
      <c r="Q134" s="117" t="s">
        <v>348</v>
      </c>
    </row>
    <row r="135" spans="1:17">
      <c r="A135" s="57" t="b">
        <f t="shared" si="4"/>
        <v>0</v>
      </c>
      <c r="B135" s="20" t="b">
        <f>B2</f>
        <v>0</v>
      </c>
      <c r="C135" s="17"/>
      <c r="D135" s="20" t="b">
        <f>D10</f>
        <v>0</v>
      </c>
      <c r="E135" s="17"/>
      <c r="F135" s="17"/>
      <c r="G135" s="20" t="b">
        <f>G18</f>
        <v>0</v>
      </c>
      <c r="H135" s="17"/>
      <c r="I135" s="17"/>
      <c r="J135" s="17"/>
      <c r="K135" s="17"/>
      <c r="L135" s="17"/>
      <c r="M135" s="20" t="b">
        <f>M20</f>
        <v>0</v>
      </c>
      <c r="N135" s="17"/>
      <c r="O135" s="17"/>
      <c r="P135" s="109" t="b">
        <f t="shared" si="5"/>
        <v>0</v>
      </c>
      <c r="Q135" s="117" t="s">
        <v>349</v>
      </c>
    </row>
    <row r="136" spans="1:17">
      <c r="A136" s="57" t="b">
        <f t="shared" si="4"/>
        <v>0</v>
      </c>
      <c r="B136" s="17"/>
      <c r="C136" s="20" t="b">
        <f>C10</f>
        <v>1</v>
      </c>
      <c r="D136" s="20" t="b">
        <f>D10</f>
        <v>0</v>
      </c>
      <c r="E136" s="17"/>
      <c r="F136" s="17"/>
      <c r="G136" s="20" t="b">
        <f>G18</f>
        <v>0</v>
      </c>
      <c r="H136" s="17"/>
      <c r="I136" s="20" t="b">
        <f>I4</f>
        <v>0</v>
      </c>
      <c r="J136" s="17"/>
      <c r="K136" s="17"/>
      <c r="L136" s="17"/>
      <c r="M136" s="17"/>
      <c r="N136" s="17"/>
      <c r="O136" s="17"/>
      <c r="P136" s="109" t="b">
        <f t="shared" si="5"/>
        <v>0</v>
      </c>
      <c r="Q136" s="117" t="s">
        <v>351</v>
      </c>
    </row>
    <row r="137" spans="1:17">
      <c r="A137" s="57" t="b">
        <f t="shared" si="4"/>
        <v>0</v>
      </c>
      <c r="B137" s="17"/>
      <c r="C137" s="20" t="b">
        <f>C10</f>
        <v>1</v>
      </c>
      <c r="D137" s="20" t="b">
        <f>D10</f>
        <v>0</v>
      </c>
      <c r="E137" s="17"/>
      <c r="F137" s="17"/>
      <c r="G137" s="17"/>
      <c r="H137" s="20" t="b">
        <f>H2</f>
        <v>0</v>
      </c>
      <c r="I137" s="17"/>
      <c r="J137" s="17"/>
      <c r="K137" s="17"/>
      <c r="L137" s="17"/>
      <c r="M137" s="17"/>
      <c r="N137" s="17"/>
      <c r="O137" s="17"/>
      <c r="P137" s="109" t="b">
        <f t="shared" si="5"/>
        <v>0</v>
      </c>
      <c r="Q137" s="117" t="s">
        <v>352</v>
      </c>
    </row>
    <row r="138" spans="1:17">
      <c r="A138" s="57" t="b">
        <f t="shared" si="4"/>
        <v>0</v>
      </c>
      <c r="B138" s="17"/>
      <c r="C138" s="20" t="b">
        <f>C10</f>
        <v>1</v>
      </c>
      <c r="D138" s="20" t="b">
        <f>D10</f>
        <v>0</v>
      </c>
      <c r="E138" s="17"/>
      <c r="F138" s="17"/>
      <c r="G138" s="20" t="b">
        <f>G18</f>
        <v>0</v>
      </c>
      <c r="H138" s="17"/>
      <c r="I138" s="17"/>
      <c r="J138" s="17"/>
      <c r="K138" s="17"/>
      <c r="L138" s="17"/>
      <c r="M138" s="17"/>
      <c r="N138" s="17"/>
      <c r="O138" s="17"/>
      <c r="P138" s="109" t="b">
        <f t="shared" si="5"/>
        <v>0</v>
      </c>
      <c r="Q138" s="117" t="s">
        <v>353</v>
      </c>
    </row>
    <row r="139" spans="1:17">
      <c r="A139" s="57" t="b">
        <f t="shared" si="4"/>
        <v>0</v>
      </c>
      <c r="B139" s="20" t="b">
        <f>B2</f>
        <v>0</v>
      </c>
      <c r="C139" s="17"/>
      <c r="D139" s="20" t="b">
        <f>D10</f>
        <v>0</v>
      </c>
      <c r="E139" s="17"/>
      <c r="F139" s="17"/>
      <c r="G139" s="20" t="b">
        <f>G18</f>
        <v>0</v>
      </c>
      <c r="H139" s="17"/>
      <c r="I139" s="17"/>
      <c r="J139" s="17"/>
      <c r="K139" s="17"/>
      <c r="L139" s="17"/>
      <c r="M139" s="20" t="b">
        <f>M20</f>
        <v>0</v>
      </c>
      <c r="N139" s="17"/>
      <c r="O139" s="17"/>
      <c r="P139" s="109" t="b">
        <f t="shared" si="5"/>
        <v>0</v>
      </c>
      <c r="Q139" s="117" t="s">
        <v>350</v>
      </c>
    </row>
    <row r="140" spans="1:17">
      <c r="A140" s="57" t="b">
        <f t="shared" si="4"/>
        <v>0</v>
      </c>
      <c r="B140" s="20" t="b">
        <f>B2</f>
        <v>0</v>
      </c>
      <c r="C140" s="17"/>
      <c r="D140" s="17"/>
      <c r="E140" s="20" t="b">
        <f>E2</f>
        <v>0</v>
      </c>
      <c r="F140" s="17"/>
      <c r="G140" s="17"/>
      <c r="H140" s="20" t="b">
        <f>H2</f>
        <v>0</v>
      </c>
      <c r="I140" s="20" t="b">
        <f>I4</f>
        <v>0</v>
      </c>
      <c r="J140" s="17"/>
      <c r="K140" s="20" t="b">
        <f>K16</f>
        <v>0</v>
      </c>
      <c r="L140" s="17"/>
      <c r="M140" s="17"/>
      <c r="N140" s="17"/>
      <c r="O140" s="17"/>
      <c r="P140" s="109" t="b">
        <f t="shared" si="5"/>
        <v>0</v>
      </c>
      <c r="Q140" s="117" t="s">
        <v>354</v>
      </c>
    </row>
    <row r="141" spans="1:17">
      <c r="A141" s="57" t="b">
        <f t="shared" si="4"/>
        <v>0</v>
      </c>
      <c r="B141" s="20" t="b">
        <f>B2</f>
        <v>0</v>
      </c>
      <c r="C141" s="17"/>
      <c r="D141" s="17"/>
      <c r="E141" s="20" t="b">
        <f>E2</f>
        <v>0</v>
      </c>
      <c r="F141" s="17"/>
      <c r="G141" s="17"/>
      <c r="H141" s="20" t="b">
        <f>H2</f>
        <v>0</v>
      </c>
      <c r="I141" s="20" t="b">
        <f>I4</f>
        <v>0</v>
      </c>
      <c r="J141" s="17"/>
      <c r="K141" s="20" t="b">
        <f>K16</f>
        <v>0</v>
      </c>
      <c r="L141" s="17"/>
      <c r="M141" s="17"/>
      <c r="N141" s="17"/>
      <c r="O141" s="17"/>
      <c r="P141" s="109" t="b">
        <f t="shared" si="5"/>
        <v>0</v>
      </c>
      <c r="Q141" s="117" t="s">
        <v>355</v>
      </c>
    </row>
    <row r="142" spans="1:17">
      <c r="A142" s="57" t="b">
        <f t="shared" si="4"/>
        <v>0</v>
      </c>
      <c r="B142" s="20" t="b">
        <f>B2</f>
        <v>0</v>
      </c>
      <c r="C142" s="17"/>
      <c r="D142" s="20" t="b">
        <f>D10</f>
        <v>0</v>
      </c>
      <c r="E142" s="17"/>
      <c r="F142" s="17"/>
      <c r="G142" s="17"/>
      <c r="H142" s="17"/>
      <c r="I142" s="17"/>
      <c r="J142" s="20" t="b">
        <f>J18</f>
        <v>0</v>
      </c>
      <c r="K142" s="17"/>
      <c r="L142" s="17"/>
      <c r="M142" s="20" t="b">
        <f>M20</f>
        <v>0</v>
      </c>
      <c r="N142" s="17"/>
      <c r="O142" s="17"/>
      <c r="P142" s="109" t="b">
        <f t="shared" si="5"/>
        <v>0</v>
      </c>
      <c r="Q142" s="117" t="s">
        <v>356</v>
      </c>
    </row>
    <row r="143" spans="1:17">
      <c r="A143" s="57" t="b">
        <f t="shared" si="4"/>
        <v>0</v>
      </c>
      <c r="B143" s="20" t="b">
        <f>B2</f>
        <v>0</v>
      </c>
      <c r="C143" s="17"/>
      <c r="D143" s="17"/>
      <c r="E143" s="20" t="b">
        <f>E2</f>
        <v>0</v>
      </c>
      <c r="F143" s="17"/>
      <c r="G143" s="17"/>
      <c r="H143" s="17"/>
      <c r="I143" s="17"/>
      <c r="J143" s="17"/>
      <c r="K143" s="17"/>
      <c r="L143" s="17"/>
      <c r="M143" s="17"/>
      <c r="N143" s="20" t="b">
        <f>AND('Cough &amp; Cold Criteria'!B23,'Cough &amp; Cold Criteria'!C13)</f>
        <v>0</v>
      </c>
      <c r="O143" s="20" t="b">
        <f>AND('Cough &amp; Cold Criteria'!B23)</f>
        <v>0</v>
      </c>
      <c r="P143" s="109" t="b">
        <f t="shared" si="5"/>
        <v>0</v>
      </c>
      <c r="Q143" s="117" t="s">
        <v>357</v>
      </c>
    </row>
    <row r="144" spans="1:17">
      <c r="A144" s="58" t="b">
        <f t="shared" si="4"/>
        <v>0</v>
      </c>
      <c r="B144" s="16"/>
      <c r="C144" s="16"/>
      <c r="D144" s="16"/>
      <c r="E144" s="16"/>
      <c r="F144" s="16"/>
      <c r="G144" s="16"/>
      <c r="H144" s="16"/>
      <c r="I144" s="16"/>
      <c r="J144" s="16"/>
      <c r="K144" s="16"/>
      <c r="L144" s="16"/>
      <c r="M144" s="16"/>
      <c r="N144" s="16"/>
      <c r="O144" s="16"/>
      <c r="P144" s="75"/>
      <c r="Q144" s="115"/>
    </row>
    <row r="145" spans="1:17">
      <c r="A145" s="57" t="b">
        <f t="shared" ref="A145:A158" si="6">IF(P145=TRUE,Q145)</f>
        <v>0</v>
      </c>
      <c r="B145" s="20" t="b">
        <f>B2</f>
        <v>0</v>
      </c>
      <c r="C145" s="17"/>
      <c r="D145" s="17"/>
      <c r="E145" s="20" t="b">
        <f>E2</f>
        <v>0</v>
      </c>
      <c r="F145" s="17"/>
      <c r="G145" s="17"/>
      <c r="H145" s="17"/>
      <c r="I145" s="17"/>
      <c r="J145" s="17"/>
      <c r="K145" s="17"/>
      <c r="L145" s="17"/>
      <c r="M145" s="17"/>
      <c r="N145" s="17"/>
      <c r="O145" s="20" t="b">
        <f>O143</f>
        <v>0</v>
      </c>
      <c r="P145" s="109" t="b">
        <f t="shared" si="5"/>
        <v>0</v>
      </c>
      <c r="Q145" s="118" t="s">
        <v>358</v>
      </c>
    </row>
    <row r="146" spans="1:17">
      <c r="A146" s="57" t="b">
        <f t="shared" si="6"/>
        <v>0</v>
      </c>
      <c r="B146" s="20" t="b">
        <f>B2</f>
        <v>0</v>
      </c>
      <c r="C146" s="17"/>
      <c r="D146" s="17"/>
      <c r="E146" s="20" t="b">
        <f>E2</f>
        <v>0</v>
      </c>
      <c r="F146" s="17"/>
      <c r="G146" s="17"/>
      <c r="H146" s="17"/>
      <c r="I146" s="17"/>
      <c r="J146" s="17"/>
      <c r="K146" s="17"/>
      <c r="L146" s="17"/>
      <c r="M146" s="17"/>
      <c r="N146" s="20" t="b">
        <f>N143</f>
        <v>0</v>
      </c>
      <c r="O146" s="20" t="b">
        <f>O143</f>
        <v>0</v>
      </c>
      <c r="P146" s="109" t="b">
        <f t="shared" si="5"/>
        <v>0</v>
      </c>
      <c r="Q146" s="118" t="s">
        <v>360</v>
      </c>
    </row>
    <row r="147" spans="1:17">
      <c r="A147" s="57" t="b">
        <f t="shared" si="6"/>
        <v>0</v>
      </c>
      <c r="B147" s="20" t="b">
        <f>B2</f>
        <v>0</v>
      </c>
      <c r="C147" s="17"/>
      <c r="D147" s="17"/>
      <c r="E147" s="20" t="b">
        <f>E2</f>
        <v>0</v>
      </c>
      <c r="F147" s="17"/>
      <c r="G147" s="17"/>
      <c r="H147" s="17"/>
      <c r="I147" s="17"/>
      <c r="J147" s="17"/>
      <c r="K147" s="17"/>
      <c r="L147" s="17"/>
      <c r="M147" s="17"/>
      <c r="N147" s="20" t="b">
        <f>N143</f>
        <v>0</v>
      </c>
      <c r="O147" s="20" t="b">
        <f>O143</f>
        <v>0</v>
      </c>
      <c r="P147" s="109" t="b">
        <f t="shared" si="5"/>
        <v>0</v>
      </c>
      <c r="Q147" s="118" t="s">
        <v>361</v>
      </c>
    </row>
    <row r="148" spans="1:17">
      <c r="A148" s="58" t="b">
        <f t="shared" si="6"/>
        <v>0</v>
      </c>
      <c r="B148" s="16"/>
      <c r="C148" s="16"/>
      <c r="D148" s="16"/>
      <c r="E148" s="16"/>
      <c r="F148" s="16"/>
      <c r="G148" s="16"/>
      <c r="H148" s="16"/>
      <c r="I148" s="16"/>
      <c r="J148" s="16"/>
      <c r="K148" s="16"/>
      <c r="L148" s="16"/>
      <c r="M148" s="16"/>
      <c r="N148" s="16"/>
      <c r="O148" s="16"/>
      <c r="P148" s="75"/>
      <c r="Q148" s="115"/>
    </row>
    <row r="149" spans="1:17">
      <c r="A149" s="57" t="b">
        <f t="shared" si="6"/>
        <v>0</v>
      </c>
      <c r="B149" s="20" t="b">
        <f>B2</f>
        <v>0</v>
      </c>
      <c r="C149" s="17"/>
      <c r="D149" s="17"/>
      <c r="E149" s="20" t="b">
        <f>E2</f>
        <v>0</v>
      </c>
      <c r="F149" s="17"/>
      <c r="G149" s="17"/>
      <c r="H149" s="17"/>
      <c r="I149" s="17"/>
      <c r="J149" s="17"/>
      <c r="K149" s="17"/>
      <c r="L149" s="17"/>
      <c r="M149" s="17"/>
      <c r="N149" s="17"/>
      <c r="O149" s="20" t="b">
        <f>O143</f>
        <v>0</v>
      </c>
      <c r="P149" s="109" t="b">
        <f t="shared" si="5"/>
        <v>0</v>
      </c>
      <c r="Q149" s="114" t="s">
        <v>363</v>
      </c>
    </row>
    <row r="150" spans="1:17">
      <c r="A150" s="57" t="b">
        <f t="shared" si="6"/>
        <v>0</v>
      </c>
      <c r="B150" s="20" t="b">
        <f>B2</f>
        <v>0</v>
      </c>
      <c r="C150" s="17"/>
      <c r="D150" s="17"/>
      <c r="E150" s="20" t="b">
        <f>E2</f>
        <v>0</v>
      </c>
      <c r="F150" s="17"/>
      <c r="G150" s="17"/>
      <c r="H150" s="17"/>
      <c r="I150" s="17"/>
      <c r="J150" s="17"/>
      <c r="K150" s="17"/>
      <c r="L150" s="17"/>
      <c r="M150" s="17"/>
      <c r="N150" s="17"/>
      <c r="O150" s="20" t="b">
        <f>O143</f>
        <v>0</v>
      </c>
      <c r="P150" s="109" t="b">
        <f t="shared" si="5"/>
        <v>0</v>
      </c>
      <c r="Q150" s="114" t="s">
        <v>364</v>
      </c>
    </row>
    <row r="151" spans="1:17">
      <c r="A151" s="57" t="b">
        <f t="shared" si="6"/>
        <v>0</v>
      </c>
      <c r="B151" s="20" t="b">
        <f>B2</f>
        <v>0</v>
      </c>
      <c r="C151" s="17"/>
      <c r="D151" s="17"/>
      <c r="E151" s="20" t="b">
        <f>E2</f>
        <v>0</v>
      </c>
      <c r="F151" s="17"/>
      <c r="G151" s="17"/>
      <c r="H151" s="17"/>
      <c r="I151" s="17"/>
      <c r="J151" s="17"/>
      <c r="K151" s="17"/>
      <c r="L151" s="17"/>
      <c r="M151" s="20" t="b">
        <f>M20</f>
        <v>0</v>
      </c>
      <c r="N151" s="17"/>
      <c r="O151" s="20" t="b">
        <f>O143</f>
        <v>0</v>
      </c>
      <c r="P151" s="109" t="b">
        <f t="shared" si="5"/>
        <v>0</v>
      </c>
      <c r="Q151" s="114" t="s">
        <v>365</v>
      </c>
    </row>
    <row r="152" spans="1:17">
      <c r="A152" s="57" t="b">
        <f t="shared" si="6"/>
        <v>0</v>
      </c>
      <c r="B152" s="20" t="b">
        <f>B2</f>
        <v>0</v>
      </c>
      <c r="C152" s="17"/>
      <c r="D152" s="17"/>
      <c r="E152" s="20" t="b">
        <f>E2</f>
        <v>0</v>
      </c>
      <c r="F152" s="17"/>
      <c r="G152" s="17"/>
      <c r="H152" s="17"/>
      <c r="I152" s="17"/>
      <c r="J152" s="17"/>
      <c r="K152" s="17"/>
      <c r="L152" s="17"/>
      <c r="M152" s="20" t="b">
        <f>M20</f>
        <v>0</v>
      </c>
      <c r="N152" s="17"/>
      <c r="O152" s="20" t="b">
        <f>O143</f>
        <v>0</v>
      </c>
      <c r="P152" s="109" t="b">
        <f t="shared" si="5"/>
        <v>0</v>
      </c>
      <c r="Q152" s="114" t="s">
        <v>366</v>
      </c>
    </row>
    <row r="153" spans="1:17">
      <c r="A153" s="57" t="b">
        <f t="shared" si="6"/>
        <v>0</v>
      </c>
      <c r="B153" s="20" t="b">
        <f>B2</f>
        <v>0</v>
      </c>
      <c r="C153" s="17"/>
      <c r="D153" s="17"/>
      <c r="E153" s="20" t="b">
        <f>E2</f>
        <v>0</v>
      </c>
      <c r="F153" s="17"/>
      <c r="G153" s="17"/>
      <c r="H153" s="17"/>
      <c r="I153" s="17"/>
      <c r="J153" s="17"/>
      <c r="K153" s="17"/>
      <c r="L153" s="17"/>
      <c r="M153" s="20" t="b">
        <f>M20</f>
        <v>0</v>
      </c>
      <c r="N153" s="20" t="b">
        <f>N143</f>
        <v>0</v>
      </c>
      <c r="O153" s="17"/>
      <c r="P153" s="109" t="b">
        <f t="shared" si="5"/>
        <v>0</v>
      </c>
      <c r="Q153" s="114" t="s">
        <v>367</v>
      </c>
    </row>
    <row r="154" spans="1:17">
      <c r="A154" s="57" t="b">
        <f t="shared" si="6"/>
        <v>0</v>
      </c>
      <c r="B154" s="20" t="b">
        <f>B2</f>
        <v>0</v>
      </c>
      <c r="C154" s="17"/>
      <c r="D154" s="17"/>
      <c r="E154" s="20" t="b">
        <f>E2</f>
        <v>0</v>
      </c>
      <c r="F154" s="17"/>
      <c r="G154" s="17"/>
      <c r="H154" s="17"/>
      <c r="I154" s="17"/>
      <c r="J154" s="17"/>
      <c r="K154" s="17"/>
      <c r="L154" s="17"/>
      <c r="M154" s="17"/>
      <c r="N154" s="17"/>
      <c r="O154" s="20" t="b">
        <f>O143</f>
        <v>0</v>
      </c>
      <c r="P154" s="109" t="b">
        <f t="shared" si="5"/>
        <v>0</v>
      </c>
      <c r="Q154" s="114" t="s">
        <v>368</v>
      </c>
    </row>
    <row r="155" spans="1:17">
      <c r="A155" s="57" t="b">
        <f t="shared" si="6"/>
        <v>0</v>
      </c>
      <c r="B155" s="20" t="b">
        <f>B2</f>
        <v>0</v>
      </c>
      <c r="C155" s="17"/>
      <c r="D155" s="17"/>
      <c r="E155" s="20" t="b">
        <f>E2</f>
        <v>0</v>
      </c>
      <c r="F155" s="17"/>
      <c r="G155" s="17"/>
      <c r="H155" s="17"/>
      <c r="I155" s="17"/>
      <c r="J155" s="17"/>
      <c r="K155" s="17"/>
      <c r="L155" s="17"/>
      <c r="M155" s="20" t="b">
        <f>M20</f>
        <v>0</v>
      </c>
      <c r="N155" s="20" t="b">
        <f>N143</f>
        <v>0</v>
      </c>
      <c r="O155" s="17"/>
      <c r="P155" s="109" t="b">
        <f t="shared" si="5"/>
        <v>0</v>
      </c>
      <c r="Q155" s="114" t="s">
        <v>369</v>
      </c>
    </row>
    <row r="156" spans="1:17">
      <c r="A156" s="57" t="b">
        <f t="shared" si="6"/>
        <v>0</v>
      </c>
      <c r="B156" s="20" t="b">
        <f>B2</f>
        <v>0</v>
      </c>
      <c r="C156" s="17"/>
      <c r="D156" s="17"/>
      <c r="E156" s="20" t="b">
        <f>E2</f>
        <v>0</v>
      </c>
      <c r="F156" s="17"/>
      <c r="G156" s="17"/>
      <c r="H156" s="17"/>
      <c r="I156" s="17"/>
      <c r="J156" s="17"/>
      <c r="K156" s="17"/>
      <c r="L156" s="17"/>
      <c r="M156" s="17"/>
      <c r="N156" s="17"/>
      <c r="O156" s="20" t="b">
        <f>O143</f>
        <v>0</v>
      </c>
      <c r="P156" s="109" t="b">
        <f t="shared" si="5"/>
        <v>0</v>
      </c>
      <c r="Q156" s="114" t="s">
        <v>370</v>
      </c>
    </row>
    <row r="157" spans="1:17">
      <c r="A157" s="57" t="b">
        <f t="shared" si="6"/>
        <v>0</v>
      </c>
      <c r="B157" s="20" t="b">
        <f>B2</f>
        <v>0</v>
      </c>
      <c r="C157" s="17"/>
      <c r="D157" s="17"/>
      <c r="E157" s="20" t="b">
        <f>E2</f>
        <v>0</v>
      </c>
      <c r="F157" s="17"/>
      <c r="G157" s="17"/>
      <c r="H157" s="17"/>
      <c r="I157" s="17"/>
      <c r="J157" s="17"/>
      <c r="K157" s="17"/>
      <c r="L157" s="17"/>
      <c r="M157" s="20" t="b">
        <f>M20</f>
        <v>0</v>
      </c>
      <c r="N157" s="20" t="b">
        <f>N143</f>
        <v>0</v>
      </c>
      <c r="O157" s="17"/>
      <c r="P157" s="109" t="b">
        <f t="shared" si="5"/>
        <v>0</v>
      </c>
      <c r="Q157" s="114" t="s">
        <v>371</v>
      </c>
    </row>
    <row r="158" spans="1:17">
      <c r="A158" s="57" t="b">
        <f t="shared" si="6"/>
        <v>0</v>
      </c>
      <c r="B158" s="20" t="b">
        <f>B2</f>
        <v>0</v>
      </c>
      <c r="C158" s="17"/>
      <c r="D158" s="17"/>
      <c r="E158" s="20" t="b">
        <f>E2</f>
        <v>0</v>
      </c>
      <c r="F158" s="17"/>
      <c r="G158" s="17"/>
      <c r="H158" s="17"/>
      <c r="I158" s="17"/>
      <c r="J158" s="17"/>
      <c r="K158" s="17"/>
      <c r="L158" s="17"/>
      <c r="M158" s="20" t="b">
        <f>M20</f>
        <v>0</v>
      </c>
      <c r="N158" s="20" t="b">
        <f>N143</f>
        <v>0</v>
      </c>
      <c r="O158" s="17"/>
      <c r="P158" s="109" t="b">
        <f t="shared" si="5"/>
        <v>0</v>
      </c>
      <c r="Q158" s="114" t="s">
        <v>372</v>
      </c>
    </row>
    <row r="159" spans="1:17">
      <c r="A159" s="16"/>
      <c r="B159" s="16"/>
      <c r="C159" s="16"/>
      <c r="D159" s="16"/>
      <c r="E159" s="16"/>
      <c r="F159" s="16"/>
      <c r="G159" s="16"/>
      <c r="H159" s="16"/>
      <c r="I159" s="16"/>
      <c r="J159" s="16"/>
      <c r="K159" s="16"/>
      <c r="L159" s="16"/>
      <c r="M159" s="16"/>
      <c r="N159" s="16"/>
      <c r="O159" s="16"/>
      <c r="P159" s="27"/>
      <c r="Q159" s="115"/>
    </row>
    <row r="160" spans="1:17">
      <c r="A160" s="21"/>
      <c r="B160" s="21"/>
      <c r="C160" s="21"/>
      <c r="D160" s="21"/>
      <c r="E160" s="21"/>
      <c r="F160" s="21"/>
      <c r="I160" s="21"/>
      <c r="J160" s="21"/>
      <c r="K160" s="21"/>
      <c r="Q160" s="114"/>
    </row>
    <row r="161" spans="1:17">
      <c r="A161" s="21"/>
      <c r="B161" s="21"/>
      <c r="C161" s="21"/>
      <c r="D161" s="21"/>
      <c r="E161" s="21"/>
      <c r="F161" s="21"/>
      <c r="I161" s="21"/>
      <c r="J161" s="21"/>
      <c r="K161" s="21"/>
      <c r="Q161" s="114"/>
    </row>
    <row r="162" spans="1:17">
      <c r="A162" s="21"/>
      <c r="B162" s="21"/>
      <c r="C162" s="21"/>
      <c r="D162" s="21"/>
      <c r="E162" s="21"/>
      <c r="F162" s="21"/>
      <c r="I162" s="21"/>
      <c r="J162" s="21"/>
      <c r="K162" s="21"/>
      <c r="Q162" s="114"/>
    </row>
    <row r="163" spans="1:17">
      <c r="A163" s="21"/>
      <c r="B163" s="21"/>
      <c r="C163" s="21"/>
      <c r="D163" s="21"/>
      <c r="E163" s="21"/>
      <c r="F163" s="21"/>
      <c r="I163" s="21"/>
      <c r="J163" s="21"/>
      <c r="K163" s="21"/>
      <c r="Q163" s="114"/>
    </row>
    <row r="164" spans="1:17">
      <c r="A164" s="21"/>
      <c r="B164" s="21"/>
      <c r="C164" s="21"/>
      <c r="D164" s="21"/>
      <c r="E164" s="21"/>
      <c r="F164" s="21"/>
      <c r="I164" s="21"/>
      <c r="J164" s="21"/>
      <c r="K164" s="21"/>
      <c r="Q164" s="114"/>
    </row>
    <row r="165" spans="1:17">
      <c r="A165" s="21"/>
      <c r="B165" s="21"/>
      <c r="C165" s="21"/>
      <c r="D165" s="21"/>
      <c r="E165" s="21"/>
      <c r="F165" s="21"/>
      <c r="I165" s="21"/>
      <c r="J165" s="21"/>
      <c r="K165" s="21"/>
      <c r="Q165" s="114"/>
    </row>
    <row r="166" spans="1:17">
      <c r="A166" s="21"/>
      <c r="B166" s="21"/>
      <c r="C166" s="21"/>
      <c r="D166" s="21"/>
      <c r="E166" s="21"/>
      <c r="F166" s="21"/>
      <c r="I166" s="21"/>
      <c r="J166" s="21"/>
      <c r="K166" s="21"/>
      <c r="Q166" s="114"/>
    </row>
    <row r="167" spans="1:17">
      <c r="A167" s="21"/>
      <c r="B167" s="21"/>
      <c r="C167" s="21"/>
      <c r="D167" s="21"/>
      <c r="E167" s="21"/>
      <c r="F167" s="21"/>
      <c r="G167" s="21"/>
      <c r="H167" s="21"/>
      <c r="I167" s="21"/>
      <c r="J167" s="21"/>
      <c r="K167" s="21"/>
    </row>
  </sheetData>
  <hyperlinks>
    <hyperlink ref="Q16" r:id="rId1" display="https://www.tylenol.ca/products/tylenol-sinus-pressure-and-pain" xr:uid="{00000000-0004-0000-0800-000000000000}"/>
    <hyperlink ref="Q17" r:id="rId2" display="https://www.tylenol.ca/products/infants-children/childrens-tylenol-fever-sore-throat-pain-chewables" xr:uid="{00000000-0004-0000-0800-000001000000}"/>
    <hyperlink ref="Q18" r:id="rId3" display="https://www.tylenol.ca/products/cough-cold-flu/tylenol-complete-cold-cough-flu" xr:uid="{00000000-0004-0000-0800-000002000000}"/>
    <hyperlink ref="Q19" r:id="rId4" display="https://www.tylenol.ca/products/cough-cold-flu/tylenol-complete-cold-cough-flu-plus-mucus-relief-liquid-gels" xr:uid="{00000000-0004-0000-0800-000003000000}"/>
    <hyperlink ref="Q20" r:id="rId5" display="https://www.tylenol.ca/products/cough-cold-flu/tylenol-complete-cold-cough-flu-plus-mucus-relief-syrup" xr:uid="{00000000-0004-0000-0800-000004000000}"/>
    <hyperlink ref="Q22" r:id="rId6" display="https://www.tylenol.ca/products/cough-cold-flu/tylenol-cold" xr:uid="{00000000-0004-0000-0800-000005000000}"/>
    <hyperlink ref="Q23" r:id="rId7" display="https://www.tylenol.ca/products/cough-cold-flu/tylenol-flu" xr:uid="{00000000-0004-0000-0800-000006000000}"/>
    <hyperlink ref="Q24" r:id="rId8" display="https://www.tylenol.ca/products/sinus/tylenol-cold-sinus" xr:uid="{00000000-0004-0000-0800-000007000000}"/>
    <hyperlink ref="Q25" r:id="rId9" display="https://www.tylenol.ca/products/sinus/tylenol-sinus" xr:uid="{00000000-0004-0000-0800-000008000000}"/>
    <hyperlink ref="Q26" r:id="rId10" display="https://www.tylenol.ca/products/infants-children/infants-tylenol-fever-sore-throat-pain" xr:uid="{00000000-0004-0000-0800-000009000000}"/>
    <hyperlink ref="Q27" r:id="rId11" display="https://www.tylenol.ca/products/infants-children/childrens-tylenol-fever-sore-throat-pain" xr:uid="{00000000-0004-0000-0800-00000A000000}"/>
    <hyperlink ref="Q28" r:id="rId12" display="https://www.tylenol.ca/products/infants-children/children-s-tylenol-cold-stuffy-nose" xr:uid="{00000000-0004-0000-0800-00000B000000}"/>
    <hyperlink ref="Q29" r:id="rId13" display="https://www.tylenol.ca/products/infants-children/childrens-tylenol-cold" xr:uid="{00000000-0004-0000-0800-00000C000000}"/>
    <hyperlink ref="Q30" r:id="rId14" display="https://www.tylenol.ca/products/infants-children/childrens-tylenol-cold-cough-nighttime" xr:uid="{00000000-0004-0000-0800-00000D000000}"/>
    <hyperlink ref="Q31" r:id="rId15" display="https://www.tylenol.ca/products/infants-children/childrens-tylenol-cold-cough" xr:uid="{00000000-0004-0000-0800-00000E000000}"/>
    <hyperlink ref="Q32" r:id="rId16" display="https://www.tylenol.ca/products/infants-children/children-s-tylenol-complete-cold-cough-fever" xr:uid="{00000000-0004-0000-0800-00000F000000}"/>
    <hyperlink ref="Q33" r:id="rId17" display="https://www.tylenol.ca/products/infants-children/children-s-tylenol-complete-cold-cough-fever-nighttime" xr:uid="{00000000-0004-0000-0800-000010000000}"/>
    <hyperlink ref="Q21" r:id="rId18" display="https://www.tylenol.ca/products/cough-cold-flu/tylenol-complete-cold-cough-flu-plus-mucus-relief-nighttime-syrup" xr:uid="{00000000-0004-0000-0800-000011000000}"/>
    <hyperlink ref="Q2" r:id="rId19" display="https://www.advil.ca/product/advil-cold-flu" xr:uid="{00000000-0004-0000-0800-000012000000}"/>
    <hyperlink ref="Q3" r:id="rId20" display="https://www.advil.ca/product/advil-cold-cough-flu-nighttime" xr:uid="{00000000-0004-0000-0800-000013000000}"/>
    <hyperlink ref="Q4" r:id="rId21" display="https://www.advil.ca/product/advil-cold-sinus-caplets" xr:uid="{00000000-0004-0000-0800-000014000000}"/>
    <hyperlink ref="Q5" r:id="rId22" display="https://www.advil.ca/product/advil-cold-sinus-daytime-nighttime" xr:uid="{00000000-0004-0000-0800-000015000000}"/>
    <hyperlink ref="Q6" r:id="rId23" display="https://www.advil.ca/product/advil-cold-sinus-liqui-gels" xr:uid="{00000000-0004-0000-0800-000016000000}"/>
    <hyperlink ref="Q7" r:id="rId24" display="https://www.advil.ca/product/advil-cold-sinus-nighttime" xr:uid="{00000000-0004-0000-0800-000017000000}"/>
    <hyperlink ref="Q8" r:id="rId25" display="https://www.advil.ca/product/advil-cold-sinus-plus" xr:uid="{00000000-0004-0000-0800-000018000000}"/>
    <hyperlink ref="Q9" r:id="rId26" display="https://www.advil.ca/product/advil-cold-sinus-flu-extra-strength" xr:uid="{00000000-0004-0000-0800-000019000000}"/>
    <hyperlink ref="Q10" r:id="rId27" display="https://www.advil.ca/product/advil-pediatric-drops-fever-colds-or-flu" xr:uid="{00000000-0004-0000-0800-00001A000000}"/>
    <hyperlink ref="Q11" r:id="rId28" display="https://www.advil.ca/product/children-s-advil-cold" xr:uid="{00000000-0004-0000-0800-00001B000000}"/>
    <hyperlink ref="Q12" r:id="rId29" display="https://www.advil.ca/product/children-s-advil-cold-and-flu-multi-symptom" xr:uid="{00000000-0004-0000-0800-00001C000000}"/>
    <hyperlink ref="Q13" r:id="rId30" display="https://www.advil.ca/product/children-s-advil-fever-colds-or-flu" xr:uid="{00000000-0004-0000-0800-00001D000000}"/>
    <hyperlink ref="Q14" r:id="rId31" display="https://www.advil.ca/product/junior-strength-advil-fever-cold-or-flu" xr:uid="{00000000-0004-0000-0800-00001E000000}"/>
    <hyperlink ref="Q35" r:id="rId32" display="https://www.mucinex.ca/en/mucinex-products/" xr:uid="{00000000-0004-0000-0800-00001F000000}"/>
    <hyperlink ref="Q56" r:id="rId33" display="CHILDREN'S NYQUIL™ COLD &amp; COUGH MEDICINE" xr:uid="{00000000-0004-0000-0800-000020000000}"/>
    <hyperlink ref="Q57" r:id="rId34" display="VICKS VAPOPATCH WITH LONG LASTING VICKS SCENTED VAPOURS FOR ADULTS &amp; CHILDREN" xr:uid="{00000000-0004-0000-0800-000021000000}"/>
    <hyperlink ref="Q58" r:id="rId35" display="VICKS VAPORUB CHILDREN’S NASAL DECONGESTANT COUGH SUPPRESSANT OINTMENT" xr:uid="{00000000-0004-0000-0800-000022000000}"/>
    <hyperlink ref="Q59" r:id="rId36" xr:uid="{00000000-0004-0000-0800-000023000000}"/>
    <hyperlink ref="Q60" r:id="rId37" xr:uid="{00000000-0004-0000-0800-000024000000}"/>
    <hyperlink ref="Q61" r:id="rId38" xr:uid="{00000000-0004-0000-0800-000025000000}"/>
    <hyperlink ref="Q62" r:id="rId39" xr:uid="{00000000-0004-0000-0800-000026000000}"/>
    <hyperlink ref="Q63" r:id="rId40" xr:uid="{00000000-0004-0000-0800-000027000000}"/>
    <hyperlink ref="Q64" r:id="rId41" xr:uid="{00000000-0004-0000-0800-000028000000}"/>
    <hyperlink ref="Q65" r:id="rId42" xr:uid="{00000000-0004-0000-0800-000029000000}"/>
    <hyperlink ref="Q66" r:id="rId43" xr:uid="{00000000-0004-0000-0800-00002A000000}"/>
    <hyperlink ref="Q67" r:id="rId44" xr:uid="{00000000-0004-0000-0800-00002B000000}"/>
    <hyperlink ref="Q68" r:id="rId45" xr:uid="{00000000-0004-0000-0800-00002C000000}"/>
    <hyperlink ref="Q69" r:id="rId46" xr:uid="{00000000-0004-0000-0800-00002D000000}"/>
    <hyperlink ref="Q70" r:id="rId47" xr:uid="{00000000-0004-0000-0800-00002E000000}"/>
    <hyperlink ref="Q71" r:id="rId48" xr:uid="{00000000-0004-0000-0800-00002F000000}"/>
    <hyperlink ref="Q72" r:id="rId49" xr:uid="{00000000-0004-0000-0800-000030000000}"/>
    <hyperlink ref="Q73" r:id="rId50" xr:uid="{00000000-0004-0000-0800-000031000000}"/>
    <hyperlink ref="Q74" r:id="rId51" xr:uid="{00000000-0004-0000-0800-000032000000}"/>
    <hyperlink ref="Q75" r:id="rId52" xr:uid="{00000000-0004-0000-0800-000033000000}"/>
    <hyperlink ref="Q76" r:id="rId53" xr:uid="{00000000-0004-0000-0800-000034000000}"/>
    <hyperlink ref="Q77" r:id="rId54" xr:uid="{00000000-0004-0000-0800-000035000000}"/>
    <hyperlink ref="Q78" r:id="rId55" xr:uid="{00000000-0004-0000-0800-000036000000}"/>
    <hyperlink ref="Q80" r:id="rId56" display="ROBITUSSIN EXTRA STRENGTH HONEYCOUGH &amp; CONGESTION" xr:uid="{00000000-0004-0000-0800-000037000000}"/>
    <hyperlink ref="Q81" r:id="rId57" display="ROBITUSSINCOUGH CONTROL Liquid" xr:uid="{00000000-0004-0000-0800-000038000000}"/>
    <hyperlink ref="Q82" r:id="rId58" xr:uid="{00000000-0004-0000-0800-000039000000}"/>
    <hyperlink ref="Q83" r:id="rId59" display="ROBITUSSINCOUGH CONTROLFOR PEOPLE WITH DIABETES" xr:uid="{00000000-0004-0000-0800-00003A000000}"/>
    <hyperlink ref="Q84" r:id="rId60" xr:uid="{00000000-0004-0000-0800-00003B000000}"/>
    <hyperlink ref="Q85" r:id="rId61" display="ROBITUSSINMUCUS &amp; PHLEGMEXTRA STRENGTH" xr:uid="{00000000-0004-0000-0800-00003C000000}"/>
    <hyperlink ref="Q86" r:id="rId62" xr:uid="{00000000-0004-0000-0800-00003D000000}"/>
    <hyperlink ref="Q87" r:id="rId63" xr:uid="{00000000-0004-0000-0800-00003E000000}"/>
    <hyperlink ref="Q88" r:id="rId64" xr:uid="{00000000-0004-0000-0800-00003F000000}"/>
    <hyperlink ref="Q89" r:id="rId65" xr:uid="{00000000-0004-0000-0800-000040000000}"/>
    <hyperlink ref="Q90" r:id="rId66" xr:uid="{00000000-0004-0000-0800-000041000000}"/>
    <hyperlink ref="Q91" r:id="rId67" xr:uid="{00000000-0004-0000-0800-000042000000}"/>
    <hyperlink ref="Q92" r:id="rId68" xr:uid="{00000000-0004-0000-0800-000043000000}"/>
    <hyperlink ref="Q93" r:id="rId69" xr:uid="{00000000-0004-0000-0800-000044000000}"/>
    <hyperlink ref="Q94" r:id="rId70" display="ROBITUSSIN CHILDREN’S COLD Liquid" xr:uid="{00000000-0004-0000-0800-000045000000}"/>
    <hyperlink ref="Q95" r:id="rId71" xr:uid="{00000000-0004-0000-0800-000046000000}"/>
    <hyperlink ref="Q96" r:id="rId72" xr:uid="{00000000-0004-0000-0800-000047000000}"/>
    <hyperlink ref="Q98" r:id="rId73" display="Children’s Dimetapp® Cold &amp; Allergy Liquid" xr:uid="{00000000-0004-0000-0800-000048000000}"/>
    <hyperlink ref="Q99" r:id="rId74" xr:uid="{00000000-0004-0000-0800-000049000000}"/>
    <hyperlink ref="Q100" r:id="rId75" xr:uid="{00000000-0004-0000-0800-00004A000000}"/>
    <hyperlink ref="Q101" r:id="rId76" xr:uid="{00000000-0004-0000-0800-00004B000000}"/>
    <hyperlink ref="Q102" r:id="rId77" display="Children’s Dimetapp® Multi-Symptom Cold Relief Dye-Free" xr:uid="{00000000-0004-0000-0800-00004C000000}"/>
    <hyperlink ref="Q103" r:id="rId78" display="Children’s Dimetapp® Nighttime Cold &amp; Congestion" xr:uid="{00000000-0004-0000-0800-00004D000000}"/>
    <hyperlink ref="Q105" r:id="rId79" xr:uid="{00000000-0004-0000-0800-00004E000000}"/>
    <hyperlink ref="Q106" r:id="rId80" xr:uid="{00000000-0004-0000-0800-00004F000000}"/>
    <hyperlink ref="Q107" r:id="rId81" xr:uid="{00000000-0004-0000-0800-000050000000}"/>
    <hyperlink ref="Q108" r:id="rId82" xr:uid="{00000000-0004-0000-0800-000051000000}"/>
    <hyperlink ref="Q109" r:id="rId83" xr:uid="{00000000-0004-0000-0800-000052000000}"/>
    <hyperlink ref="Q110" r:id="rId84" xr:uid="{00000000-0004-0000-0800-000053000000}"/>
    <hyperlink ref="Q111" r:id="rId85" xr:uid="{00000000-0004-0000-0800-000054000000}"/>
    <hyperlink ref="Q112" r:id="rId86" xr:uid="{00000000-0004-0000-0800-000055000000}"/>
    <hyperlink ref="Q113" r:id="rId87" xr:uid="{00000000-0004-0000-0800-000056000000}"/>
    <hyperlink ref="Q115" r:id="rId88" display="https://www.benylin.ca/extra-strength/all-in-one-cold-and-flu-caplets" xr:uid="{00000000-0004-0000-0800-000057000000}"/>
    <hyperlink ref="Q116" r:id="rId89" display="https://www.benylin.ca/extra-strength/all-in-one-cold-and-flu-day-night-caplets" xr:uid="{00000000-0004-0000-0800-000058000000}"/>
    <hyperlink ref="Q117" r:id="rId90" display="https://www.benylin.ca/regular-strength/all-in-one-cold-and-flu-liquid-gels" xr:uid="{00000000-0004-0000-0800-000059000000}"/>
    <hyperlink ref="Q118" r:id="rId91" display="https://www.benylin.ca/extra-strength/all-in-one-cold-and-flu-night-caplets" xr:uid="{00000000-0004-0000-0800-00005A000000}"/>
    <hyperlink ref="Q119" r:id="rId92" display="https://www.benylin.ca/extra-strength/all-in-one-cold-and-flu-night-syrup" xr:uid="{00000000-0004-0000-0800-00005B000000}"/>
    <hyperlink ref="Q120" r:id="rId93" display="https://www.benylin.ca/extra-strength/all-in-one-cold-and-flu-syrup" xr:uid="{00000000-0004-0000-0800-00005C000000}"/>
    <hyperlink ref="Q121" r:id="rId94" display="https://www.benylin.ca/extra-strength/all-in-one-cold-and-flu-warming" xr:uid="{00000000-0004-0000-0800-00005D000000}"/>
    <hyperlink ref="Q122" r:id="rId95" display="https://www.benylin.ca/children/all-in-one-cold-and-fever-nighttime-syrup" xr:uid="{00000000-0004-0000-0800-00005E000000}"/>
    <hyperlink ref="Q123" r:id="rId96" display="https://www.benylin.ca/children/all-in-one-cold-and-fever-syrup" xr:uid="{00000000-0004-0000-0800-00005F000000}"/>
    <hyperlink ref="Q124" r:id="rId97" display="https://www.benylin.ca/extra-strength/mucus-and-phlegm-plus-cold-relief-caplets" xr:uid="{00000000-0004-0000-0800-000060000000}"/>
    <hyperlink ref="Q125" r:id="rId98" display="https://www.benylin.ca/extra-strength/mucus-and-phlegm-plus-cold-relief-night-syrup" xr:uid="{00000000-0004-0000-0800-000061000000}"/>
    <hyperlink ref="Q126" r:id="rId99" display="https://www.benylin.ca/extra-strength/mucus-and-phlegm-plus-cold-relief-syrup" xr:uid="{00000000-0004-0000-0800-000062000000}"/>
    <hyperlink ref="Q127" r:id="rId100" display="https://www.benylin.ca/extra-strength/mucus-and-phlegm-plus-cough-control-syrup" xr:uid="{00000000-0004-0000-0800-000063000000}"/>
    <hyperlink ref="Q128" r:id="rId101" display="https://www.benylin.ca/extra-strength/mucus-and-phlegm-syrup" xr:uid="{00000000-0004-0000-0800-000064000000}"/>
    <hyperlink ref="Q129" r:id="rId102" display="https://www.benylin.ca/products/cough/benylin-cough-chest-congestion-people-diabetes" xr:uid="{00000000-0004-0000-0800-000065000000}"/>
    <hyperlink ref="Q130" r:id="rId103" display="https://www.benylin.ca/extra-strength/chest-congestion-and-cold-syrup" xr:uid="{00000000-0004-0000-0800-000066000000}"/>
    <hyperlink ref="Q131" r:id="rId104" display="https://www.benylin.ca/extra-strength/cough-and-chest-congestion-syrup" xr:uid="{00000000-0004-0000-0800-000067000000}"/>
    <hyperlink ref="Q132" r:id="rId105" display="https://www.benylin.ca/extra-strength/cough-and-chest-congestion-warming-syrup" xr:uid="{00000000-0004-0000-0800-000068000000}"/>
    <hyperlink ref="Q133" r:id="rId106" display="https://www.benylin.ca/extra-strength/cough-plus-cold-relief-syrup" xr:uid="{00000000-0004-0000-0800-000069000000}"/>
    <hyperlink ref="Q134" r:id="rId107" display="https://www.benylin.ca/regular-strength/dry-cough-night-syrup" xr:uid="{00000000-0004-0000-0800-00006A000000}"/>
    <hyperlink ref="Q135" r:id="rId108" display="https://www.benylin.ca/regular-strength/dry-cough-syrup" xr:uid="{00000000-0004-0000-0800-00006B000000}"/>
    <hyperlink ref="Q136" r:id="rId109" display="https://www.benylin.ca/children/cough-and-cold-syrup" xr:uid="{00000000-0004-0000-0800-00006C000000}"/>
    <hyperlink ref="Q137" r:id="rId110" display="https://www.benylin.ca/children/cough-night" xr:uid="{00000000-0004-0000-0800-00006D000000}"/>
    <hyperlink ref="Q138" r:id="rId111" display="https://www.benylin.ca/children/dry-cough-syrup" xr:uid="{00000000-0004-0000-0800-00006E000000}"/>
    <hyperlink ref="Q139" r:id="rId112" display="https://www.benylin.ca/regular-strength/tickly-throat-cough-syrup" xr:uid="{00000000-0004-0000-0800-00006F000000}"/>
    <hyperlink ref="Q140" r:id="rId113" display="https://www.benylin.ca/extra-strength/cold-and-sinus-day-night-tablets" xr:uid="{00000000-0004-0000-0800-000070000000}"/>
    <hyperlink ref="Q141" r:id="rId114" display="https://www.benylin.ca/extra-strength/cold-and-sinus-plus-tablets" xr:uid="{00000000-0004-0000-0800-000071000000}"/>
    <hyperlink ref="Q142" r:id="rId115" display="https://www.benylin.ca/products/sore-throat/benylin-sore-throat-cough-syrup" xr:uid="{00000000-0004-0000-0800-000072000000}"/>
    <hyperlink ref="Q143" r:id="rId116" display="https://www.benylin.ca/products/sore-throat-lozenge/sore-throat-lozenge" xr:uid="{00000000-0004-0000-0800-000073000000}"/>
    <hyperlink ref="Q145" r:id="rId117" xr:uid="{00000000-0004-0000-0800-000074000000}"/>
    <hyperlink ref="Q146" r:id="rId118" xr:uid="{00000000-0004-0000-0800-000075000000}"/>
    <hyperlink ref="Q147" r:id="rId119" xr:uid="{00000000-0004-0000-0800-000076000000}"/>
    <hyperlink ref="Q149" r:id="rId120" display="https://www.cepacol.ca/en/products/cepacol-sensations-sore-throat-lozenges/cepacol-sensations-honey-lemon/" xr:uid="{00000000-0004-0000-0800-000077000000}"/>
    <hyperlink ref="Q150" r:id="rId121" display="https://www.cepacol.ca/en/products/cepacol-sensations-sore-throat-lozenges/cepacol-sensations-sucrose-free-lemon/" xr:uid="{00000000-0004-0000-0800-000078000000}"/>
    <hyperlink ref="Q151" r:id="rId122" display="https://www.cepacol.ca/en/products/cepacol-sensations-sore-throat-lozenges/cepacol-sensations-sore-throat-cough/" xr:uid="{00000000-0004-0000-0800-000079000000}"/>
    <hyperlink ref="Q152" r:id="rId123" display="https://www.cepacol.ca/en/products/cepacol-sensations-sore-throat-lozenges/cepacol-sensations-sore-throat-blocked-nose/" xr:uid="{00000000-0004-0000-0800-00007A000000}"/>
    <hyperlink ref="Q153" r:id="rId124" display="https://www.cepacol.ca/en/products/cepacol-extra-strength-sore-throat-lozenges/cepacol-extra-strength-sucrose-freey-cherry/" xr:uid="{00000000-0004-0000-0800-00007B000000}"/>
    <hyperlink ref="Q154" r:id="rId125" display="https://www.cepacol.ca/en/products/cepacol-extra-strength-sore-throat-lozenges/cepacol-extra-strength-sucrose-freey-honey-lemon/" xr:uid="{00000000-0004-0000-0800-00007C000000}"/>
    <hyperlink ref="Q155" r:id="rId126" display="https://www.cepacol.ca/en/products/cepacol-extra-strength-sore-throat-lozenges/cepacol-extra-strength-sucrose-free-orange/" xr:uid="{00000000-0004-0000-0800-00007D000000}"/>
    <hyperlink ref="Q156" r:id="rId127" display="https://www.cepacol.ca/en/products/cepacol-children-s-sore-throat-lozenges/cepacol-children-s/" xr:uid="{00000000-0004-0000-0800-00007E000000}"/>
    <hyperlink ref="Q157" r:id="rId128" display="https://www.cepacol.ca/en/products/new-cepacol-instamax-lozenges/cepacol-instamax-cherry-12ct/" xr:uid="{00000000-0004-0000-0800-00007F000000}"/>
    <hyperlink ref="Q158" r:id="rId129" display="https://www.cepacol.ca/en/products/new-cepacol-instamax-lozenges/cepacol-instamax-berry-24ct/" xr:uid="{00000000-0004-0000-0800-000080000000}"/>
  </hyperlinks>
  <pageMargins left="0.7" right="0.7" top="0.75" bottom="0.75" header="0.3" footer="0.3"/>
  <pageSetup orientation="portrait" r:id="rId130"/>
  <tableParts count="1">
    <tablePart r:id="rId13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54</vt:i4>
      </vt:variant>
    </vt:vector>
  </HeadingPairs>
  <TitlesOfParts>
    <vt:vector size="54" baseType="lpstr">
      <vt:lpstr>Legal</vt:lpstr>
      <vt:lpstr>Dry Mouth Criteria</vt:lpstr>
      <vt:lpstr>Dry Mouth Products</vt:lpstr>
      <vt:lpstr>Hemorrhoid Criteria</vt:lpstr>
      <vt:lpstr>Hemorrhoid Products</vt:lpstr>
      <vt:lpstr>Diabetes Meter Criteria</vt:lpstr>
      <vt:lpstr>Diabetes Meter Products</vt:lpstr>
      <vt:lpstr>Cough &amp; Cold Criteria</vt:lpstr>
      <vt:lpstr>Cough &amp; Cold Products</vt:lpstr>
      <vt:lpstr>Allergy Criteria</vt:lpstr>
      <vt:lpstr>Allergy Products</vt:lpstr>
      <vt:lpstr>Pain Criteria</vt:lpstr>
      <vt:lpstr>Pain Products</vt:lpstr>
      <vt:lpstr>Insomnia Criteria</vt:lpstr>
      <vt:lpstr>Insomnia Products</vt:lpstr>
      <vt:lpstr>Vaginal Criteria</vt:lpstr>
      <vt:lpstr>Vaginal Products</vt:lpstr>
      <vt:lpstr>GastroIntestinal Criteria</vt:lpstr>
      <vt:lpstr>Gastrointestinal Products</vt:lpstr>
      <vt:lpstr>Eye Drop Criteria</vt:lpstr>
      <vt:lpstr>Eye Drop Products</vt:lpstr>
      <vt:lpstr>Medicated Shampoo Criteria</vt:lpstr>
      <vt:lpstr>Medicated Shampoo</vt:lpstr>
      <vt:lpstr>Dry Skin Criteria</vt:lpstr>
      <vt:lpstr>Dry Skin Products</vt:lpstr>
      <vt:lpstr>Wart Criteria</vt:lpstr>
      <vt:lpstr>Wart Products</vt:lpstr>
      <vt:lpstr>Anti-Infection Skin Criteria</vt:lpstr>
      <vt:lpstr>Anti-Infection Skin Products</vt:lpstr>
      <vt:lpstr>Acne Products Criteria</vt:lpstr>
      <vt:lpstr>Acne Products</vt:lpstr>
      <vt:lpstr>Ear Product Criteria</vt:lpstr>
      <vt:lpstr>Ear Products</vt:lpstr>
      <vt:lpstr>Sun Screen Criteria</vt:lpstr>
      <vt:lpstr>Sun Screen Products</vt:lpstr>
      <vt:lpstr>Family Planning Criteria</vt:lpstr>
      <vt:lpstr>Family Planning Products</vt:lpstr>
      <vt:lpstr>Smoking Cessation Criteria</vt:lpstr>
      <vt:lpstr>Smoking Cessation Products</vt:lpstr>
      <vt:lpstr>Blood Pressure Criteria</vt:lpstr>
      <vt:lpstr>Blood Pressure Monitor Product</vt:lpstr>
      <vt:lpstr>Lice Product Criteria</vt:lpstr>
      <vt:lpstr>Lice Products</vt:lpstr>
      <vt:lpstr>Bandage Product Criteria</vt:lpstr>
      <vt:lpstr>Bandage Products</vt:lpstr>
      <vt:lpstr>Infant Formula Criteria</vt:lpstr>
      <vt:lpstr>Infant Formula Products</vt:lpstr>
      <vt:lpstr>Meal Replacement Criteria</vt:lpstr>
      <vt:lpstr>Meal Replacement Products</vt:lpstr>
      <vt:lpstr>Incontinence Criteria</vt:lpstr>
      <vt:lpstr>Incontinence Products</vt:lpstr>
      <vt:lpstr>Oral Criteria</vt:lpstr>
      <vt:lpstr>Oral Products</vt:lpstr>
      <vt:lpstr>random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dc:creator>
  <cp:lastModifiedBy>olivier wellman</cp:lastModifiedBy>
  <cp:lastPrinted>2020-04-06T19:06:48Z</cp:lastPrinted>
  <dcterms:created xsi:type="dcterms:W3CDTF">2020-01-19T07:17:02Z</dcterms:created>
  <dcterms:modified xsi:type="dcterms:W3CDTF">2022-10-09T17:39:55Z</dcterms:modified>
</cp:coreProperties>
</file>