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pivotCacheDefinition+xml" PartName="/xl/pivotCache/pivotCacheDefinition3.xml"/>
  <Override ContentType="application/vnd.openxmlformats-officedocument.spreadsheetml.pivotCacheDefinition+xml" PartName="/xl/pivotCache/pivotCacheDefinition4.xml"/>
  <Override ContentType="application/vnd.openxmlformats-officedocument.spreadsheetml.pivotCacheDefinition+xml" PartName="/xl/pivotCache/pivotCacheDefinition2.xml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INVENTARIO 10-03-2025" sheetId="1" r:id="rId4"/>
    <sheet state="hidden" name="Detalle Pallet Multicodigo" sheetId="2" r:id="rId5"/>
    <sheet state="hidden" name="MSMT" sheetId="3" r:id="rId6"/>
    <sheet state="hidden" name="Descuentos libreria" sheetId="4" r:id="rId7"/>
    <sheet state="visible" name="DIN" sheetId="5" r:id="rId8"/>
    <sheet state="visible" name="Reubicaciones" sheetId="6" r:id="rId9"/>
    <sheet state="visible" name="Maestro" sheetId="7" r:id="rId10"/>
    <sheet state="visible" name="Insumos" sheetId="8" r:id="rId11"/>
    <sheet state="visible" name="Recepcion Materia Prima" sheetId="9" r:id="rId12"/>
    <sheet state="hidden" name="Recepcion Insumos" sheetId="10" r:id="rId13"/>
    <sheet state="hidden" name="Ordenes de Produccion" sheetId="11" r:id="rId14"/>
    <sheet state="visible" name="Salidas" sheetId="12" r:id="rId15"/>
    <sheet state="visible" name="IRNMTN" sheetId="13" r:id="rId16"/>
  </sheets>
  <definedNames>
    <definedName hidden="1" localSheetId="0" name="_xlnm._FilterDatabase">'INVENTARIO 10-03-2025'!$H$2:$K$30</definedName>
    <definedName hidden="1" localSheetId="1" name="_xlnm._FilterDatabase">'Detalle Pallet Multicodigo'!$A$1:$D$124</definedName>
    <definedName hidden="1" localSheetId="2" name="_xlnm._FilterDatabase">MSMT!$A$2:$L$1688</definedName>
    <definedName hidden="1" localSheetId="6" name="_xlnm._FilterDatabase">Maestro!$A$1:$K$62</definedName>
    <definedName hidden="1" localSheetId="8" name="_xlnm._FilterDatabase">'Recepcion Materia Prima'!$A$1:$G$358</definedName>
    <definedName hidden="1" localSheetId="10" name="_xlnm._FilterDatabase">'Ordenes de Produccion'!$A$1:$J$82</definedName>
    <definedName hidden="1" localSheetId="11" name="_xlnm._FilterDatabase">Salidas!$A$1:$H$511</definedName>
  </definedNames>
  <calcPr/>
  <pivotCaches>
    <pivotCache cacheId="0" r:id="rId17"/>
    <pivotCache cacheId="1" r:id="rId18"/>
    <pivotCache cacheId="2" r:id="rId19"/>
    <pivotCache cacheId="3" r:id="rId20"/>
  </pivotCaches>
</workbook>
</file>

<file path=xl/sharedStrings.xml><?xml version="1.0" encoding="utf-8"?>
<sst xmlns="http://schemas.openxmlformats.org/spreadsheetml/2006/main" count="21295" uniqueCount="5820">
  <si>
    <t>MATERIA PRIMA</t>
  </si>
  <si>
    <t>PRODUCTO TERMINADO</t>
  </si>
  <si>
    <t>DESCRIPCION</t>
  </si>
  <si>
    <t>TOTAL</t>
  </si>
  <si>
    <t>CANTIDAD</t>
  </si>
  <si>
    <t>PALLET</t>
  </si>
  <si>
    <t>OBS</t>
  </si>
  <si>
    <t>CAJA 12 C C/IMP SODIMAC</t>
  </si>
  <si>
    <t>CAJA CARTON ENVIOS SB 18x10x8 CM.</t>
  </si>
  <si>
    <t>CAJA CARTON CORRUGADO 60x60x50 CM (XL) SODIMAC</t>
  </si>
  <si>
    <t>CAJA 12C S/IMP (10655)</t>
  </si>
  <si>
    <t>CAJA SEPAEADORES (600666)</t>
  </si>
  <si>
    <t>CAJA CARTON CORRUGADO 60x40x40 CM (L)</t>
  </si>
  <si>
    <t>CAJA 12C S/IMP (10739)</t>
  </si>
  <si>
    <t>CAJA CARTON CORRUGADO 47x31x31 CM (S) EASY</t>
  </si>
  <si>
    <t>SEPARADOR 12 PLATOS</t>
  </si>
  <si>
    <t>CAJA C/IMP EASY CON ASA (10877)</t>
  </si>
  <si>
    <t>CAJA PISQUERA</t>
  </si>
  <si>
    <t>CAJA C/IMP EASY CON ASA (10879)</t>
  </si>
  <si>
    <t>CAJA CARTON CORRUGADO 50x40x30 CM (M) SODIMAC</t>
  </si>
  <si>
    <t>CAJA C/IMP SODIMAC (10655)</t>
  </si>
  <si>
    <t xml:space="preserve">CAJA TV </t>
  </si>
  <si>
    <t>CAJA CARTON CORRUGADO 47x31x31 CM (S) SODIMAC</t>
  </si>
  <si>
    <t>ROLLO ESPUMA 1MM</t>
  </si>
  <si>
    <t>CAJA CARTON CORRUGADO 50x40x30 CM (M) EASY</t>
  </si>
  <si>
    <t>PLASTICO BURBUJA ROLLO 1MT X 10MT  1 UNIDAD</t>
  </si>
  <si>
    <t>CAJA CARTON CORRUGADO 60x40x40 CM (L) SODIMAC</t>
  </si>
  <si>
    <t>CAJA CARTON CORRUGADO 60x40x40 CM (L) EASY</t>
  </si>
  <si>
    <t>CAJA MINI ENV.</t>
  </si>
  <si>
    <t>ROLLO CARTON CORRUGADO 0.80</t>
  </si>
  <si>
    <t>ROLLO CARTON CORRUGADO 1.20</t>
  </si>
  <si>
    <t>ROLLO PAPEL KRAFT</t>
  </si>
  <si>
    <t>SEPARADOR 2 RANURAS</t>
  </si>
  <si>
    <t>UN PALLET SIN CONTAR</t>
  </si>
  <si>
    <t>ROLLO 0,5 EN PRODUCCION</t>
  </si>
  <si>
    <t>Suma total</t>
  </si>
  <si>
    <t>PALLET ESCOLARES</t>
  </si>
  <si>
    <t>ESCOLARES TRIS/REMATE SIN INVENTARIAR</t>
  </si>
  <si>
    <t>N° PALLET</t>
  </si>
  <si>
    <t>SKU</t>
  </si>
  <si>
    <t>CANTIDAD TOTAL UNIDADES</t>
  </si>
  <si>
    <t>SUM CANTIDAD TOTAL</t>
  </si>
  <si>
    <t>603353</t>
  </si>
  <si>
    <t>PORTAMINA 0.5MM TECH DISPLAY 12 UNIDADES</t>
  </si>
  <si>
    <t>686516</t>
  </si>
  <si>
    <t>621043</t>
  </si>
  <si>
    <t>PORTAMINA 0.9MM TECH DISPLAY 12 UNIDADES</t>
  </si>
  <si>
    <t>634692</t>
  </si>
  <si>
    <t>TIJERA ESCOLAR COMFORT DISPLAY 18 UNIDADES</t>
  </si>
  <si>
    <t>672458</t>
  </si>
  <si>
    <t>TIJERA ESCOLAR COMFORT 15CM BLISTER 1 UNIDAD</t>
  </si>
  <si>
    <t>688374</t>
  </si>
  <si>
    <t>681160</t>
  </si>
  <si>
    <t>PORTAMINA 2.0MM SUPER COLORS DISPLAY 24 UNIDADES</t>
  </si>
  <si>
    <t>688312</t>
  </si>
  <si>
    <t>REPUESTO MINA 0.9MM 2B DISPLAY 12 TUBOS C/24 MINAS</t>
  </si>
  <si>
    <t>686660</t>
  </si>
  <si>
    <t>PORTAMINA 0.7MM CHIC DISPLAY 24 UNIDADES</t>
  </si>
  <si>
    <t>686912</t>
  </si>
  <si>
    <t>PORTAMINA 0.7MM TECH PUNTA METAL DISPLAY 12 UNIDADES</t>
  </si>
  <si>
    <t>688299</t>
  </si>
  <si>
    <t>PORTAMINA 2.0MM SUPER CUTE DISEÑOS DISPLAY 24 UNIDADES</t>
  </si>
  <si>
    <t>PORTAMINA 0.7MM JELLY DISPLAY 12 UNIDADES</t>
  </si>
  <si>
    <t>PORTAMINA 2.0MM SUPER OFFICE DISPLAY 12 UNIDADES</t>
  </si>
  <si>
    <t>676456</t>
  </si>
  <si>
    <t>622729</t>
  </si>
  <si>
    <t>GOMA DE BORRAR C/GRIP SCHOOL DISPLAY 24 UNIDADES</t>
  </si>
  <si>
    <t>635989</t>
  </si>
  <si>
    <t>GOMA DE BORRAR NEON 2 UNIDADES</t>
  </si>
  <si>
    <t>676425</t>
  </si>
  <si>
    <t>667584</t>
  </si>
  <si>
    <t>GOMA DE BORRAR SOFT 2 UNIDADES</t>
  </si>
  <si>
    <t>676395</t>
  </si>
  <si>
    <t>GOMA DE BORRAR PUNTA LAPIZ BLANCA DISPLAY 50 UNIDADES</t>
  </si>
  <si>
    <t>GOMA DE BORRAR BASIC N20 DISPLAY 2O UNIDADES</t>
  </si>
  <si>
    <t>GOMA DE BORRAR BASIC N20 BLISTER 2 UNIDADES</t>
  </si>
  <si>
    <t>681368</t>
  </si>
  <si>
    <t>GOMA DE BORRAR C/PORTAGOMA FIT BLISTER 1 UNIDAD</t>
  </si>
  <si>
    <t>686882</t>
  </si>
  <si>
    <t>GOMA DE BORRAR TWICE SET 4 UNIDADES</t>
  </si>
  <si>
    <t>686981</t>
  </si>
  <si>
    <t>GOMA DE BORRAR TWICE BLISTER 2 UNIDADES</t>
  </si>
  <si>
    <t>601588</t>
  </si>
  <si>
    <t>TIJERA ESCOLAR CLASS DISPLAY 30 UNIDADES</t>
  </si>
  <si>
    <t>619941</t>
  </si>
  <si>
    <t>TIJERA ESCOLAR CRAFT 15CM 5MM DISEÑOS DISPLAY 24 UNIDADES</t>
  </si>
  <si>
    <t>625638</t>
  </si>
  <si>
    <t>DESTACADOR FLASH AMARILLO DISPLAY 12 UNIDADES</t>
  </si>
  <si>
    <t>681375</t>
  </si>
  <si>
    <t>PEGAMENTO GLITTER 23GR. BRILLO AZUL DISPLAY 12 UNIDADES</t>
  </si>
  <si>
    <t>686684</t>
  </si>
  <si>
    <t>681436</t>
  </si>
  <si>
    <t>PEGAMENTO GLITTER 23GR. SET 6 COLORES</t>
  </si>
  <si>
    <t>687360</t>
  </si>
  <si>
    <t>LAPICES DE CERA MEGA OLEO/PASTEL 12 COLORES</t>
  </si>
  <si>
    <t>687377</t>
  </si>
  <si>
    <t>MARCADOR PIZARRA LIQEO AZUL DISPLAY 12 UNIDADES</t>
  </si>
  <si>
    <t>MARCADOR PIZARRA LIQEO NEGRO DISPLAY 12 UNIDADES</t>
  </si>
  <si>
    <t>688473</t>
  </si>
  <si>
    <t>TIJERA SOFT PASTEL DISEÑOS DISPLAY 20 UNIDADES</t>
  </si>
  <si>
    <t>663425</t>
  </si>
  <si>
    <t>BOLIGRAFO 1.0 MM EXEC AZUL DISPLAY 50 UNIDADES</t>
  </si>
  <si>
    <t>676548</t>
  </si>
  <si>
    <t>LAPIZ CORRECTOR 7ML RETOK BLISTER 1 UNIDAD</t>
  </si>
  <si>
    <t>681382</t>
  </si>
  <si>
    <t>PEGAMENTO GLITTER 23GR. BRILLO ORO DISPLAY 12 UNIDADES</t>
  </si>
  <si>
    <t>681399</t>
  </si>
  <si>
    <t>PEGAMENTO GLITTER 23GR. BRILLO PLATA DISPLAY 12 UNIDADES</t>
  </si>
  <si>
    <t>681405</t>
  </si>
  <si>
    <t>PEGAMENTO GLITTER 23GR. BRILLO VERDE DISPLAY 12 UNIDADES</t>
  </si>
  <si>
    <t>681412</t>
  </si>
  <si>
    <t>PEGAMENTO GLITTER 23GR. BRILLO ROJO DISPLAY 12 UNIDADES</t>
  </si>
  <si>
    <t>681429</t>
  </si>
  <si>
    <t>PEGAMENTO GLITTER 23GR. BRILLO TRANSPARENTE DISPLAY 12 UNIDADES</t>
  </si>
  <si>
    <t>680255</t>
  </si>
  <si>
    <t>LAPICES DE COLOR MEGA SOFT 36 COLORES 01NEON_01METAL +SACAP</t>
  </si>
  <si>
    <t>682068</t>
  </si>
  <si>
    <t>DISPENSADOR CINTA ADHESIVA T830 BLACK 1 UNIDAD</t>
  </si>
  <si>
    <t>256233</t>
  </si>
  <si>
    <t>CUCHILLO CARTONERO GRANDE N°70 CON FRENO ISOFIT</t>
  </si>
  <si>
    <t>619972</t>
  </si>
  <si>
    <t>TIJERA ESCOLAR ZURDO BLISTER 1 UNIDAD</t>
  </si>
  <si>
    <t>629711</t>
  </si>
  <si>
    <t>GOMA DE BORRAR C/GRIP SCHOOL BLISTER 2 UNIDADES</t>
  </si>
  <si>
    <t>663616</t>
  </si>
  <si>
    <t>BOLIGRAFO 1.0 MM EXEC NEGRO DISPLAY 50 UNIDADES</t>
  </si>
  <si>
    <t>664729</t>
  </si>
  <si>
    <t>CLIP BULLDOG METALICO 32MM NEGRO DISPLAY 12 UNIDADES</t>
  </si>
  <si>
    <t>665061</t>
  </si>
  <si>
    <t>CORCHETERA METALICA 26/6 T509 BLACK 20HJS 1 UNIDAD</t>
  </si>
  <si>
    <t>672496</t>
  </si>
  <si>
    <t>BOLIGRAFO SLIDE NEGRO 1.0MM DISPLAY 50 UNIDADES</t>
  </si>
  <si>
    <t>672502</t>
  </si>
  <si>
    <t>BOLIGRAFO SLIDE ROJO 1.0MM DISPLAY 50 UNIDADES</t>
  </si>
  <si>
    <t>676401</t>
  </si>
  <si>
    <t>GOMA DE BORRAR PUNTA LAPIZ BLANCA SET 6 UNIDADES</t>
  </si>
  <si>
    <t>676463</t>
  </si>
  <si>
    <t>GOMA DE BORRAR BASIC N40 SET 3 UNIDADES</t>
  </si>
  <si>
    <t>684055</t>
  </si>
  <si>
    <t>LAPICES DE COLOR MEGA SOFT 48 COLORES 02METAL +SACAPUNTAS</t>
  </si>
  <si>
    <t>684529</t>
  </si>
  <si>
    <t>BOLIGRAFO COMFORT COLORES SURTIDOS DISPLAY 12 UNIDADES</t>
  </si>
  <si>
    <t>643045</t>
  </si>
  <si>
    <t>SACAPUNTAS DISEÑO PINGÜINO DISPLAY 12 UNIDADES</t>
  </si>
  <si>
    <t>678047</t>
  </si>
  <si>
    <t>LAPICES COLORES 4 UN</t>
  </si>
  <si>
    <t>603360</t>
  </si>
  <si>
    <t>PORTAMINA 0.7MM TECH DISPLAY 12 UNIDADES</t>
  </si>
  <si>
    <t>633695</t>
  </si>
  <si>
    <t>GOMA DE BORRAR NEON DSP 24 UN TRIS</t>
  </si>
  <si>
    <t>648385</t>
  </si>
  <si>
    <t>REGLA FLEXIBLE 30 CM. FLOPPY 1 UNIDAD</t>
  </si>
  <si>
    <t>651453</t>
  </si>
  <si>
    <t>BOLIGRAFO GEL EFECTO GLITTER 10 UNIDADES COLORES VARIOS</t>
  </si>
  <si>
    <t>659497</t>
  </si>
  <si>
    <t>GOMA DE BORRAR SOFT COLOR DISPLAY 24 UNIDADES</t>
  </si>
  <si>
    <t>664743</t>
  </si>
  <si>
    <t>CLIP BULLDOG METALICO 41MM NEGRO DISPLAY 12 UNIDADES</t>
  </si>
  <si>
    <t>664767</t>
  </si>
  <si>
    <t>CLIP BULLDOG METALICO 51MM NEGRO DISPLAY 12 UNIDADES</t>
  </si>
  <si>
    <t>665320</t>
  </si>
  <si>
    <t>CORCHETES 23/13 NIQUELADO HEAVY DUTY CAJA 1000 UNIDADES</t>
  </si>
  <si>
    <t>665849</t>
  </si>
  <si>
    <t>SACA CORCHETES PALANCA T064 DISPLAY 24 UNIDADES</t>
  </si>
  <si>
    <t>667874</t>
  </si>
  <si>
    <t>TAMPON PARA TIMBRE DE GOMA T160 NR3 AZUL 1 UNIDAD</t>
  </si>
  <si>
    <t>685250</t>
  </si>
  <si>
    <t>SACAPUNTAS C/DEPOSITO SU133 DISPLAY 12 UNIDADES</t>
  </si>
  <si>
    <t>686530</t>
  </si>
  <si>
    <t>REPUESTO MINA 2.0MM 2B DISPLAY 12 TUBOS C/6 MINAS</t>
  </si>
  <si>
    <t>687025</t>
  </si>
  <si>
    <t>LAPIZ CORRECTOR 4ML RETOK MINI BLISTER 1 UNIDAD</t>
  </si>
  <si>
    <t>687124</t>
  </si>
  <si>
    <t>BOLIGRAFO GEL METALICO DORADO/PLATA DISPLAY 50 UNIDADES</t>
  </si>
  <si>
    <t>690902</t>
  </si>
  <si>
    <t>SET ESCOLAR ROSADO (2GRAFITOS +1SACAPUNTA +1GOMA BORAR)</t>
  </si>
  <si>
    <t>672861</t>
  </si>
  <si>
    <t>LAPICES COLORES 2 UN</t>
  </si>
  <si>
    <t>PRODUCTOS DISPONIBLES</t>
  </si>
  <si>
    <t>INSUMOS</t>
  </si>
  <si>
    <t>STATUS</t>
  </si>
  <si>
    <t>COD DEF.</t>
  </si>
  <si>
    <t>LICENCIADOR</t>
  </si>
  <si>
    <t>LICEN</t>
  </si>
  <si>
    <t>RUBRO</t>
  </si>
  <si>
    <t>FAMILIA</t>
  </si>
  <si>
    <t>SUB FAMILIA</t>
  </si>
  <si>
    <t>TIPO</t>
  </si>
  <si>
    <t>SKU ORIGEN</t>
  </si>
  <si>
    <t>STPP</t>
  </si>
  <si>
    <t>N</t>
  </si>
  <si>
    <t>TRISNOTA677446</t>
  </si>
  <si>
    <t>677446</t>
  </si>
  <si>
    <t>NOTAS AUTOADHES NEON T003 38X51MM 4 COLORES 400HJS</t>
  </si>
  <si>
    <t>SUMMIT</t>
  </si>
  <si>
    <t>TRIS</t>
  </si>
  <si>
    <t>OFICINA</t>
  </si>
  <si>
    <t>NOTAS AUTOADHESIVAS</t>
  </si>
  <si>
    <t>A</t>
  </si>
  <si>
    <t>CAJA CARTON 45X35X30  CM</t>
  </si>
  <si>
    <t>692449</t>
  </si>
  <si>
    <t>CINTA DE EMBALAJE</t>
  </si>
  <si>
    <t>TRISSACA643045</t>
  </si>
  <si>
    <t>ESCOLAR</t>
  </si>
  <si>
    <t>SACAPUNTAS</t>
  </si>
  <si>
    <t>DISEÑOS CON DEPOSITO</t>
  </si>
  <si>
    <t xml:space="preserve">CAJA CARTON CORRUGADO 47x31x31 </t>
  </si>
  <si>
    <t>692036</t>
  </si>
  <si>
    <t>FILM STRECH MANUAL</t>
  </si>
  <si>
    <t>TRISSACA643069</t>
  </si>
  <si>
    <t>643069q</t>
  </si>
  <si>
    <t>SACAPUNTAS DISEÑO VAQUITA DISPLAY 12 UNIDADES</t>
  </si>
  <si>
    <t xml:space="preserve">CAJA CARTON CORRUGADO 50x40x30 </t>
  </si>
  <si>
    <t>692012</t>
  </si>
  <si>
    <t>PALLET 1,20X1,00MTRS</t>
  </si>
  <si>
    <t>TRISTIJE619941</t>
  </si>
  <si>
    <t>TIJERAS</t>
  </si>
  <si>
    <t>TRAZADOR DISEÑOS</t>
  </si>
  <si>
    <t xml:space="preserve">CAJA CARTON CORRUGADO 60x40x40 </t>
  </si>
  <si>
    <t>692029</t>
  </si>
  <si>
    <t>PALLET READY 0,60X0,60</t>
  </si>
  <si>
    <t>TRISGOMA622729</t>
  </si>
  <si>
    <t>GOMAS</t>
  </si>
  <si>
    <t>DISEÑOS</t>
  </si>
  <si>
    <t xml:space="preserve">CAJA CARTON CORRUGADO 60x60x50 CM </t>
  </si>
  <si>
    <t>692043</t>
  </si>
  <si>
    <t>TRISPLPZ687377</t>
  </si>
  <si>
    <t>MARCADORES OFICINA</t>
  </si>
  <si>
    <t>PLUMONES PIZARRA</t>
  </si>
  <si>
    <t>C</t>
  </si>
  <si>
    <t>CAJA CARTON ENVIOS 25x17x13 CM</t>
  </si>
  <si>
    <t>692432</t>
  </si>
  <si>
    <t>TRISMINA686516</t>
  </si>
  <si>
    <t>PORTAMINAS</t>
  </si>
  <si>
    <t>REPUESTO MINA</t>
  </si>
  <si>
    <t>691411</t>
  </si>
  <si>
    <t>TRISPORT603353</t>
  </si>
  <si>
    <t>0.5 MM</t>
  </si>
  <si>
    <t>B</t>
  </si>
  <si>
    <t>CAJA CARTON PISQUERA 31x23x31 CM</t>
  </si>
  <si>
    <t>692425</t>
  </si>
  <si>
    <t>TRISBOLI663616</t>
  </si>
  <si>
    <t>BOLIGRAFOS</t>
  </si>
  <si>
    <t>TINTA</t>
  </si>
  <si>
    <t>CAJA CARTON S/IMPRESION 60x40x40 PACK 1 UND</t>
  </si>
  <si>
    <t>600703</t>
  </si>
  <si>
    <t>TRISPORT621043</t>
  </si>
  <si>
    <t>0.9 MM</t>
  </si>
  <si>
    <t>CARTONERO PLASTICO T016 LAMINA 18MM 1 UNIDAD</t>
  </si>
  <si>
    <t>667997</t>
  </si>
  <si>
    <t>TRISGOMA686882</t>
  </si>
  <si>
    <t>686882q</t>
  </si>
  <si>
    <t>GOMA DE BORRAR TWICE DISPLAY 40 UNIDADES</t>
  </si>
  <si>
    <t>DOBLES</t>
  </si>
  <si>
    <t>CARTONERO PLASTICO T016 LAMINA 18MM DISPLAY 12 UNIDADES</t>
  </si>
  <si>
    <t>667997D</t>
  </si>
  <si>
    <t>TRISBOLI672502</t>
  </si>
  <si>
    <t>CARTONERO PLASTICO T016 LAMINA ANCHA 3 UNIDADES</t>
  </si>
  <si>
    <t>690841</t>
  </si>
  <si>
    <t>TRISPORT686912</t>
  </si>
  <si>
    <t>0.7 MM</t>
  </si>
  <si>
    <t>CARTONERO PROFESIONAL T018 LAMINA 8MM BLISTER 1 UNIDAD</t>
  </si>
  <si>
    <t>664965</t>
  </si>
  <si>
    <t>TRISPORT686660</t>
  </si>
  <si>
    <t>CARTONERO PROFESIONAL T019 LAMINA 18MM BLISTER 1 UNIDAD</t>
  </si>
  <si>
    <t>664989</t>
  </si>
  <si>
    <t>TRISSACA685250</t>
  </si>
  <si>
    <t>PLASTICOS CON DEPOSITO</t>
  </si>
  <si>
    <t>CINTA EMBALAJE TRANSPARENTE 48MM X 100MT</t>
  </si>
  <si>
    <t>671383xx</t>
  </si>
  <si>
    <t>TRISBOLI687520</t>
  </si>
  <si>
    <t>687520q</t>
  </si>
  <si>
    <t>BOLIGRAFO FINELINER LIQEO PASTEL_NEON DISPLAY 36 UNIDADES</t>
  </si>
  <si>
    <t>FINELINER</t>
  </si>
  <si>
    <t>CINTA EMBALAJE TRANSPARENTE 48MM X 40MT</t>
  </si>
  <si>
    <t>650718</t>
  </si>
  <si>
    <t>TRISBOLI672496</t>
  </si>
  <si>
    <t>CINTA EMBALAJE TRANSPARENTE 48MM X 90MT</t>
  </si>
  <si>
    <t>659495</t>
  </si>
  <si>
    <t>TRISPORT681160</t>
  </si>
  <si>
    <t>2.0 MM</t>
  </si>
  <si>
    <t>ESQUINERO CARTON 4.5x4.5x195 CM 2MM</t>
  </si>
  <si>
    <t>691091</t>
  </si>
  <si>
    <t>TRISDEST625638</t>
  </si>
  <si>
    <t>DESTACADORES</t>
  </si>
  <si>
    <t>TRADICIONAL</t>
  </si>
  <si>
    <t>ETIQUETA ADHESIVA 100X50mm BCA ROLLO 100 UN.</t>
  </si>
  <si>
    <t>692371</t>
  </si>
  <si>
    <t>TRISGOMA676425</t>
  </si>
  <si>
    <t>BLANCAS</t>
  </si>
  <si>
    <t>ETIQUETA ADHESIVA 100X50mm IMPRESA 1 COLOR</t>
  </si>
  <si>
    <t>692272</t>
  </si>
  <si>
    <t>TRISPEGA681399</t>
  </si>
  <si>
    <t>PEGAMENTOS</t>
  </si>
  <si>
    <t>GLITTER</t>
  </si>
  <si>
    <t>FILM STRECH UN 50CM 20 MICRONES 2K</t>
  </si>
  <si>
    <t>657325c</t>
  </si>
  <si>
    <t>TRISPLPZ687360</t>
  </si>
  <si>
    <t>FILM STRETCH 50CMS 20 MICRONES 1.7 KILOS 1 UNIDAD</t>
  </si>
  <si>
    <t>690094</t>
  </si>
  <si>
    <t>TRISPORT688374</t>
  </si>
  <si>
    <t>FILM STRETCH 50CMS 20 MICRONES 1.7 KILOS 1 UNIDAD STK</t>
  </si>
  <si>
    <t>673080</t>
  </si>
  <si>
    <t>TRISPEGA681429</t>
  </si>
  <si>
    <t>FILM STRETCH UN 50CM 20 MICRONES 1.8K</t>
  </si>
  <si>
    <t>682785</t>
  </si>
  <si>
    <t>TRISCUAD673332</t>
  </si>
  <si>
    <t>673332q</t>
  </si>
  <si>
    <t>CUADERNO UNIVERSITARIO 100 HJS DISENOS VARIOS PACK 10 UND</t>
  </si>
  <si>
    <t>CUADERNOS</t>
  </si>
  <si>
    <t>CUADERNOS UNIVERSITARIOS</t>
  </si>
  <si>
    <t>PLASTICO BURBUJA ROLLO 1.5MT X 10MT  1 UNIDAD</t>
  </si>
  <si>
    <t>690728</t>
  </si>
  <si>
    <t>TRISBOLI685854</t>
  </si>
  <si>
    <t>685854q</t>
  </si>
  <si>
    <t>BOLIGRAFO FINELINER LIQEO 12 COLORES DISPLAY 36 UNIDADES</t>
  </si>
  <si>
    <t>PLASTICO BURBUJA ROLLO 1.5MT X 5MT  1 UNIDAD</t>
  </si>
  <si>
    <t>690629</t>
  </si>
  <si>
    <t>TRISPEGA681405</t>
  </si>
  <si>
    <t>690469w</t>
  </si>
  <si>
    <t>TRISGOMA676395</t>
  </si>
  <si>
    <t>PUNTA LAPIZ</t>
  </si>
  <si>
    <t>PLASTICO BURBUJA ROLLO 1MTX5MT 1UN</t>
  </si>
  <si>
    <t>691008</t>
  </si>
  <si>
    <t>TRISPORT688312</t>
  </si>
  <si>
    <t>PLASTICO BURBUJA ROLLO 32CM X 1.5MT  1 UNIDAD</t>
  </si>
  <si>
    <t>690124</t>
  </si>
  <si>
    <t>TRISSSET690919</t>
  </si>
  <si>
    <t>690919</t>
  </si>
  <si>
    <t>SET ESCOLAR AZUL (2GRAFITOS +1SACAPUNTA +1GOMA BORAR)</t>
  </si>
  <si>
    <t>SETS</t>
  </si>
  <si>
    <t>ESCOLAR BASICO</t>
  </si>
  <si>
    <t>PLASTICO BURBUJA ROLLO 50CM X 10MT 1 UNIDAD</t>
  </si>
  <si>
    <t>690117</t>
  </si>
  <si>
    <t>TRISPORT603360</t>
  </si>
  <si>
    <t>REPUESTO CARTONERO LAMINA 18MM T017 1 TUBO C/10 LAMINAS</t>
  </si>
  <si>
    <t>601175</t>
  </si>
  <si>
    <t>TRISTIJE601588</t>
  </si>
  <si>
    <t>CLASICA</t>
  </si>
  <si>
    <t>REPUESTO CARTONERO LAMINA 18MM T017 10 TUBOS 10 LAMINAS</t>
  </si>
  <si>
    <t>668017</t>
  </si>
  <si>
    <t>TRISBOLI666426</t>
  </si>
  <si>
    <t>666426q</t>
  </si>
  <si>
    <t>BOLIGRAFO 1.0MM SIX AZUL DISPLAY 50 UNIDADES</t>
  </si>
  <si>
    <t>ROLLO CARTON ACOLCHADO 40cmx5mt 1 UND</t>
  </si>
  <si>
    <t>691084</t>
  </si>
  <si>
    <t>TRISLAPG687667</t>
  </si>
  <si>
    <t>687667q</t>
  </si>
  <si>
    <t>LAPIZ GRAFITO HB C/GOMA STAR DISPLAY 72 UNIDADES</t>
  </si>
  <si>
    <t>GRAFITOS</t>
  </si>
  <si>
    <t>ROLLO CARTON ACOLCHADO 40x120cm 5 UND</t>
  </si>
  <si>
    <t>691077</t>
  </si>
  <si>
    <t>TRISPEGA681412</t>
  </si>
  <si>
    <t>ROLLO CARTON CORRUGADO 0.6X13 MT</t>
  </si>
  <si>
    <t>605654</t>
  </si>
  <si>
    <t>TRISMINA686530</t>
  </si>
  <si>
    <t>ROLLO CARTON CORRUGADO 0.6X30 MT</t>
  </si>
  <si>
    <t>605647</t>
  </si>
  <si>
    <t>TRISLAPG688145</t>
  </si>
  <si>
    <t>688145q</t>
  </si>
  <si>
    <t>LAPIZ GRAFITO HB C/GOMA TROPICAL DISPLAY 72 UNIDADES</t>
  </si>
  <si>
    <t>ROLLO CARTON CORRUGADO 0.80X24 MT</t>
  </si>
  <si>
    <t>674889</t>
  </si>
  <si>
    <t>TRISBOLI687124</t>
  </si>
  <si>
    <t>GEL</t>
  </si>
  <si>
    <t>ROLLO CARTON CORRUGADO 0.8X13 MT</t>
  </si>
  <si>
    <t>636054</t>
  </si>
  <si>
    <t>TRISGOMA659497</t>
  </si>
  <si>
    <t>COLOR</t>
  </si>
  <si>
    <t>ROLLO CARTON CORRUGADO 1.20X57 MT 19K</t>
  </si>
  <si>
    <t>605685</t>
  </si>
  <si>
    <t>TRISJDTC691367</t>
  </si>
  <si>
    <t>691367q</t>
  </si>
  <si>
    <t>Juego didáctico Dominó SET 3 und (diseños) - (N°1210)</t>
  </si>
  <si>
    <t>DIDACTICOS</t>
  </si>
  <si>
    <t>JUEGOS DIDACTICOS</t>
  </si>
  <si>
    <t>ROLLO CARTON CORRUGADO 1.20X73Mt aprox. 25K</t>
  </si>
  <si>
    <t>605678</t>
  </si>
  <si>
    <t>TRISJDTC691350</t>
  </si>
  <si>
    <t>691350q</t>
  </si>
  <si>
    <t>Juego didáctico Memorice SET 3 und (diseños) - (N°1200)</t>
  </si>
  <si>
    <t>ROLLO CARTON CORRUGADO 1.20X90 MT 30K</t>
  </si>
  <si>
    <t>678917</t>
  </si>
  <si>
    <t>TRISPEGA681382</t>
  </si>
  <si>
    <t>TRISLAPG685205</t>
  </si>
  <si>
    <t>685205q</t>
  </si>
  <si>
    <t>LAPIZ GRAFITO C/GOMA METROPOLITAN DISPLAY 72 UNIDADES</t>
  </si>
  <si>
    <t>TRISPORT688299</t>
  </si>
  <si>
    <t>TRISTIJE688473</t>
  </si>
  <si>
    <t>TRISCORC665849</t>
  </si>
  <si>
    <t>SACACORCHETES</t>
  </si>
  <si>
    <t>PALANCA</t>
  </si>
  <si>
    <t>TRISSACA635910</t>
  </si>
  <si>
    <t>635910w</t>
  </si>
  <si>
    <t>SACAPUNTAS DISEÑO CERDITO  DISPLAY 12 UNIDADES</t>
  </si>
  <si>
    <t>TRISTIJE634692</t>
  </si>
  <si>
    <t>ERGONOMETRICA</t>
  </si>
  <si>
    <t>TRISBLGL651453</t>
  </si>
  <si>
    <t>651453w</t>
  </si>
  <si>
    <t>BOLIGRAFO GEL EFECTO GLITTER DISPLAY 50 UNIDADES</t>
  </si>
  <si>
    <t>TRISEMBA690469</t>
  </si>
  <si>
    <t>EMBALAJES</t>
  </si>
  <si>
    <t>PLASTICO BURBUJA</t>
  </si>
  <si>
    <t>TRISDDTC691367</t>
  </si>
  <si>
    <t>691367</t>
  </si>
  <si>
    <t>Juego didáctico Dominó Set 3 juegos 28 pzas c/u  - (N°1210)</t>
  </si>
  <si>
    <t>TRISEMBA690117</t>
  </si>
  <si>
    <t>TRISEMBA690728</t>
  </si>
  <si>
    <t>TRISSACA688152</t>
  </si>
  <si>
    <t>688152w</t>
  </si>
  <si>
    <t>SACAPUNTAS C/DEPOSITO SPACE DISPLAY 12 UNIDADES</t>
  </si>
  <si>
    <t>TRISTIJE650487</t>
  </si>
  <si>
    <t>650487w</t>
  </si>
  <si>
    <t>TIJERA ESCOLAR CLUB DISPLAY  36 UNIDADES</t>
  </si>
  <si>
    <t>ZZ</t>
  </si>
  <si>
    <t>SPIDPEGA648040</t>
  </si>
  <si>
    <t>648040p</t>
  </si>
  <si>
    <t>PEGAMENTO BARRA 15G BLIS. SPID</t>
  </si>
  <si>
    <t>MARVEL</t>
  </si>
  <si>
    <t>SPID</t>
  </si>
  <si>
    <t>TRISLAPG676654</t>
  </si>
  <si>
    <t>676654w</t>
  </si>
  <si>
    <t>LAPIZ GRAFITO 2B C/GOMA DISPLAY 72 UNIDADES</t>
  </si>
  <si>
    <t>BASICOS</t>
  </si>
  <si>
    <t>TRISLAPG684093</t>
  </si>
  <si>
    <t>684093w</t>
  </si>
  <si>
    <t>LAPIZ GRAFITO 2B BASIC DISPLAY 72 UNIDADES</t>
  </si>
  <si>
    <t>Z</t>
  </si>
  <si>
    <t>FROZGOMA678917</t>
  </si>
  <si>
    <t>678917s</t>
  </si>
  <si>
    <t>GOMA DE BORRAR SET 3 UN FROZEN</t>
  </si>
  <si>
    <t>DISNEY</t>
  </si>
  <si>
    <t>FROZ</t>
  </si>
  <si>
    <t>BASIC SET</t>
  </si>
  <si>
    <t>TRISBOLI684529</t>
  </si>
  <si>
    <t>TRISPWEB684567</t>
  </si>
  <si>
    <t>684567w</t>
  </si>
  <si>
    <t>BOLIGRAFO 1.0MM RETRACTIL COMFORT ROSA/VIOL SET 2 UNIDADES</t>
  </si>
  <si>
    <t>TRISPWEB684529</t>
  </si>
  <si>
    <t>684529A</t>
  </si>
  <si>
    <t>BOLIGRAFO COMFORT</t>
  </si>
  <si>
    <t>TRISBOLI684567</t>
  </si>
  <si>
    <t>684567</t>
  </si>
  <si>
    <t>BOLIGRAFO 1.0MM RETRACTIL COMFORT ROSA/VIOL DISP 12 UNIDADES</t>
  </si>
  <si>
    <t>TRISPWEB666426</t>
  </si>
  <si>
    <t>666426</t>
  </si>
  <si>
    <t>BOLIGRAFO 1.0MM SIX AZUL SET 10 UNIDADES</t>
  </si>
  <si>
    <t>TRISPWEB684451</t>
  </si>
  <si>
    <t>684451w</t>
  </si>
  <si>
    <t>BOLIGRAFO 1.0MM FASHION 4 COLORES 1 UNIDAD</t>
  </si>
  <si>
    <t>TRISBOLI684451</t>
  </si>
  <si>
    <t>684451</t>
  </si>
  <si>
    <t>BOLIGRAFO 1.0MM FASHION 4 COLORES DISPLAY 6 UNIDADES</t>
  </si>
  <si>
    <t>TRISPWEB687520</t>
  </si>
  <si>
    <t>687520</t>
  </si>
  <si>
    <t>BOLIGRAFO FINELINER LIQEO</t>
  </si>
  <si>
    <t>TRISBOLI686271</t>
  </si>
  <si>
    <t>686271w</t>
  </si>
  <si>
    <t>BOLIGRAFO 1.0MM RETRATIL CLICK COLORES DISPLAY 12 UNIDADES</t>
  </si>
  <si>
    <t>TRISPWEB686271</t>
  </si>
  <si>
    <t>686271</t>
  </si>
  <si>
    <t>BOLIGRAFO 1.0MM RETRATIL CLICK COLORES</t>
  </si>
  <si>
    <t>TRISBOLI687537</t>
  </si>
  <si>
    <t>687537w</t>
  </si>
  <si>
    <t>BOLIGRAFO 0.7MM SLIDE 2-AZUL/1-ROJO/1-NEGRO SET 4 UNIDADES</t>
  </si>
  <si>
    <t>TRISBOLI672489</t>
  </si>
  <si>
    <t>672489w</t>
  </si>
  <si>
    <t>BOLIGRAFO SLIDE AZUL 1.0MM DISPLAY 50 UNIDADES</t>
  </si>
  <si>
    <t>TRISPWEB672519</t>
  </si>
  <si>
    <t>672519w</t>
  </si>
  <si>
    <t>BOLIGRAFO 1.0MM SLIDE COLORES SURTIDOS SET 6 UNIDADES</t>
  </si>
  <si>
    <t>TRISPWEB651453</t>
  </si>
  <si>
    <t>TRISPWEB672489</t>
  </si>
  <si>
    <t>672489wz</t>
  </si>
  <si>
    <t>BOLIGRAFO SLIDE AZUL 1.0MM SET 10 UNIDADES</t>
  </si>
  <si>
    <t>TRISBOLI672519</t>
  </si>
  <si>
    <t>672519</t>
  </si>
  <si>
    <t>BOLIGRAFO 1.0MM SLIDE COLORES SURTIDOS DISPLAY 24 UNIDADES</t>
  </si>
  <si>
    <t>TRISSSET667409</t>
  </si>
  <si>
    <t>667409</t>
  </si>
  <si>
    <t>BOLIGRAFO GEL NEON/PASTEL/GLITTER 12UND +BOLIG. GLITTER 6UND +BOLIG. PASTEL 6UND</t>
  </si>
  <si>
    <t>TRISSSET687537</t>
  </si>
  <si>
    <t>687537</t>
  </si>
  <si>
    <t>BOLIGRAFO SLIDE 1.0MM SET 12 UND (6-AZUL/3-ROJO/3-NEGRO)</t>
  </si>
  <si>
    <t>TRISPWEB687124</t>
  </si>
  <si>
    <t>687124a</t>
  </si>
  <si>
    <t>BOLIGRAFO GEL METALICO</t>
  </si>
  <si>
    <t>TRISPWEB672496</t>
  </si>
  <si>
    <t>672496xz</t>
  </si>
  <si>
    <t>BOLIGRAFO SLIDE NEGRO 1.0MM SET 10 UNIDADES</t>
  </si>
  <si>
    <t>TRISPWEB663616</t>
  </si>
  <si>
    <t>663616AA</t>
  </si>
  <si>
    <t>BOLIGRAFO 1.0 MM EXEC NEGRO SET 10 UNIDADES</t>
  </si>
  <si>
    <t>TRISPWEB685854</t>
  </si>
  <si>
    <t>685854</t>
  </si>
  <si>
    <t>BOLIGRAFO FINELINER LIQEO SET 4 COLORES</t>
  </si>
  <si>
    <t>TRISPWEB672502</t>
  </si>
  <si>
    <t>672502xz</t>
  </si>
  <si>
    <t>BOLIGRAFO SLIDE ROJO 1.0MM SET 10 UNIDADES</t>
  </si>
  <si>
    <t>NN</t>
  </si>
  <si>
    <t>TRISBOLI684468</t>
  </si>
  <si>
    <t>684468xz</t>
  </si>
  <si>
    <t>BOLIG.1.0MM ESF COLOR MIX 4 COL CJ.6UN TRIS</t>
  </si>
  <si>
    <t>TRISBOLI685151</t>
  </si>
  <si>
    <t>685151xz</t>
  </si>
  <si>
    <t>BOLIG.GEL 0.7MM TRIS STYLE DSP 24UN</t>
  </si>
  <si>
    <t>TRISBOLI686233</t>
  </si>
  <si>
    <t>686233xz</t>
  </si>
  <si>
    <t>BOLIG.GEL 1.0MM TRIS LOVE 5 COL</t>
  </si>
  <si>
    <t>TRISUNID672489</t>
  </si>
  <si>
    <t>672489</t>
  </si>
  <si>
    <t>BOLIG.SLIDE AZUL 1.0MM 1 UN TRIS</t>
  </si>
  <si>
    <t>TRISUNID672496</t>
  </si>
  <si>
    <t>672496AA</t>
  </si>
  <si>
    <t>BOLIG.SLIDE NEGRO 1.0MM 1 UN TRIS</t>
  </si>
  <si>
    <t>TRISUNID672502</t>
  </si>
  <si>
    <t>672502AA</t>
  </si>
  <si>
    <t>BOLIG.SLIDE ROJO 1.0MM 1 UN TRIS</t>
  </si>
  <si>
    <t>TRISBOLI673998</t>
  </si>
  <si>
    <t>673998</t>
  </si>
  <si>
    <t>BOLIGRAFO 4 EN 1 DSP TRIS NIÑO</t>
  </si>
  <si>
    <t>REGALERIA</t>
  </si>
  <si>
    <t>TMMHBOLI668307</t>
  </si>
  <si>
    <t>668307</t>
  </si>
  <si>
    <t>SET BOLIGRAFOS 4 TINTAS + CORRECTOR M.HIGH</t>
  </si>
  <si>
    <t>TMMH</t>
  </si>
  <si>
    <t>ANGRBOLI671215</t>
  </si>
  <si>
    <t>671215xz</t>
  </si>
  <si>
    <t>BOLIGRAFO 4 EN 1 BLS A.BIRD</t>
  </si>
  <si>
    <t>ROVIO</t>
  </si>
  <si>
    <t>ANGR</t>
  </si>
  <si>
    <t>MONSBOLI668307</t>
  </si>
  <si>
    <t>668307p</t>
  </si>
  <si>
    <t>ZZ. NO USAR. BOLIGRAFO 4 TINTAS + CORRECTOR</t>
  </si>
  <si>
    <t>MATTEL</t>
  </si>
  <si>
    <t>MONS</t>
  </si>
  <si>
    <t>TRISSSET673360</t>
  </si>
  <si>
    <t>673360</t>
  </si>
  <si>
    <t>CAJA ESCOLAR TRIS</t>
  </si>
  <si>
    <t>CAJAS</t>
  </si>
  <si>
    <t>TRISEMBA678986</t>
  </si>
  <si>
    <t>678986</t>
  </si>
  <si>
    <t>CAJA CARTON CORRUGADO 47x31x31 PACK 5 UND</t>
  </si>
  <si>
    <t>EMB</t>
  </si>
  <si>
    <t>CAJAS CARTON</t>
  </si>
  <si>
    <t>TRISEMBA690186</t>
  </si>
  <si>
    <t>690186xz</t>
  </si>
  <si>
    <t>CAJA CARTON CORRUGADO 50x40x30 PACK 5 UND</t>
  </si>
  <si>
    <t>TRISEMBA674896</t>
  </si>
  <si>
    <t>674896</t>
  </si>
  <si>
    <t>CAJA CARTON CORRUGADO 60x60x50 PACK 5 UND</t>
  </si>
  <si>
    <t>TRISEMBA684468</t>
  </si>
  <si>
    <t>684468</t>
  </si>
  <si>
    <t>CAJA CARTON ENVIOS 25x17x13 CM. PACK 5 UND</t>
  </si>
  <si>
    <t>TRISEMBA686233</t>
  </si>
  <si>
    <t>686233</t>
  </si>
  <si>
    <t>CAJA CARTON CHAMPANERA 37x27.5x32 CM. PACK 5 UND</t>
  </si>
  <si>
    <t>TRISEMBA685151</t>
  </si>
  <si>
    <t>685151</t>
  </si>
  <si>
    <t>CAJA CARTON PISQUERA 31x23x31 CM. PACK 5 UND</t>
  </si>
  <si>
    <t>TRISEMBA684840</t>
  </si>
  <si>
    <t>684840xx</t>
  </si>
  <si>
    <t>CAJA CARTON STOREBOX 38x29.5x24.5 CM. PACK 5 UND</t>
  </si>
  <si>
    <t>MONSSSET667409</t>
  </si>
  <si>
    <t>667409s</t>
  </si>
  <si>
    <t>CALCULADORA MONSTER HIGH</t>
  </si>
  <si>
    <t>CALCULADORAS</t>
  </si>
  <si>
    <t>TMMHSSET667409</t>
  </si>
  <si>
    <t>667409p</t>
  </si>
  <si>
    <t>ZZ. NO USAR. CALCULADORA TOUCH M.</t>
  </si>
  <si>
    <t>TMMHSSET672878</t>
  </si>
  <si>
    <t>672878</t>
  </si>
  <si>
    <t>CERA TWIST 12 COLORES M.</t>
  </si>
  <si>
    <t>CERAS</t>
  </si>
  <si>
    <t>TRISLPCE690490</t>
  </si>
  <si>
    <t>690490</t>
  </si>
  <si>
    <t>LAPIZ CERA JUMBO -SURTIDO LICENCIAS</t>
  </si>
  <si>
    <t>COLOLPCE673295</t>
  </si>
  <si>
    <t>673295xx</t>
  </si>
  <si>
    <t>LAPIZ CERA GR. 12 COL.COLO COLO</t>
  </si>
  <si>
    <t>AGOSIN</t>
  </si>
  <si>
    <t>COLO</t>
  </si>
  <si>
    <t>UCHILPCE673301</t>
  </si>
  <si>
    <t>673301xx</t>
  </si>
  <si>
    <t>LAPIZ CERA GR. 12 COL.UNIV.CHILE</t>
  </si>
  <si>
    <t>UCHI</t>
  </si>
  <si>
    <t>SUMMLICE682778</t>
  </si>
  <si>
    <t>682778p</t>
  </si>
  <si>
    <t>ZZ. NO USAR. LAPIZ CERA LICENCIAS</t>
  </si>
  <si>
    <t>SUMM</t>
  </si>
  <si>
    <t>MONSSSET672878</t>
  </si>
  <si>
    <t>672878p</t>
  </si>
  <si>
    <t>ZZ. NO USAR. LAPIZ CERA TWIST SET 12COL.M.HIGH</t>
  </si>
  <si>
    <t>TRISEMBA671383</t>
  </si>
  <si>
    <t>CINTAS EMBALAJE</t>
  </si>
  <si>
    <t>TRISEMBA650718</t>
  </si>
  <si>
    <t>TRISEMBA659495</t>
  </si>
  <si>
    <t>TRISLAPC690469</t>
  </si>
  <si>
    <t>690469</t>
  </si>
  <si>
    <t>LAPICES DE COLORES -SURTIDO LICENCIAS</t>
  </si>
  <si>
    <t>COLORES</t>
  </si>
  <si>
    <t>STARLAPC674889</t>
  </si>
  <si>
    <t>674889xx</t>
  </si>
  <si>
    <t>LAP. COLOR STAR WARS</t>
  </si>
  <si>
    <t>LUCAS</t>
  </si>
  <si>
    <t>STAR</t>
  </si>
  <si>
    <t>COLOLAPC673318</t>
  </si>
  <si>
    <t>673318xx</t>
  </si>
  <si>
    <t>LAP.COLOR COLO COLO</t>
  </si>
  <si>
    <t>UCHILAPC673325</t>
  </si>
  <si>
    <t>673325xx</t>
  </si>
  <si>
    <t>LAP.COLOR U. DE CHILE</t>
  </si>
  <si>
    <t>SPIDLAPC680712</t>
  </si>
  <si>
    <t>680712</t>
  </si>
  <si>
    <t>LAPICES DE COLORES DOBLES+1</t>
  </si>
  <si>
    <t>STARLAPC680712</t>
  </si>
  <si>
    <t>680712p</t>
  </si>
  <si>
    <t>ZZ. NO USAR. LAPICES DE COLORES DOBLES+1</t>
  </si>
  <si>
    <t>TRISNAVI671215</t>
  </si>
  <si>
    <t>671215</t>
  </si>
  <si>
    <t>MANTEL PLASTICO AZUL 137x274 cm</t>
  </si>
  <si>
    <t>CONSIGNACION</t>
  </si>
  <si>
    <t>TRISPWEB677354</t>
  </si>
  <si>
    <t>677354xx</t>
  </si>
  <si>
    <t>CORCHETERA POP OFFICE T317 26/6 12HJS 1 UNIDAD</t>
  </si>
  <si>
    <t>CORCHETERAS</t>
  </si>
  <si>
    <t>POP</t>
  </si>
  <si>
    <t>TRISPWEB677347</t>
  </si>
  <si>
    <t>677347xx</t>
  </si>
  <si>
    <t>CORCHETERA POP OFFICE T405 26/6 15HJS 1 UNIDAD</t>
  </si>
  <si>
    <t>TRISCORC677354</t>
  </si>
  <si>
    <t>677354</t>
  </si>
  <si>
    <t>CORCHETERA POP OFFICE T317 26/6 DISPLAY 12 UNIDADES</t>
  </si>
  <si>
    <t>TRISCORC677347</t>
  </si>
  <si>
    <t>677347</t>
  </si>
  <si>
    <t>CORCHETERA POP OFFICE T405 26/6 15HJS DISPLAY 6 UNIDADES</t>
  </si>
  <si>
    <t>TRISPWEB648736</t>
  </si>
  <si>
    <t>648736xx</t>
  </si>
  <si>
    <t>CORCHETERA MINI QUICKY COLOR 26/6  1 UNIDAD</t>
  </si>
  <si>
    <t>MINI</t>
  </si>
  <si>
    <t>TRISPWEB680798</t>
  </si>
  <si>
    <t>680798xx</t>
  </si>
  <si>
    <t>CORCHETERA POP OFFICE T134 26/6 _ 24/6 12HJS 1 UNIDAD</t>
  </si>
  <si>
    <t>TRISCORC680798</t>
  </si>
  <si>
    <t>680798</t>
  </si>
  <si>
    <t>CORCHETERA POP OFFICE T134 26/6 DISPLAY 12 UNIDADES</t>
  </si>
  <si>
    <t>TRISUNID687018</t>
  </si>
  <si>
    <t>687018cc</t>
  </si>
  <si>
    <t>CORRECTOR 4ML RETOK MINI 1 UNIDAD</t>
  </si>
  <si>
    <t>CORRECTOR</t>
  </si>
  <si>
    <t>TRISPWEB676555</t>
  </si>
  <si>
    <t>676555cc</t>
  </si>
  <si>
    <t>CORRECTOR 2 EN 1 15ML DISPLAY 1 UNIDAD</t>
  </si>
  <si>
    <t>CORRECTORES</t>
  </si>
  <si>
    <t>2 EN 1</t>
  </si>
  <si>
    <t>TRISCORR649207</t>
  </si>
  <si>
    <t>649207c</t>
  </si>
  <si>
    <t>LAPIZ CORRECTOR 7ML RETOK DISPLAY 12 UNIDADES</t>
  </si>
  <si>
    <t>LAPIZ</t>
  </si>
  <si>
    <t>TRISPWEB649207</t>
  </si>
  <si>
    <t>649207</t>
  </si>
  <si>
    <t>LAPIZ CORRECTOR 7ML RETOK SET 2 UNIDADES</t>
  </si>
  <si>
    <t>TRISCORR687018</t>
  </si>
  <si>
    <t>687018</t>
  </si>
  <si>
    <t>LAPIZ CORRECTOR 4ML RETOK MINI DISPLAY 12 UNIDADES</t>
  </si>
  <si>
    <t>TRISCORR652139</t>
  </si>
  <si>
    <t>652139c</t>
  </si>
  <si>
    <t>CORRECTOR CINTA MINI LAYER 5MT DISPLAY 18 UNIDADES</t>
  </si>
  <si>
    <t>CINTA</t>
  </si>
  <si>
    <t>TRISCORR688220</t>
  </si>
  <si>
    <t>688220cc</t>
  </si>
  <si>
    <t>CORRECTOR CINTA RETRACTIL 5mT x 5mm DISPLAY 12 UNIDADES</t>
  </si>
  <si>
    <t>RETRACTIL</t>
  </si>
  <si>
    <t>TRISPWEB688220</t>
  </si>
  <si>
    <t>688220</t>
  </si>
  <si>
    <t>CORRECTOR CINTA RETRACTIL 5mT x 5mm SET 3 UNIDADES</t>
  </si>
  <si>
    <t>TRISPWEB652139</t>
  </si>
  <si>
    <t>652139</t>
  </si>
  <si>
    <t>CORRECTOR CINTA MINI LAYER 5MT 1 UNIDAD</t>
  </si>
  <si>
    <t>TRISCUAD673349</t>
  </si>
  <si>
    <t>673349c</t>
  </si>
  <si>
    <t>CUADERNO UNIVERSITARIO 100 HJS NUOVO PACK 8 UND</t>
  </si>
  <si>
    <t>TRISCUAD673318</t>
  </si>
  <si>
    <t>673318</t>
  </si>
  <si>
    <t>CUADERNO UNIVERSITARIO 100 HJS ROSS PACK 10 UND</t>
  </si>
  <si>
    <t>TRISCUAD673325</t>
  </si>
  <si>
    <t>673325</t>
  </si>
  <si>
    <t>CUADERNO UNIVERSITARIO 100 HJS DISENO MASCOTAS PACK 10 UND</t>
  </si>
  <si>
    <t>TRISCUAD673363</t>
  </si>
  <si>
    <t>673363</t>
  </si>
  <si>
    <t>CUADERNO UNIVERSITARIO 100 HJS DISENO COLORLIFE PACK 10 UND</t>
  </si>
  <si>
    <t>TRISCUAD673301</t>
  </si>
  <si>
    <t>673301</t>
  </si>
  <si>
    <t>CUADERNO COLLEGE 80 HJS PACK 10 UND</t>
  </si>
  <si>
    <t>CUADERNOS COLLEGE</t>
  </si>
  <si>
    <t>TRISCUAD673295</t>
  </si>
  <si>
    <t>673295</t>
  </si>
  <si>
    <t>CUADERNO COLLEGE 100 HJS PACK 10 UND</t>
  </si>
  <si>
    <t>TRISPWEB691121</t>
  </si>
  <si>
    <t>691121c</t>
  </si>
  <si>
    <t>DESTACADOR LIQEO PASTEL COLORES</t>
  </si>
  <si>
    <t>PASTEL</t>
  </si>
  <si>
    <t>TRISPWEB603643</t>
  </si>
  <si>
    <t>603643c</t>
  </si>
  <si>
    <t>DESTACADOR MINI LIQEO FLUOR</t>
  </si>
  <si>
    <t>FLUOR</t>
  </si>
  <si>
    <t>TRISDEST603643</t>
  </si>
  <si>
    <t>603643</t>
  </si>
  <si>
    <t>DESTACADOR MINI LIQEO FLUOR DISPLAY 48 UNIDADES</t>
  </si>
  <si>
    <t>TRISDEST685953</t>
  </si>
  <si>
    <t>685953</t>
  </si>
  <si>
    <t>DESTACADOR FLUORESCENTE LIQEO FLAT DISPLAY 24 UNIDADES</t>
  </si>
  <si>
    <t>TRISPWEB685953</t>
  </si>
  <si>
    <t>685953c</t>
  </si>
  <si>
    <t>DESTACADOR FLUORESCENTE LIQEO FLAT COLORES SET 3 UNIDADES</t>
  </si>
  <si>
    <t>TRISDEST685045</t>
  </si>
  <si>
    <t>685045</t>
  </si>
  <si>
    <t>DESTACADOR LIQEO COLORES PASTEL DISPLAY 24 UNIDADES</t>
  </si>
  <si>
    <t>TRISPWEB685045</t>
  </si>
  <si>
    <t>685045c</t>
  </si>
  <si>
    <t>DESTACADOR LIQEO COLORES PASTEL SET 6 UNIDADES</t>
  </si>
  <si>
    <t>TRISSSET690179</t>
  </si>
  <si>
    <t>690179</t>
  </si>
  <si>
    <t>DESTACADOR MINI LIQEO FLUOR SET 6 UNIDADES</t>
  </si>
  <si>
    <t>TRISPWEB625638</t>
  </si>
  <si>
    <t>625638aa</t>
  </si>
  <si>
    <t>DESTACADOR FLASH AMARILLO SET 3 UNIDADES</t>
  </si>
  <si>
    <t>TRISDEST605654</t>
  </si>
  <si>
    <t>605654p</t>
  </si>
  <si>
    <t>DESTACADOR LIQEO PASTEL COLOR CALIPSO 1 UN TRIS</t>
  </si>
  <si>
    <t>TRISDEST605647</t>
  </si>
  <si>
    <t>605647p</t>
  </si>
  <si>
    <t>DESTACADOR LIQEO PASTEL COLOR ROSADO 1 UN TRIS</t>
  </si>
  <si>
    <t>TRISDEST605685</t>
  </si>
  <si>
    <t>605685p</t>
  </si>
  <si>
    <t>DESTACADOR LIQEO PASTEL COLOR VERDE 1 UN TRIS</t>
  </si>
  <si>
    <t>TRISDEST605678</t>
  </si>
  <si>
    <t>605678p</t>
  </si>
  <si>
    <t>DESTACADOR LIQEO PASTEL COLOR VIOLETA 1 UN TRIS</t>
  </si>
  <si>
    <t>TRISSSET666945</t>
  </si>
  <si>
    <t>666945</t>
  </si>
  <si>
    <t>ART&amp;CRAFT - TU PERSONAJE ENRETENIDO TRIS</t>
  </si>
  <si>
    <t>TRISPALL222223</t>
  </si>
  <si>
    <t>222223</t>
  </si>
  <si>
    <t>PALLET READY TRIS</t>
  </si>
  <si>
    <t>Z.OTROS</t>
  </si>
  <si>
    <t>EMPAQUES</t>
  </si>
  <si>
    <t>TRISEMBA222223</t>
  </si>
  <si>
    <t>222223p</t>
  </si>
  <si>
    <t>ZZ. NO USAR. EMBALAJE DE EXPORTACION</t>
  </si>
  <si>
    <t>TRISEXHI222222</t>
  </si>
  <si>
    <t>222222</t>
  </si>
  <si>
    <t>PDQ NIÑA TRIS  2050001339027</t>
  </si>
  <si>
    <t>EXHIBIDORES</t>
  </si>
  <si>
    <t>BARBEXHI222222</t>
  </si>
  <si>
    <t>222222p</t>
  </si>
  <si>
    <t>ZZ. NO USAR. MUEBLE EXHIBIDOR PDQ TRIS</t>
  </si>
  <si>
    <t>BARB</t>
  </si>
  <si>
    <t>TRISEMBA657325</t>
  </si>
  <si>
    <t>FILM STRETCH</t>
  </si>
  <si>
    <t>TRISEMBA690094</t>
  </si>
  <si>
    <t>TRISEMBA673080</t>
  </si>
  <si>
    <t>TRISEMBA682785</t>
  </si>
  <si>
    <t>TRISPWEB687797</t>
  </si>
  <si>
    <t>687797</t>
  </si>
  <si>
    <t>GOMA DE BORRAR ARTE/PASTEL SET 3 UNIDADES</t>
  </si>
  <si>
    <t>ARTE</t>
  </si>
  <si>
    <t>TRISGOMA687797</t>
  </si>
  <si>
    <t>687797c</t>
  </si>
  <si>
    <t>GOMA DE BORRAR ARTE/PASTEL COLORES DISPLAY 30 UNIDADES</t>
  </si>
  <si>
    <t>TRISPWEB686400</t>
  </si>
  <si>
    <t>686400</t>
  </si>
  <si>
    <t>GOMA DE BORRAR ARTE TECNICO SET 4 UNIDADES</t>
  </si>
  <si>
    <t>TRISPWEB687773</t>
  </si>
  <si>
    <t>687773c</t>
  </si>
  <si>
    <t>GOMA DE BORRA JELLY COLORES SET 4 UNIDADES</t>
  </si>
  <si>
    <t>TRISGOMA686400</t>
  </si>
  <si>
    <t>686400c</t>
  </si>
  <si>
    <t>GOMA DE BORRAR ARTE TECNICO DISPLAY 24 UNIDADES</t>
  </si>
  <si>
    <t>TRISPWEB622729</t>
  </si>
  <si>
    <t>622729p</t>
  </si>
  <si>
    <t>GOMA DE BORRAR C/GRIP SCHOOL SET 4 UNIDADES</t>
  </si>
  <si>
    <t>TRISPWEB659497</t>
  </si>
  <si>
    <t>659497aa</t>
  </si>
  <si>
    <t>GOMA DE BORRAR SOFT COLOR SET 4 UNIDADES</t>
  </si>
  <si>
    <t>TRISGOMA664293</t>
  </si>
  <si>
    <t>664293</t>
  </si>
  <si>
    <t>GOMA DE BORRAR SUMMER DISPLAY 24 UNIDADES</t>
  </si>
  <si>
    <t>TRISPWEB664293</t>
  </si>
  <si>
    <t>664293c</t>
  </si>
  <si>
    <t>GOMA DE BORRAR SUMMER SET 4 UNIDADES</t>
  </si>
  <si>
    <t>TRISPWEB664279</t>
  </si>
  <si>
    <t>664279c</t>
  </si>
  <si>
    <t>GOMA DE BORRAR FUTBOL</t>
  </si>
  <si>
    <t>TRISPWEB686882</t>
  </si>
  <si>
    <t>TRISPWEB635576</t>
  </si>
  <si>
    <t>635576c</t>
  </si>
  <si>
    <t>GOMA DE BORRAR MONOLIT SET 4 UNIDADES</t>
  </si>
  <si>
    <t>TRISGOMA635576</t>
  </si>
  <si>
    <t>635576</t>
  </si>
  <si>
    <t>GOMA DE BORRAR MONOLIT DISPLAY 48 UNIDADES</t>
  </si>
  <si>
    <t>TRISPWEB676395</t>
  </si>
  <si>
    <t>676395a</t>
  </si>
  <si>
    <t>GOMA DE BORRAR PUNTA LAPIZ BLANCA SET 10 UNIDADES</t>
  </si>
  <si>
    <t>TRISGOMA684802</t>
  </si>
  <si>
    <t>684802c</t>
  </si>
  <si>
    <t>GOMA DE BORRAR DISEÑO LAPIZ DISPLAY 24 UNIDADES</t>
  </si>
  <si>
    <t>LAPIZ GOMA</t>
  </si>
  <si>
    <t>TRISPWEB684802</t>
  </si>
  <si>
    <t>684802</t>
  </si>
  <si>
    <t>GOMA DE BORRAR DISEÑO LAPIZ</t>
  </si>
  <si>
    <t>TRISPWEB687766</t>
  </si>
  <si>
    <t>687766c</t>
  </si>
  <si>
    <t>GOMA DE BORRAR PIXEL COLORES SET 4 UNIDADES</t>
  </si>
  <si>
    <t>TRISPWEB676418</t>
  </si>
  <si>
    <t>676418</t>
  </si>
  <si>
    <t>GOMA DE BORRAR PUNTA LAPIZ COLORES SET 10 UNIDADES</t>
  </si>
  <si>
    <t>TRISGOMA676418</t>
  </si>
  <si>
    <t>676418c</t>
  </si>
  <si>
    <t>GOMA DE BORRAR PUNTA LAPIZ COLORES DISPLAY 50 UNIDADES</t>
  </si>
  <si>
    <t>TRISGOMA687766</t>
  </si>
  <si>
    <t>687766</t>
  </si>
  <si>
    <t>GOMA DE BORRAR PIXEL COLORES DISPLAY 32 UNIDADES</t>
  </si>
  <si>
    <t>TRISGOMA676432</t>
  </si>
  <si>
    <t>676432</t>
  </si>
  <si>
    <t>GOMA DE BORRAR BASIC N40 DISPLAY 40 UNIDADES</t>
  </si>
  <si>
    <t>TRISPWEB676432</t>
  </si>
  <si>
    <t>676432c</t>
  </si>
  <si>
    <t>GOMA DE BORRAR BASIC N40 BLANCA SET 4 UNIDADES</t>
  </si>
  <si>
    <t>TRISPWEB676425</t>
  </si>
  <si>
    <t>676425a</t>
  </si>
  <si>
    <t>GOMA DE BORRAR BASIC N20 SET 4 UNIDADES</t>
  </si>
  <si>
    <t>MOANGOMA684840</t>
  </si>
  <si>
    <t>684840</t>
  </si>
  <si>
    <t>GOMA DE BORRAR TOP POTE 24 UN MOANA BRZ</t>
  </si>
  <si>
    <t>MOAN</t>
  </si>
  <si>
    <t>SUMMLICE682761</t>
  </si>
  <si>
    <t>682761</t>
  </si>
  <si>
    <t>SET GOMA DISEÑOS</t>
  </si>
  <si>
    <t>TMMHBOLI667300</t>
  </si>
  <si>
    <t>667300</t>
  </si>
  <si>
    <t>SET ERASER (LAPIZ GOMA + 2RPTOS) M.</t>
  </si>
  <si>
    <t>TRISGOMA684840</t>
  </si>
  <si>
    <t>684840p</t>
  </si>
  <si>
    <t>ZZ. NO USAR.</t>
  </si>
  <si>
    <t>MONSBOLI667300</t>
  </si>
  <si>
    <t>667300p</t>
  </si>
  <si>
    <t>ZZ. NO USAR. LAPIZ GOMA + 2 RPTOS BLIS.M.HIGH</t>
  </si>
  <si>
    <t>TRISGOMA678917</t>
  </si>
  <si>
    <t>678917p</t>
  </si>
  <si>
    <t>ZZ. NO USAR. SET GOMAS X6</t>
  </si>
  <si>
    <t>TRISPACK645193</t>
  </si>
  <si>
    <t>645193</t>
  </si>
  <si>
    <t>PACK GRAFITOS DISEÑO</t>
  </si>
  <si>
    <t>TRISPWEB676654</t>
  </si>
  <si>
    <t>676654</t>
  </si>
  <si>
    <t>LAPIZ GRAFITO 2B NEGRO C/GOMA 12 UND</t>
  </si>
  <si>
    <t>TRISLAPG687278</t>
  </si>
  <si>
    <t>687278c</t>
  </si>
  <si>
    <t>LAPIZ GRAFITO C/GOMA LINE UP DRUMP DISPLAY 72 UNIDADES</t>
  </si>
  <si>
    <t>TRISPWEB687650</t>
  </si>
  <si>
    <t>687650c</t>
  </si>
  <si>
    <t>LAPIZ GRAFITO HB C/GOMA SPARKLING SET 6 UNIDADES</t>
  </si>
  <si>
    <t>TRISPWEB676661</t>
  </si>
  <si>
    <t>676661c</t>
  </si>
  <si>
    <t>LAPIZ GRAFITO HB DISEÑO PASTEL SET 6 UNIDADES</t>
  </si>
  <si>
    <t>TRISPWEB687667</t>
  </si>
  <si>
    <t>687667</t>
  </si>
  <si>
    <t>LAPIZ GRAFITO HB C/GOMA STAR SET 6 UNIDADES</t>
  </si>
  <si>
    <t>TRISLAPG660424</t>
  </si>
  <si>
    <t>660424c</t>
  </si>
  <si>
    <t>LAPIZ GRAFITO C/GOMA VINTAGE DISPLAY 72 UNIDADES</t>
  </si>
  <si>
    <t>TRISPWEB660424</t>
  </si>
  <si>
    <t>660424</t>
  </si>
  <si>
    <t>LAPIZ GRAFITO C/GOMA VINTAGE SET 6 UNIDADES</t>
  </si>
  <si>
    <t>TRISPWEB688145</t>
  </si>
  <si>
    <t>688145</t>
  </si>
  <si>
    <t>LAPIZ GRAFITO HB C/GOMA TROPICAL SET 6 UNIDADES</t>
  </si>
  <si>
    <t>TRISPWEB687681</t>
  </si>
  <si>
    <t>687681c</t>
  </si>
  <si>
    <t>LAPIZ GRAFITO HB C/GOMA SUMMER SET 6 UNIDADES</t>
  </si>
  <si>
    <t>TRISLAPG687681</t>
  </si>
  <si>
    <t>687681</t>
  </si>
  <si>
    <t>LAPIZ GRAFITO HB C/GOMA SUMMER DISPLAY 72 UNIDADES</t>
  </si>
  <si>
    <t>TRISLAPG634128</t>
  </si>
  <si>
    <t>634128c</t>
  </si>
  <si>
    <t>LAPIZ GRAFITO C/GOMA DISEÑO METALICO DISPLAY 72 UNIDADES</t>
  </si>
  <si>
    <t>TRISLAPG687674</t>
  </si>
  <si>
    <t>687674c</t>
  </si>
  <si>
    <t>LAPIZ GRAFITO HB C/GOMA GALAXY DISPLAY 72 UNIDADES</t>
  </si>
  <si>
    <t>TRISLAPG688565</t>
  </si>
  <si>
    <t>688565c</t>
  </si>
  <si>
    <t>LAPIZ GRAFITO HB C/GOMA JUMBO MINI DISPLAY 36 UNIDADES</t>
  </si>
  <si>
    <t>JUMBO</t>
  </si>
  <si>
    <t>TRISLAPG687650</t>
  </si>
  <si>
    <t>687650</t>
  </si>
  <si>
    <t>LAPIZ GRAFITO HB C/GOMA SPARKLING DISPLAY 72 UNIDADES</t>
  </si>
  <si>
    <t>TRISPWEB684161</t>
  </si>
  <si>
    <t>684161c</t>
  </si>
  <si>
    <t>LAPIZ GRAFITO C/GOMA DISCO SET 6 UNIDADES</t>
  </si>
  <si>
    <t>TRISPWEB687278</t>
  </si>
  <si>
    <t>687278</t>
  </si>
  <si>
    <t>LAPIZ GRAFITO C/GOMA LINE UP DRUMP SET 6 UNIDADES</t>
  </si>
  <si>
    <t>TRISPWEB687674</t>
  </si>
  <si>
    <t>687674</t>
  </si>
  <si>
    <t>LAPIZ GRAFITO HB C/GOMA GALAXY SET 6 UNIDADES</t>
  </si>
  <si>
    <t>TRISPWEB634128</t>
  </si>
  <si>
    <t>634128</t>
  </si>
  <si>
    <t>LAPIZ GRAFITO C/GOMA DISEÑO METALICO SET 6 UNIDADES</t>
  </si>
  <si>
    <t>TRISPWEB688565</t>
  </si>
  <si>
    <t>688565</t>
  </si>
  <si>
    <t>LAPIZ GRAFITO HB C/GOMA JUMBO MINI SET 6 UNIDADES</t>
  </si>
  <si>
    <t>TRISLAPG684161</t>
  </si>
  <si>
    <t>684161</t>
  </si>
  <si>
    <t>LAPIZ GRAFITO C/GOMA DISCO DISPLAY 72 UNIDADES</t>
  </si>
  <si>
    <t>TRISPWEB685205</t>
  </si>
  <si>
    <t>685205</t>
  </si>
  <si>
    <t>LAPIZ GRAFITO C/GOMA METROPOLITAN</t>
  </si>
  <si>
    <t>TRISPWEB684093</t>
  </si>
  <si>
    <t>684093</t>
  </si>
  <si>
    <t>LAPIZ GRAFITO 2B BASIC SET 6 UNIDADES</t>
  </si>
  <si>
    <t>TRISSSET678979</t>
  </si>
  <si>
    <t>678979c</t>
  </si>
  <si>
    <t>ARTICULO ESCOLAR VARIEDAD NIÑO</t>
  </si>
  <si>
    <t>TRISLAPG690476</t>
  </si>
  <si>
    <t>690476</t>
  </si>
  <si>
    <t>LAP.GRAF.C/GOMA -SURTIDO LICENCIAS</t>
  </si>
  <si>
    <t>TRISSSET690858</t>
  </si>
  <si>
    <t>690858</t>
  </si>
  <si>
    <t>SET 03 LAP. GRAFITO + 3 GOMAS BLISTER - TRIS</t>
  </si>
  <si>
    <t>PRINLAPG657325</t>
  </si>
  <si>
    <t>657325</t>
  </si>
  <si>
    <t>LAPIZ GRAF.C/GOMA POTE 48UN PRIN</t>
  </si>
  <si>
    <t>PRIN</t>
  </si>
  <si>
    <t>UCHILAPG673349</t>
  </si>
  <si>
    <t>673349</t>
  </si>
  <si>
    <t>LAPIZ GRAF.C/GOMA POTE 48UN UNIV.CHILE</t>
  </si>
  <si>
    <t>COLOLAPG673332</t>
  </si>
  <si>
    <t>673332</t>
  </si>
  <si>
    <t>LAPIZ GRAF.C/GOMA POTE.48UN COLO COLO</t>
  </si>
  <si>
    <t>SUMMLICE682785</t>
  </si>
  <si>
    <t>682785p</t>
  </si>
  <si>
    <t>ZZ. NO USAR. GRAFITOS 4UN LICENCIAS</t>
  </si>
  <si>
    <t>MARILAPG678979</t>
  </si>
  <si>
    <t>678979</t>
  </si>
  <si>
    <t>ZZ. NO USAR. LAP. GRAF.C/GOMA SET 10UN MARI</t>
  </si>
  <si>
    <t>MARI</t>
  </si>
  <si>
    <t>HADABLIS679013</t>
  </si>
  <si>
    <t>679013p</t>
  </si>
  <si>
    <t>ZZ. NO USAR. LAP. GRAF.C/GOMA SET HADAS</t>
  </si>
  <si>
    <t>HADA</t>
  </si>
  <si>
    <t>POLLLPCE645193</t>
  </si>
  <si>
    <t>645193p</t>
  </si>
  <si>
    <t>ZZ. NO USAR. LAPIZ CERA TWIST SET 12COL.POLL</t>
  </si>
  <si>
    <t>POLL</t>
  </si>
  <si>
    <t>SPIDSSET678979</t>
  </si>
  <si>
    <t>678979p</t>
  </si>
  <si>
    <t>ZZ. NO USAR. PRODUCTO ESCOLAR SET NIÑITO SPIDERMAN-AVENGERS</t>
  </si>
  <si>
    <t>TRISLAPG657325</t>
  </si>
  <si>
    <t>657325p</t>
  </si>
  <si>
    <t>ZZ. NO USAR. SUPER PACK GRAF. LICENCIAS</t>
  </si>
  <si>
    <t>TRISDDTC691350</t>
  </si>
  <si>
    <t>691350</t>
  </si>
  <si>
    <t>Juego didáctico Memorice Set 3 juegos 32 pzas c/u - (N°1200)</t>
  </si>
  <si>
    <t>TRISKT04685250</t>
  </si>
  <si>
    <t>685250a</t>
  </si>
  <si>
    <t>KIT SOLUCION 04</t>
  </si>
  <si>
    <t>KITS</t>
  </si>
  <si>
    <t>TRISKT07619941</t>
  </si>
  <si>
    <t>619941p</t>
  </si>
  <si>
    <t>KIT SOLUCION 02</t>
  </si>
  <si>
    <t>TRISKT09677446</t>
  </si>
  <si>
    <t>677446p</t>
  </si>
  <si>
    <t>KIT SOLUCION 09</t>
  </si>
  <si>
    <t>AVENSSET674155</t>
  </si>
  <si>
    <t>674155</t>
  </si>
  <si>
    <t>MALETIN BOX SET AVENGERS</t>
  </si>
  <si>
    <t>AVEN</t>
  </si>
  <si>
    <t>MALETA BOX</t>
  </si>
  <si>
    <t>ANGRSSET674155</t>
  </si>
  <si>
    <t>674155p</t>
  </si>
  <si>
    <t>AVENSSET682792</t>
  </si>
  <si>
    <t>682792s</t>
  </si>
  <si>
    <t>MALETA DE ARTE 52 PZAS AVENGERS</t>
  </si>
  <si>
    <t>MALETA DE ARTE</t>
  </si>
  <si>
    <t>BARBSSET682785</t>
  </si>
  <si>
    <t>682785s</t>
  </si>
  <si>
    <t>MALETA DE ARTE 52 PZAS BARBIE</t>
  </si>
  <si>
    <t>BARBSSET679013</t>
  </si>
  <si>
    <t>679013</t>
  </si>
  <si>
    <t>PLAYGROUND OPEN BOX</t>
  </si>
  <si>
    <t>BARBPOLY632100</t>
  </si>
  <si>
    <t>632100s</t>
  </si>
  <si>
    <t>PACK POLYBAGS BARBIE</t>
  </si>
  <si>
    <t>MAQUILAS</t>
  </si>
  <si>
    <t>TRISPLUM659251</t>
  </si>
  <si>
    <t>659251</t>
  </si>
  <si>
    <t>PLUM. SUPER GRUESO 12 COL TRIS</t>
  </si>
  <si>
    <t>MARCADORES</t>
  </si>
  <si>
    <t>TRISPLUM659268</t>
  </si>
  <si>
    <t>659268</t>
  </si>
  <si>
    <t>PLUM. TRIS SUPER GRUESO (JUMBO) 12 COL</t>
  </si>
  <si>
    <t>TRISPLUM659244</t>
  </si>
  <si>
    <t>659244</t>
  </si>
  <si>
    <t>PLUMON TRIS WIZARD</t>
  </si>
  <si>
    <t>TRISPLUM690483</t>
  </si>
  <si>
    <t>690483</t>
  </si>
  <si>
    <t>PLUMONES PF -SURTIDO LICENCIAS</t>
  </si>
  <si>
    <t>FROZPLUM679136</t>
  </si>
  <si>
    <t>679136</t>
  </si>
  <si>
    <t>PLUMONES PTA FINA 12 COLORES FROZEN BRZ</t>
  </si>
  <si>
    <t>TRISPLUM679136</t>
  </si>
  <si>
    <t>679136p</t>
  </si>
  <si>
    <t>TRISPLUM687384</t>
  </si>
  <si>
    <t>687384c</t>
  </si>
  <si>
    <t>MARCADOR PIZARRA LIQEO ROJO DISPLAY 12 UNIDADES</t>
  </si>
  <si>
    <t>TRISPWEB687377</t>
  </si>
  <si>
    <t>687377c</t>
  </si>
  <si>
    <t>MARCADOR PIZARRA LIQEO NEGRO 1 UNIDAD</t>
  </si>
  <si>
    <t>TRISPWEB687384</t>
  </si>
  <si>
    <t>687384x</t>
  </si>
  <si>
    <t>MARCADOR PIZARRA LIQEO ROJO 1 UNIDAD</t>
  </si>
  <si>
    <t>TRISPWEB687360</t>
  </si>
  <si>
    <t>687360d</t>
  </si>
  <si>
    <t>MARCADOR PIZARRA LIQEO AZUL 1 UNIDAD</t>
  </si>
  <si>
    <t>TRISSSET690162</t>
  </si>
  <si>
    <t>690162</t>
  </si>
  <si>
    <t>MARCADOR PERMANENTE SET 3 UNIDADES (1 AZUL +1 NEGRO +1 ROJO)</t>
  </si>
  <si>
    <t>TRISUNID687384</t>
  </si>
  <si>
    <t>687384</t>
  </si>
  <si>
    <t>PLUMONES PIZARRA + DESTACADOR LIQEO TRIS</t>
  </si>
  <si>
    <t>TRISSSET690148</t>
  </si>
  <si>
    <t>690148</t>
  </si>
  <si>
    <t>MARCADOR PIZARRA  SET 3 UNIDADES</t>
  </si>
  <si>
    <t>UFFIPLPZ690766</t>
  </si>
  <si>
    <t>690766d</t>
  </si>
  <si>
    <t>MARCADOR DE PIZARRA UFFIZI</t>
  </si>
  <si>
    <t>UFFI</t>
  </si>
  <si>
    <t>TRISUNID687360</t>
  </si>
  <si>
    <t>687360a</t>
  </si>
  <si>
    <t>PLUMON PIZARRA LIQEO AZUL 1 UN TRIS</t>
  </si>
  <si>
    <t>TRISUNID687377</t>
  </si>
  <si>
    <t>687377ds</t>
  </si>
  <si>
    <t>PLUMON PIZARRA LIQEO NEGRO 1 UN TRIS</t>
  </si>
  <si>
    <t>RIO2MOCH674049</t>
  </si>
  <si>
    <t>674049</t>
  </si>
  <si>
    <t>BOLSO NIÑA RIO</t>
  </si>
  <si>
    <t>FOX</t>
  </si>
  <si>
    <t>RIO2</t>
  </si>
  <si>
    <t>MOCHILA</t>
  </si>
  <si>
    <t>MUNISSET674049</t>
  </si>
  <si>
    <t>674049p</t>
  </si>
  <si>
    <t>ZZ. NO USAR. MSSET</t>
  </si>
  <si>
    <t>MUNI</t>
  </si>
  <si>
    <t>HADAPACK690131</t>
  </si>
  <si>
    <t>690131</t>
  </si>
  <si>
    <t>PACK SOLUCION COMPLETA HADAS</t>
  </si>
  <si>
    <t>OTROS</t>
  </si>
  <si>
    <t>AVENSSET672922</t>
  </si>
  <si>
    <t>672922p</t>
  </si>
  <si>
    <t>POLLSSET672922</t>
  </si>
  <si>
    <t>672922</t>
  </si>
  <si>
    <t>TRISGOMA650718</t>
  </si>
  <si>
    <t>650718p</t>
  </si>
  <si>
    <t>ZZ. NO USAR. NO EXISTE</t>
  </si>
  <si>
    <t>TRISLAPG659495</t>
  </si>
  <si>
    <t>659495p</t>
  </si>
  <si>
    <t>TRISBLIS643052</t>
  </si>
  <si>
    <t>643052p</t>
  </si>
  <si>
    <t>ZZ. NO USAR. NO VALIDO</t>
  </si>
  <si>
    <t>HADASSET690131</t>
  </si>
  <si>
    <t>690131p</t>
  </si>
  <si>
    <t>ZZ. NO USAR. PACK ESCOLAR 5 PCS SURTIDO NIÑAS</t>
  </si>
  <si>
    <t>TRISPACK676654</t>
  </si>
  <si>
    <t>676654p</t>
  </si>
  <si>
    <t>LAPICES GRAFITO C/GOMA SET 20 UND</t>
  </si>
  <si>
    <t>PACK</t>
  </si>
  <si>
    <t>TRISPACK624365</t>
  </si>
  <si>
    <t>624365p</t>
  </si>
  <si>
    <t>RENUEVA TU ESTUCHE - LAPIZ COLOR, GOMAS, SACAPUNTA, TIJERA</t>
  </si>
  <si>
    <t>TRISPACK603643</t>
  </si>
  <si>
    <t>603643p</t>
  </si>
  <si>
    <t>PACK DESTACADORES MINI</t>
  </si>
  <si>
    <t>TRISPACK655604</t>
  </si>
  <si>
    <t>655604p+z</t>
  </si>
  <si>
    <t>PACK BOLIGRAFOS</t>
  </si>
  <si>
    <t>TRISPACK691121</t>
  </si>
  <si>
    <t>691121p</t>
  </si>
  <si>
    <t>PACK DESTACADORES PASTEL</t>
  </si>
  <si>
    <t>TRISEMBA643052</t>
  </si>
  <si>
    <t>643052p+z</t>
  </si>
  <si>
    <t>PACK 2 CINTAS 90MT  + TIJERA</t>
  </si>
  <si>
    <t>PACK CINTAS EMBALAJE</t>
  </si>
  <si>
    <t>TRISEMBA690476</t>
  </si>
  <si>
    <t>690476p</t>
  </si>
  <si>
    <t>PACK 2 CINTAS EMBALAJE 100MT +1 CARTONERO</t>
  </si>
  <si>
    <t>PACK EMBALAJE</t>
  </si>
  <si>
    <t>TRISEMBA690858</t>
  </si>
  <si>
    <t>690858p</t>
  </si>
  <si>
    <t>PACK 2 CINTAS EMBALAJE 100MT +1 TIJERA</t>
  </si>
  <si>
    <t>TRISEMBA614168</t>
  </si>
  <si>
    <t>614168z</t>
  </si>
  <si>
    <t>PACK 4 CINTAS 90MT + TIJERA + 3 MARCADORES</t>
  </si>
  <si>
    <t>TRISEMBA619392</t>
  </si>
  <si>
    <t>619392z</t>
  </si>
  <si>
    <t>PACK 5 CINTAS 90MT + CARTONERO + 3 MARCADORES</t>
  </si>
  <si>
    <t>TRISEMBA690490</t>
  </si>
  <si>
    <t>690490z</t>
  </si>
  <si>
    <t>PACK 5 CINTAS EMB. 100MT +1 CARTONERO +3 MARCADORES</t>
  </si>
  <si>
    <t>TRISEMBA690483</t>
  </si>
  <si>
    <t>690483z</t>
  </si>
  <si>
    <t>PACK 5 CINTAS EMB. 100MT +1 TIJERA +3 MARCADORES</t>
  </si>
  <si>
    <t>TRISPACK659251</t>
  </si>
  <si>
    <t>659251z</t>
  </si>
  <si>
    <t>PACK ENTRETENIDO 3</t>
  </si>
  <si>
    <t>PACKS</t>
  </si>
  <si>
    <t>TRISPACK648040</t>
  </si>
  <si>
    <t>648040</t>
  </si>
  <si>
    <t>PACK 3 SET LAPICES DE COLOR</t>
  </si>
  <si>
    <t>TRISPACK605678</t>
  </si>
  <si>
    <t>605678z</t>
  </si>
  <si>
    <t>PACK ACUARELA + OLEO PASTEL 12 COLORES</t>
  </si>
  <si>
    <t>TRISCAJA619392</t>
  </si>
  <si>
    <t>619392z.</t>
  </si>
  <si>
    <t>SET ENTRETENIDO</t>
  </si>
  <si>
    <t>TRISPACK690117</t>
  </si>
  <si>
    <t>690117z</t>
  </si>
  <si>
    <t>PACK ESTUDIANTIL ECONOMICO 43 PZAS</t>
  </si>
  <si>
    <t>TRISPACK674896</t>
  </si>
  <si>
    <t>674896z</t>
  </si>
  <si>
    <t>PACK ENTRETENIDO 1</t>
  </si>
  <si>
    <t>TRISPACK673360</t>
  </si>
  <si>
    <t>673360z</t>
  </si>
  <si>
    <t>PACK ESCOLAR BASICO 1</t>
  </si>
  <si>
    <t>TRISPACK643052</t>
  </si>
  <si>
    <t>643052</t>
  </si>
  <si>
    <t>PACK ESCOLAR BASICO 3</t>
  </si>
  <si>
    <t>TRISPACK659244</t>
  </si>
  <si>
    <t>659244z</t>
  </si>
  <si>
    <t>PACK JUVENIL 1</t>
  </si>
  <si>
    <t>TRISSSET672922</t>
  </si>
  <si>
    <t>672922z</t>
  </si>
  <si>
    <t>PLAY SET</t>
  </si>
  <si>
    <t>TRISSSET679044</t>
  </si>
  <si>
    <t>679044</t>
  </si>
  <si>
    <t>ARTICULO ESCOLAR VARIEDAD NIÑA</t>
  </si>
  <si>
    <t>TRISPACK690148</t>
  </si>
  <si>
    <t>690148z</t>
  </si>
  <si>
    <t>PACK BOLIGRAFO ROLLER 02 UN ROJO Y AZUL</t>
  </si>
  <si>
    <t>TRISPACK690124</t>
  </si>
  <si>
    <t>690124z</t>
  </si>
  <si>
    <t>PACK BOLIGRAFOS COLORES SUTIDOS 6 UN TRIS</t>
  </si>
  <si>
    <t>TRISPACK659268</t>
  </si>
  <si>
    <t>659268z</t>
  </si>
  <si>
    <t>PACK ENTRETENIDO 2</t>
  </si>
  <si>
    <t>TRISPACK666945</t>
  </si>
  <si>
    <t>666945z</t>
  </si>
  <si>
    <t>PACK ESCOLAR 2 ARTES</t>
  </si>
  <si>
    <t>TRISPACK690179</t>
  </si>
  <si>
    <t>690179z</t>
  </si>
  <si>
    <t>PACK ESCOLAR BAS. - TRIS</t>
  </si>
  <si>
    <t>TRISPACK673363</t>
  </si>
  <si>
    <t>673363z</t>
  </si>
  <si>
    <t>PACK ESCOLAR BASICO 2</t>
  </si>
  <si>
    <t>TRISPACK673998</t>
  </si>
  <si>
    <t>673998z</t>
  </si>
  <si>
    <t>TRISPACK648491</t>
  </si>
  <si>
    <t>648491z</t>
  </si>
  <si>
    <t>PACK JUVENIL 2</t>
  </si>
  <si>
    <t>TRISPACK682679</t>
  </si>
  <si>
    <t>682679z</t>
  </si>
  <si>
    <t>PACK JUVENIL 3</t>
  </si>
  <si>
    <t>TRISPACK619415</t>
  </si>
  <si>
    <t>619415</t>
  </si>
  <si>
    <t>PACK NOTAS</t>
  </si>
  <si>
    <t>TRISSSET674896</t>
  </si>
  <si>
    <t>674896za</t>
  </si>
  <si>
    <t>PACK NINA SURTIDO LICENCIA</t>
  </si>
  <si>
    <t>TRISPACK690933</t>
  </si>
  <si>
    <t>690933za</t>
  </si>
  <si>
    <t>PACK UNIVERSITARIO</t>
  </si>
  <si>
    <t>TRISPACK690162</t>
  </si>
  <si>
    <t>690162za</t>
  </si>
  <si>
    <t>PACK UNIVERSITARIO - TRIS</t>
  </si>
  <si>
    <t>TRISPACK690094</t>
  </si>
  <si>
    <t>690094za</t>
  </si>
  <si>
    <t>PACK2 LAP.GRAF DEST.VERD PEG.BAR.21G TIJERA SACAP. C/DEP. GOMA</t>
  </si>
  <si>
    <t>SUMMLICE682815</t>
  </si>
  <si>
    <t>682815za</t>
  </si>
  <si>
    <t>SET DISEÑOS SURTIDOS</t>
  </si>
  <si>
    <t>SUMMLICE690728</t>
  </si>
  <si>
    <t>690728za</t>
  </si>
  <si>
    <t>SUPER PACK ESCOLAR LICENCIAS</t>
  </si>
  <si>
    <t>BARBPACK690544</t>
  </si>
  <si>
    <t>690544</t>
  </si>
  <si>
    <t>PACK ESCOLAR BARBIE</t>
  </si>
  <si>
    <t>FROZPACK614168</t>
  </si>
  <si>
    <t>614168</t>
  </si>
  <si>
    <t>PACK ESCOLAR FROZEN</t>
  </si>
  <si>
    <t>AVENPACK632100</t>
  </si>
  <si>
    <t>632100sa</t>
  </si>
  <si>
    <t>PACK PIZARRA + BASIC SET + ESTUCHE C/ACC HEROES</t>
  </si>
  <si>
    <t>BARBPACK632100</t>
  </si>
  <si>
    <t>632100</t>
  </si>
  <si>
    <t>PACK PIZARRA + SET 10 PZAS + TIJERA DISEÑO</t>
  </si>
  <si>
    <t>BARBPACK636054</t>
  </si>
  <si>
    <t>636054sa</t>
  </si>
  <si>
    <t>MARIPACK619392</t>
  </si>
  <si>
    <t>619392</t>
  </si>
  <si>
    <t>PACK SOLUCION COMPLETA MARIE</t>
  </si>
  <si>
    <t>MONSPACK673271</t>
  </si>
  <si>
    <t>673271</t>
  </si>
  <si>
    <t>PACK SOLUCION COMPLETA MONSTER HIGH</t>
  </si>
  <si>
    <t>SPIDPACK690537</t>
  </si>
  <si>
    <t>690537</t>
  </si>
  <si>
    <t>PACK SOLUCION COMPLETA SPIDERMAN</t>
  </si>
  <si>
    <t>TRISPACK614168</t>
  </si>
  <si>
    <t>614168p</t>
  </si>
  <si>
    <t>ZZ. NO USAR. PACK 3 LAP. GRAFITO + GRIP GLITTER TRIS</t>
  </si>
  <si>
    <t>TRISPACK619392</t>
  </si>
  <si>
    <t>619392p</t>
  </si>
  <si>
    <t>ZZ. NO USAR. PACK BOLIGRAFO GEL DORADO 1UN</t>
  </si>
  <si>
    <t>TRISPACK636054</t>
  </si>
  <si>
    <t>636054p</t>
  </si>
  <si>
    <t>ZZ. NO USAR. PACK DESTACADOR AMARILLO 1 UN</t>
  </si>
  <si>
    <t>TRISPACK614175</t>
  </si>
  <si>
    <t>614175p</t>
  </si>
  <si>
    <t>ZZ. NO USAR. PACK ESC.5 PCS MINNIE</t>
  </si>
  <si>
    <t>MINNSSET674896</t>
  </si>
  <si>
    <t>674896p</t>
  </si>
  <si>
    <t>ZZ. NO USAR. PACK NINA SURTIDO LICENCIA</t>
  </si>
  <si>
    <t>MINN</t>
  </si>
  <si>
    <t>PLANBLIS678986</t>
  </si>
  <si>
    <t>678986p</t>
  </si>
  <si>
    <t>ZZ. NO USAR. PACK NINO SURTIDO LICENCIAS</t>
  </si>
  <si>
    <t>PLAN</t>
  </si>
  <si>
    <t>HOTWBLIS678986</t>
  </si>
  <si>
    <t>678986s</t>
  </si>
  <si>
    <t>HOTW</t>
  </si>
  <si>
    <t>MAXSPACK619415</t>
  </si>
  <si>
    <t>619415p</t>
  </si>
  <si>
    <t>ZZ. NO USAR. PACK SOLUCION COMPLETA</t>
  </si>
  <si>
    <t>MAXS</t>
  </si>
  <si>
    <t>AVENPACK636054</t>
  </si>
  <si>
    <t>636054s</t>
  </si>
  <si>
    <t>ZZ. NO USAR. PACK SOLUCION COMPLETA AVENGERS</t>
  </si>
  <si>
    <t>MINNPACK614175</t>
  </si>
  <si>
    <t>614175</t>
  </si>
  <si>
    <t>ZZ. NO USAR. PACK SOLUCION COMPLETA MINNIE</t>
  </si>
  <si>
    <t>MONSSSET679044</t>
  </si>
  <si>
    <t>679044p</t>
  </si>
  <si>
    <t>ZZ. NO USAR. PRODUCTO ESCOLAR SET NIÑITA MONSTER HIGH</t>
  </si>
  <si>
    <t>BARBSSET690544</t>
  </si>
  <si>
    <t>690544p</t>
  </si>
  <si>
    <t>ZZ. NO USAR. SUPER PACK BARBIE</t>
  </si>
  <si>
    <t>SPIDSSET690537</t>
  </si>
  <si>
    <t>690537p</t>
  </si>
  <si>
    <t>ZZ. NO USAR. SUPER PACK SPIDERMAN</t>
  </si>
  <si>
    <t>SPIDTIJE673271</t>
  </si>
  <si>
    <t>673271p</t>
  </si>
  <si>
    <t>ZZ. NO USAR. TIJERA ESC. BLIS. SPIDERMAN</t>
  </si>
  <si>
    <t>TRISPWEB681238</t>
  </si>
  <si>
    <t>681238c</t>
  </si>
  <si>
    <t>PEGAMENTO BARRA 20GR. SET 2 UNIDADES</t>
  </si>
  <si>
    <t>EN BARRA</t>
  </si>
  <si>
    <t>TRISPEGA681443</t>
  </si>
  <si>
    <t>681443c</t>
  </si>
  <si>
    <t>PEGAMENTO GLITTER 23GR. BRILLO ROSADO DISPLAY 12 UNIDADES</t>
  </si>
  <si>
    <t>TRISPEGA681238</t>
  </si>
  <si>
    <t>681238</t>
  </si>
  <si>
    <t>PEGAMENTO BARRA 20GR. DISPLAY 6 UNIDADES</t>
  </si>
  <si>
    <t>TRISPWEB681252</t>
  </si>
  <si>
    <t>681252</t>
  </si>
  <si>
    <t>PEGAMENTO BARRA 40GR. SET 2 UNIDADES</t>
  </si>
  <si>
    <t>TRISPEGA681252</t>
  </si>
  <si>
    <t>681252c</t>
  </si>
  <si>
    <t>PEGAMENTO BARRA 40GR. DISPLAY 6 UNIDADES</t>
  </si>
  <si>
    <t>TRISPWEB681399</t>
  </si>
  <si>
    <t>681399aa</t>
  </si>
  <si>
    <t>PEGAMENTO GLITTER 23GR. BRILLO PLATA SET 2 UNIDADES</t>
  </si>
  <si>
    <t>TRISPWEB681382</t>
  </si>
  <si>
    <t>681382aa</t>
  </si>
  <si>
    <t>PEGAMENTO GLITTER 23GR. BRILLO ORO SET 2 UNIDADES</t>
  </si>
  <si>
    <t>TRISPWEB681412</t>
  </si>
  <si>
    <t>681412aa</t>
  </si>
  <si>
    <t>PEGAMENTO GLITTER 23GR. BRILLO ROJO SET 2 UNIDADES</t>
  </si>
  <si>
    <t>TRISPWEB681443</t>
  </si>
  <si>
    <t>681443</t>
  </si>
  <si>
    <t>PEGAMENTO GLITTER 23GR. BRILLO ROSADO SET 2 UNIDADES</t>
  </si>
  <si>
    <t>TRISPWEB681429</t>
  </si>
  <si>
    <t>681429aa</t>
  </si>
  <si>
    <t>PEGAMENTO GLITTER 23GR. BRILLO TRANSPARENTE SET 2 UNIDADES</t>
  </si>
  <si>
    <t>TRISPWEB681405</t>
  </si>
  <si>
    <t>681405a</t>
  </si>
  <si>
    <t>PEGAMENTO GLITTER 23GR. BRILLO VERDE SET 2 UNIDADES</t>
  </si>
  <si>
    <t>TRISPEGA690629</t>
  </si>
  <si>
    <t>690629c</t>
  </si>
  <si>
    <t>PEGAMENTO C/GLITTER SET 4COL. TRIS</t>
  </si>
  <si>
    <t>TMMHSSET648484</t>
  </si>
  <si>
    <t>648484</t>
  </si>
  <si>
    <t>SET 2 PEGAMENTOS 10GR. M.</t>
  </si>
  <si>
    <t>TMMHSSET668246</t>
  </si>
  <si>
    <t>668246</t>
  </si>
  <si>
    <t>SET GLITTER 4 COLORES M.</t>
  </si>
  <si>
    <t>TRISPACK604985</t>
  </si>
  <si>
    <t>604985</t>
  </si>
  <si>
    <t>SUPER PACK ESCOLAR TRIS</t>
  </si>
  <si>
    <t>MONSSSET648484</t>
  </si>
  <si>
    <t>648484p</t>
  </si>
  <si>
    <t>ZZ. NO USAR. PEGAMENTO BARRA SET 2 UN 10G. BLIS.  MONS</t>
  </si>
  <si>
    <t>MONSSSET668246</t>
  </si>
  <si>
    <t>668246p</t>
  </si>
  <si>
    <t>ZZ. NO USAR. PEGAMENTO C/GLITTER SET 4COL. M.HIGH</t>
  </si>
  <si>
    <t>TRISPEGA604985</t>
  </si>
  <si>
    <t>604985p</t>
  </si>
  <si>
    <t>ZZ. NO USAR. PEGAMENTO GLITTER TRIS SHINE - PLATA</t>
  </si>
  <si>
    <t>HKITPIZA682815</t>
  </si>
  <si>
    <t>682815</t>
  </si>
  <si>
    <t>PIZARRA 3PZAS.HELLO KITTY</t>
  </si>
  <si>
    <t>SANRIO</t>
  </si>
  <si>
    <t>HKIT</t>
  </si>
  <si>
    <t>PIZARRAS</t>
  </si>
  <si>
    <t>UCHIPIZA673363</t>
  </si>
  <si>
    <t>673363s</t>
  </si>
  <si>
    <t>PIZARRA 3PZAS.U.DE CHILE</t>
  </si>
  <si>
    <t>TRISEMBA690629</t>
  </si>
  <si>
    <t>TRISEMBA690124</t>
  </si>
  <si>
    <t>TRISPWEB688299</t>
  </si>
  <si>
    <t>688299a</t>
  </si>
  <si>
    <t>PORTAMINA 2.0MM SUPER CUTE 1 UNIDAD</t>
  </si>
  <si>
    <t>TRISPACK681160</t>
  </si>
  <si>
    <t>681160c</t>
  </si>
  <si>
    <t>PORTAMINAS TRIS SUPER COLORS 3 UNID + MINAS + GOMA</t>
  </si>
  <si>
    <t>TRISPWEB688374</t>
  </si>
  <si>
    <t>688374q</t>
  </si>
  <si>
    <t>PORTAMINA 2.0MM SUPER OFFICE 6 UNIDADES</t>
  </si>
  <si>
    <t>TRISPWEB681160</t>
  </si>
  <si>
    <t>681160x</t>
  </si>
  <si>
    <t>PORTAMINA 2.0MM SUPER COLORS SET 6 UNIDADES</t>
  </si>
  <si>
    <t>TRISTUBM686479</t>
  </si>
  <si>
    <t>686479</t>
  </si>
  <si>
    <t>REPUESTO MINA 0.5MM 2B DISPLAY 12 TUBOS C/24 MINAS</t>
  </si>
  <si>
    <t>TRISPWEB686660</t>
  </si>
  <si>
    <t>686660q</t>
  </si>
  <si>
    <t>PORTAMINA 0.7MM CHIC 1 UNIDAD</t>
  </si>
  <si>
    <t>TRISPWEB686479</t>
  </si>
  <si>
    <t>686479c</t>
  </si>
  <si>
    <t>REPUESTO MINA 0.5MM 2B 1 TUBO C/24 MINAS</t>
  </si>
  <si>
    <t>TRISPWEB686912</t>
  </si>
  <si>
    <t>686912q</t>
  </si>
  <si>
    <t>PORTAMINA 0.7MM TECH PUNTA METAL 1 UNIDAD</t>
  </si>
  <si>
    <t>TRISPWEB603353</t>
  </si>
  <si>
    <t>603353Q</t>
  </si>
  <si>
    <t>PORTAMINA 0.5MM TECH 1 UNIDAD</t>
  </si>
  <si>
    <t>TRISPWEB603360</t>
  </si>
  <si>
    <t>603360a</t>
  </si>
  <si>
    <t>PORTAMINA 0.7MM TECH 1 UNIDAD</t>
  </si>
  <si>
    <t>TRISPWEB688312</t>
  </si>
  <si>
    <t>688312q</t>
  </si>
  <si>
    <t>PORTAMINA 0.7MM JELLY 1 UNIDAD</t>
  </si>
  <si>
    <t>TRISPWEB621043</t>
  </si>
  <si>
    <t>621043q</t>
  </si>
  <si>
    <t>PORTAMINA 0.9MM TECH 1 UNIDAD</t>
  </si>
  <si>
    <t>TRISPWEB686516</t>
  </si>
  <si>
    <t>686516Q</t>
  </si>
  <si>
    <t>REPUESTO MINA 0.9MM 2B 1 TUBO C/24 MINAS</t>
  </si>
  <si>
    <t>TRISPWEB686530</t>
  </si>
  <si>
    <t>686530a</t>
  </si>
  <si>
    <t>REPUESTO MINA 2.0MM 2B 1 TUBO C/6 MINAS</t>
  </si>
  <si>
    <t>SUMMLICE682808</t>
  </si>
  <si>
    <t>682808</t>
  </si>
  <si>
    <t>REGLA ESCOLAR DISEÑOS</t>
  </si>
  <si>
    <t>REGLAS</t>
  </si>
  <si>
    <t>AVENSSET671383</t>
  </si>
  <si>
    <t>671383</t>
  </si>
  <si>
    <t>SET GEOMETRICO  30 CMS AVENGERS</t>
  </si>
  <si>
    <t>TRISEMBA682778</t>
  </si>
  <si>
    <t>682778</t>
  </si>
  <si>
    <t>ROLLO CARTON CORRUGADO 1.20X25 MT</t>
  </si>
  <si>
    <t>PRODUCTO TER</t>
  </si>
  <si>
    <t>ROLLOS CARTON</t>
  </si>
  <si>
    <t>TRISEMBA690155</t>
  </si>
  <si>
    <t>690155</t>
  </si>
  <si>
    <t>ROLLO CARTON CORRUGADO 0.80X10 MT</t>
  </si>
  <si>
    <t>PROD</t>
  </si>
  <si>
    <t>TRISEMBA674889</t>
  </si>
  <si>
    <t>TRISEMBA605654</t>
  </si>
  <si>
    <t>TRISEMBA636054</t>
  </si>
  <si>
    <t>TRISEMBA605647</t>
  </si>
  <si>
    <t>TRISEMBA605685</t>
  </si>
  <si>
    <t>TRISEMBA605678</t>
  </si>
  <si>
    <t>TRISEMBA678917</t>
  </si>
  <si>
    <t>TRISPWEB665849</t>
  </si>
  <si>
    <t>665849aa</t>
  </si>
  <si>
    <t>SACA CORCHETES PALANCA T064 1 UNIDAD</t>
  </si>
  <si>
    <t>TRISPWEB676487</t>
  </si>
  <si>
    <t>676487c</t>
  </si>
  <si>
    <t>SACAPUNTAS C/DEPOSITO DOBLE TRIANGULAR SU260 SET 4 UNIDADES</t>
  </si>
  <si>
    <t>TRISSACA617763</t>
  </si>
  <si>
    <t>617763c</t>
  </si>
  <si>
    <t>SACAPUNTAS C/DEPOSITO CILINDRO SU105 DISPLAY 24 UNIDADES</t>
  </si>
  <si>
    <t>TRISPWEB685229</t>
  </si>
  <si>
    <t>685229c</t>
  </si>
  <si>
    <t>SACAPUNTAS C/DEPOSITO DOBLE ESTRELLA SU210 SET 3 UNIDADES</t>
  </si>
  <si>
    <t>TRISSACA685229</t>
  </si>
  <si>
    <t>685229</t>
  </si>
  <si>
    <t>SACAPUNTAS C/DEPOSITO DOBLE ESTRELLA SU210</t>
  </si>
  <si>
    <t>TRISPWEB643045</t>
  </si>
  <si>
    <t>643045p</t>
  </si>
  <si>
    <t>SACAPUNTA DISEÑO PINGÜINO SET 4 UNIDADES</t>
  </si>
  <si>
    <t>TRISPWEB688138</t>
  </si>
  <si>
    <t>688138c</t>
  </si>
  <si>
    <t>SACAPUNTAS C/DEPOSITO CORAZON SET 2 UNIDADES</t>
  </si>
  <si>
    <t>TRISSACA676487</t>
  </si>
  <si>
    <t>676487</t>
  </si>
  <si>
    <t>SACAPUNTAS C/DEPOSITO DOBLE TRIANG SU260 DISPLAY 12 UNIDADES</t>
  </si>
  <si>
    <t>TRISPWEB635910</t>
  </si>
  <si>
    <t>635910</t>
  </si>
  <si>
    <t>SACAPUNTAS DISEÑO CERDITO  SET 4 UNIDADES</t>
  </si>
  <si>
    <t>TRISSSET635910</t>
  </si>
  <si>
    <t>635910c</t>
  </si>
  <si>
    <t>SACAPUNTAS DISEÑO ANIMALITOS SET 3 UND</t>
  </si>
  <si>
    <t>TRISPWEB643069</t>
  </si>
  <si>
    <t>643069</t>
  </si>
  <si>
    <t>SACAPUNTAS DISEÑO VAQUITA SET 6 UNIDADES</t>
  </si>
  <si>
    <t>TRISPWEB685250</t>
  </si>
  <si>
    <t>685250aa</t>
  </si>
  <si>
    <t>SACAPUNTAS C/DEPOSITO SU133 SET 4 UNIDADES</t>
  </si>
  <si>
    <t>TRISPWEB688152</t>
  </si>
  <si>
    <t>688152</t>
  </si>
  <si>
    <t>SACAPUNTAS C/DEPOSITO SPACE SET 3 UNIDADES</t>
  </si>
  <si>
    <t>TRISPWEB617763</t>
  </si>
  <si>
    <t>617763</t>
  </si>
  <si>
    <t>SACAPUNTAS C/DEPOSITO CILINDRO SU105 SET 2 UNIDADES</t>
  </si>
  <si>
    <t>TRISSACA688138</t>
  </si>
  <si>
    <t>688138</t>
  </si>
  <si>
    <t>SACAPUNTAS C/DEPOSITO CORAZON DISPLAY 24 UNIDADES</t>
  </si>
  <si>
    <t>TRISSACA648491</t>
  </si>
  <si>
    <t>648491</t>
  </si>
  <si>
    <t>SACAP.C/DEP. DISEÑO C/GOMA INTERIOR.SU-030 TRIS</t>
  </si>
  <si>
    <t>SUMMLICE690186</t>
  </si>
  <si>
    <t>690186</t>
  </si>
  <si>
    <t>SACAP. DISEÑOS 679167D</t>
  </si>
  <si>
    <t>BARBSSET690186</t>
  </si>
  <si>
    <t>690186p</t>
  </si>
  <si>
    <t>ZZ. NO USAR. TEMPERAS BARBIE 12 COLORES</t>
  </si>
  <si>
    <t>TRISSSET690933</t>
  </si>
  <si>
    <t>690933</t>
  </si>
  <si>
    <t>FABULOUS SET BARBIE</t>
  </si>
  <si>
    <t>MONSSSET673165</t>
  </si>
  <si>
    <t>673165</t>
  </si>
  <si>
    <t>DIARIO MONSTRUOSO MONSTER HIGH</t>
  </si>
  <si>
    <t>MONSSSET673158</t>
  </si>
  <si>
    <t>673158</t>
  </si>
  <si>
    <t>FASHION DESIGN MOSNTER HIGH</t>
  </si>
  <si>
    <t>SPIDSSET690155</t>
  </si>
  <si>
    <t>690155s</t>
  </si>
  <si>
    <t>KIT BOX TRIS</t>
  </si>
  <si>
    <t>SPIDSSET682730</t>
  </si>
  <si>
    <t>682730</t>
  </si>
  <si>
    <t>SET 9 PZS SPIDER</t>
  </si>
  <si>
    <t>BARBSSET682761</t>
  </si>
  <si>
    <t>682761s</t>
  </si>
  <si>
    <t>SET ACTIVITY BAG BARBIE</t>
  </si>
  <si>
    <t>AVENSSET682778</t>
  </si>
  <si>
    <t>682778s</t>
  </si>
  <si>
    <t>SET ACTIVITY JOURNAL AVENGERS</t>
  </si>
  <si>
    <t>TRISSSET673080</t>
  </si>
  <si>
    <t>673080s</t>
  </si>
  <si>
    <t>SET STATIONERY TEN PCS SPIDER</t>
  </si>
  <si>
    <t>AVENSSET682754</t>
  </si>
  <si>
    <t>682754</t>
  </si>
  <si>
    <t>SET TUBO ACTIVIDADES AVENGERS</t>
  </si>
  <si>
    <t>BARBSSET682679</t>
  </si>
  <si>
    <t>682679</t>
  </si>
  <si>
    <t>SET TUBO ACTIVIDADES BARBIE</t>
  </si>
  <si>
    <t>HOTWSSET682808</t>
  </si>
  <si>
    <t>682808s</t>
  </si>
  <si>
    <t>SET TUBO ACTIVIDADES HOTWHEELS</t>
  </si>
  <si>
    <t>SPIDSSET672793</t>
  </si>
  <si>
    <t>672793</t>
  </si>
  <si>
    <t>SUPER WEB KIT SPIDERMAN</t>
  </si>
  <si>
    <t>BARBSSET690919</t>
  </si>
  <si>
    <t>690919P</t>
  </si>
  <si>
    <t>LUXURY SET</t>
  </si>
  <si>
    <t>TRISPACK690155</t>
  </si>
  <si>
    <t>690155p</t>
  </si>
  <si>
    <t>BARBSSET674889</t>
  </si>
  <si>
    <t>674889p</t>
  </si>
  <si>
    <t>ZZ. NO USAR. ART &amp; CRAFT</t>
  </si>
  <si>
    <t>TRISBOLI682679</t>
  </si>
  <si>
    <t>682679p</t>
  </si>
  <si>
    <t>ZZ. NO USAR. BOLIGRAFO 4 EN 1 BLS TRIS NIÑA</t>
  </si>
  <si>
    <t>MUNISSET673165</t>
  </si>
  <si>
    <t>673165p</t>
  </si>
  <si>
    <t>ZZ. NO USAR. DIARIO MONSTRUOSO MONSTER HIGH</t>
  </si>
  <si>
    <t>MUNISSET673158</t>
  </si>
  <si>
    <t>673158p</t>
  </si>
  <si>
    <t>ZZ. NO USAR. FASHION DESIGN MOSNTER HIGH</t>
  </si>
  <si>
    <t>AVENSSET682730</t>
  </si>
  <si>
    <t>682730p</t>
  </si>
  <si>
    <t>ZZ. NO USAR. SET 9 PZS SPIDER</t>
  </si>
  <si>
    <t>BARBSSET682754</t>
  </si>
  <si>
    <t>682754p</t>
  </si>
  <si>
    <t>ZZ. NO USAR. SET PINTAR BARB</t>
  </si>
  <si>
    <t>BARBSSET672793</t>
  </si>
  <si>
    <t>672793p</t>
  </si>
  <si>
    <t>ZZ. NO USAR. SUPER WEB KIT SPIDER</t>
  </si>
  <si>
    <t>TRISPWEB643519</t>
  </si>
  <si>
    <t>643519c</t>
  </si>
  <si>
    <t>TIJERA ESCOLAR NEON 1 UNIDAD</t>
  </si>
  <si>
    <t>CLASICA NEON</t>
  </si>
  <si>
    <t>TRISPWEB688473</t>
  </si>
  <si>
    <t>688473aa</t>
  </si>
  <si>
    <t>TIJERA SOFT PASTEL DISEÑOS 1 UNIDAD</t>
  </si>
  <si>
    <t>TRISSSET690766</t>
  </si>
  <si>
    <t>690766</t>
  </si>
  <si>
    <t>TIJERA ESCOLAR CRAFT 15CM DISEÑOS 4 UNIDADES</t>
  </si>
  <si>
    <t>TRISPWEB634692</t>
  </si>
  <si>
    <t>634692W</t>
  </si>
  <si>
    <t>TIJERA ESCOLAR COMFORT SET 3 UNIDADES</t>
  </si>
  <si>
    <t>TRISPWEB619941</t>
  </si>
  <si>
    <t>619941aa</t>
  </si>
  <si>
    <t>TIJERA ESCOLAR CRAFT 15CM 5MM</t>
  </si>
  <si>
    <t>TRISPWEB601588</t>
  </si>
  <si>
    <t>601588aa</t>
  </si>
  <si>
    <t>TIJERA ESCOLAR CLASS SET 6 UNIDADES</t>
  </si>
  <si>
    <t>TRISPWEB650487</t>
  </si>
  <si>
    <t>650487</t>
  </si>
  <si>
    <t>TIJERA ESCOLAR CLUB 1 UNIDAD</t>
  </si>
  <si>
    <t>TMMHSSET655604</t>
  </si>
  <si>
    <t>655604</t>
  </si>
  <si>
    <t>TIJERA ECONOMICA M.</t>
  </si>
  <si>
    <t>SUMMLICE682792</t>
  </si>
  <si>
    <t>682792</t>
  </si>
  <si>
    <t>TIJERAS DISEÑOS 627717D</t>
  </si>
  <si>
    <t>MONSSSET655604</t>
  </si>
  <si>
    <t>655604p</t>
  </si>
  <si>
    <t>ZZ. NO USAR. TIJERA ECO.MONSTER HIGH BLIS</t>
  </si>
  <si>
    <t>TRISCORC648736</t>
  </si>
  <si>
    <t>648736</t>
  </si>
  <si>
    <t>CORCHETERA MINI QUICKY COLOR 26/6 DISPLAY 12 UNIDADES</t>
  </si>
  <si>
    <t>TRISCORR676555</t>
  </si>
  <si>
    <t>676555</t>
  </si>
  <si>
    <t>CORRECTOR 2 EN 1 15ML DISPLAY 6 UNIDADES</t>
  </si>
  <si>
    <t>TRISBOLI691121</t>
  </si>
  <si>
    <t>691121</t>
  </si>
  <si>
    <t>DESTACADOR LIQEO PASTEL 6 COLORES DISPLAY 36 UNIDADES</t>
  </si>
  <si>
    <t>TRISGOMA687773</t>
  </si>
  <si>
    <t>687773</t>
  </si>
  <si>
    <t>GOMA DE BORRA JELLY COLORES DISPLAY 24 UNIDADES</t>
  </si>
  <si>
    <t>TRISGOMA664279</t>
  </si>
  <si>
    <t>664279</t>
  </si>
  <si>
    <t>GOMA DE BORRAR FUTBOL DISPLAY 24 UNIDADES</t>
  </si>
  <si>
    <t>TRISLAPG676661</t>
  </si>
  <si>
    <t>676661</t>
  </si>
  <si>
    <t>LAPIZ GRAFITO HB DISEÑO PASTEL DISPLAY 72 UNIDADES</t>
  </si>
  <si>
    <t>TRISTIJE643519</t>
  </si>
  <si>
    <t>643519</t>
  </si>
  <si>
    <t>TIJERA ESCOLAR NEON DISPLAY  24 UNIDADES</t>
  </si>
  <si>
    <t>TRISLAPC624365</t>
  </si>
  <si>
    <t>624365</t>
  </si>
  <si>
    <t>LAPICES DE COLOR TRIO 12 COLORES</t>
  </si>
  <si>
    <t>TRISPACK678047</t>
  </si>
  <si>
    <t>LATAM</t>
  </si>
  <si>
    <t>TRISPACK672861</t>
  </si>
  <si>
    <t>TRISCUAD691862</t>
  </si>
  <si>
    <t>691862</t>
  </si>
  <si>
    <t>CUADERNO COLLEGE 80 HJS 1 UND</t>
  </si>
  <si>
    <t>CUADERNOS COLLEGE 80</t>
  </si>
  <si>
    <t>TRISCUAD691879</t>
  </si>
  <si>
    <t>691879</t>
  </si>
  <si>
    <t>CUADERNO COLLEGE 100 HJS 1 UND</t>
  </si>
  <si>
    <t>CUADERNOS COLLEGE 100</t>
  </si>
  <si>
    <t>TRISTIJE619972</t>
  </si>
  <si>
    <t>ZURDOS</t>
  </si>
  <si>
    <t>TRISLAPC680187</t>
  </si>
  <si>
    <t>680187</t>
  </si>
  <si>
    <t>LAPICES DE COLOR MEGA SOFT 12 COLORES +LAPIZ GRAF.+SACAPUNTA</t>
  </si>
  <si>
    <t>MEGA SOFT</t>
  </si>
  <si>
    <t>TRISCORR676548</t>
  </si>
  <si>
    <t>TRISPLUM683720</t>
  </si>
  <si>
    <t>683720</t>
  </si>
  <si>
    <t>MARCADOR PUNTA GRUESA MEGA JUMBO 6 COLORES</t>
  </si>
  <si>
    <t>PUNTA GRUESA</t>
  </si>
  <si>
    <t>TRISEMBA691411</t>
  </si>
  <si>
    <t>TRISLAPC680255</t>
  </si>
  <si>
    <t>TRISGOMA676463</t>
  </si>
  <si>
    <t>TRISPLUM618678</t>
  </si>
  <si>
    <t>618678</t>
  </si>
  <si>
    <t>MARCADOR PUNTA FINA WAVE 6 COLORES</t>
  </si>
  <si>
    <t>PUNTA FINA</t>
  </si>
  <si>
    <t>TRISGOMA629711</t>
  </si>
  <si>
    <t>TRISCARP691596</t>
  </si>
  <si>
    <t>691596</t>
  </si>
  <si>
    <t>CARPETA PLASTIFICADA CON ACCOCLIP</t>
  </si>
  <si>
    <t>CARPETAS</t>
  </si>
  <si>
    <t>CARPETAS PASTIFICADAS</t>
  </si>
  <si>
    <t>TRISBOLI663425</t>
  </si>
  <si>
    <t>TRISGOMA676456</t>
  </si>
  <si>
    <t>TRISGOMA686981</t>
  </si>
  <si>
    <t>TRISGOMA681368</t>
  </si>
  <si>
    <t>PORTAGOMA</t>
  </si>
  <si>
    <t>TRISTIJE672458</t>
  </si>
  <si>
    <t>TRISGOMA676401</t>
  </si>
  <si>
    <t>TRISGOMA635989</t>
  </si>
  <si>
    <t>NEON</t>
  </si>
  <si>
    <t>TRISPEGA681436</t>
  </si>
  <si>
    <t>TRISNOTA668062</t>
  </si>
  <si>
    <t>668062</t>
  </si>
  <si>
    <t>NOTAS AUTOADHES T004 AMARILLO 101X76MM 100HJS</t>
  </si>
  <si>
    <t>TRISLAPG628165</t>
  </si>
  <si>
    <t>628165</t>
  </si>
  <si>
    <t>LAPIZ GRAFITO TECNICO 6B CAJA 12 UNIDADES</t>
  </si>
  <si>
    <t>TRISCUAD691886</t>
  </si>
  <si>
    <t>691886</t>
  </si>
  <si>
    <t>CUADERNO UNIVERSITARIO 100 HJS NUOVO 1 UND</t>
  </si>
  <si>
    <t>TRISGOMA667584</t>
  </si>
  <si>
    <t>TRISNOTA668048</t>
  </si>
  <si>
    <t>668048</t>
  </si>
  <si>
    <t>NOTAS AUTOADHES POP T003 51X38MM 4 BLOCK AMARILLO 400 HJS</t>
  </si>
  <si>
    <t>TRISLAPC680224</t>
  </si>
  <si>
    <t>680224</t>
  </si>
  <si>
    <t>LAPICES DE COLOR MEGA SOFT 24 COLORES 01NEON_01METAL +SACAP</t>
  </si>
  <si>
    <t>TRISCLIP664743</t>
  </si>
  <si>
    <t>CLIPS</t>
  </si>
  <si>
    <t>BULLDOG</t>
  </si>
  <si>
    <t>TRISCLIP664767</t>
  </si>
  <si>
    <t>TRISREGL648385</t>
  </si>
  <si>
    <t>FLEXIBLES</t>
  </si>
  <si>
    <t>TRISNOTA677453</t>
  </si>
  <si>
    <t>677453</t>
  </si>
  <si>
    <t>NOTAS AUTOADHES POP NEON T001 50x50MM 5 COLORES 100HJS</t>
  </si>
  <si>
    <t>TRISEMBA691015</t>
  </si>
  <si>
    <t>691015</t>
  </si>
  <si>
    <t>CAJA MULTI TV 50-55 PACK 2 UND</t>
  </si>
  <si>
    <t>TRISDISP682068</t>
  </si>
  <si>
    <t>DISPENSADORES</t>
  </si>
  <si>
    <t>TRISNOTA687490</t>
  </si>
  <si>
    <t>687490</t>
  </si>
  <si>
    <t>NOTAS AUTOADHES POP MEMO NOTE 130X100MM 1 CUBO 75HJS</t>
  </si>
  <si>
    <t>TRISSSET690902</t>
  </si>
  <si>
    <t>TRISPAST686684</t>
  </si>
  <si>
    <t>CERA / OIL</t>
  </si>
  <si>
    <t>OLEO PASTEL</t>
  </si>
  <si>
    <t>TRISCTES665320</t>
  </si>
  <si>
    <t>CORCHETES</t>
  </si>
  <si>
    <t>TRISLAPC684055</t>
  </si>
  <si>
    <t>TRISPEGA681375</t>
  </si>
  <si>
    <t>TRISTINT667874</t>
  </si>
  <si>
    <t>TINTAS</t>
  </si>
  <si>
    <t>TAMPON</t>
  </si>
  <si>
    <t>TRISDDTC691381</t>
  </si>
  <si>
    <t>691381</t>
  </si>
  <si>
    <t>Stickers - Diseño Caritas 15,5x16,25 cm 1 hoja - (N°396)</t>
  </si>
  <si>
    <t>TRISDDTC691398</t>
  </si>
  <si>
    <t>691398</t>
  </si>
  <si>
    <t>Stickers - Diseño Estrellitas 15,5x16,25 cm 2 hojas - (N°440)</t>
  </si>
  <si>
    <t>TRISDDTC691404</t>
  </si>
  <si>
    <t>691404</t>
  </si>
  <si>
    <t>Etiqueta marca ropa color - 63x25 mm 16 etiquetas por sobre - (N°2511)</t>
  </si>
  <si>
    <t>TRISLAPC682631</t>
  </si>
  <si>
    <t>682631</t>
  </si>
  <si>
    <t>LAPICES DE COLOR MEGA ACUARELABLE 36 COLORES +PINC+SACAPUNTA</t>
  </si>
  <si>
    <t>ACUARELABLES</t>
  </si>
  <si>
    <t>TRISDDTC691275</t>
  </si>
  <si>
    <t>691275</t>
  </si>
  <si>
    <t>Juego didáctico Reloj sensorial - (N°651)</t>
  </si>
  <si>
    <t>TRISREGL621616</t>
  </si>
  <si>
    <t>621616</t>
  </si>
  <si>
    <t>REGLA ESCALIMETRO 30 CM. 1 UNIDAD</t>
  </si>
  <si>
    <t>ESCALIMETROS</t>
  </si>
  <si>
    <t>TRISCORC665061</t>
  </si>
  <si>
    <t>PLASTICAS</t>
  </si>
  <si>
    <t>TRISLAPG676647</t>
  </si>
  <si>
    <t>676647</t>
  </si>
  <si>
    <t>LAPIZ GRAFITO 2B C/GOMA BLISTER 4UNIDADES</t>
  </si>
  <si>
    <t>TRISGOMA633695</t>
  </si>
  <si>
    <t>TRISLAPC681047</t>
  </si>
  <si>
    <t>681047</t>
  </si>
  <si>
    <t>LAPICES DE COLOR MEGA ACUARELABLE 12 COLORES +PINC+SACAPUNTA</t>
  </si>
  <si>
    <t>TRISBOLI680743</t>
  </si>
  <si>
    <t>680743</t>
  </si>
  <si>
    <t>BOLIGRAFO SLIDE AZUL BLISTER 4 UNIDADES</t>
  </si>
  <si>
    <t>TRISDDTC691282</t>
  </si>
  <si>
    <t>691282</t>
  </si>
  <si>
    <t>Juego didáctico Figuras magnéticas surtidas 13 pzas - (N°730)</t>
  </si>
  <si>
    <t>TRISDDTC691299</t>
  </si>
  <si>
    <t>691299</t>
  </si>
  <si>
    <t>Juego didáctico Figuras magnéticas surtidas Colores y Formas 40 pzas - (N°732)</t>
  </si>
  <si>
    <t>TRISDDTC691206</t>
  </si>
  <si>
    <t>691206</t>
  </si>
  <si>
    <t>Juego didáctico Ventosas 24 pzas - Motricidad fina - (N°600)</t>
  </si>
  <si>
    <t>TRISDDTC691213</t>
  </si>
  <si>
    <t>691213</t>
  </si>
  <si>
    <t>Juego didáctico Torre de encaje y martillo 6 pzas - (N°602)</t>
  </si>
  <si>
    <t>TRISDDTC691220</t>
  </si>
  <si>
    <t>691220</t>
  </si>
  <si>
    <t>Juego didáctico Ciclos de vida 20 pzas - (N°603)</t>
  </si>
  <si>
    <t>TRISDDTC691244</t>
  </si>
  <si>
    <t>691244</t>
  </si>
  <si>
    <t>Juego didáctico Tubos conectores 40 pzas - (N°610)</t>
  </si>
  <si>
    <t>TRISDDTC691251</t>
  </si>
  <si>
    <t>691251</t>
  </si>
  <si>
    <t>Juego didáctico Figuras conectables 60 pzas - (N°611)</t>
  </si>
  <si>
    <t>TRISDDTC691268</t>
  </si>
  <si>
    <t>691268</t>
  </si>
  <si>
    <t>Juego didáctico Animales conectables 40 pzas - (N°612)</t>
  </si>
  <si>
    <t>TRISDDTC691374</t>
  </si>
  <si>
    <t>691374</t>
  </si>
  <si>
    <t>Juego didáctico Letras moviles - (N°1220)</t>
  </si>
  <si>
    <t>TRISDDTC691343</t>
  </si>
  <si>
    <t>691343</t>
  </si>
  <si>
    <t>Juego didáctico Arena mágica color verde - 450 grs 6/moldes - (N°1303)</t>
  </si>
  <si>
    <t>SPIDLAPG644271</t>
  </si>
  <si>
    <t>644271</t>
  </si>
  <si>
    <t>LAPIZ GRAF.C/GOMA DSP.72UN SPID</t>
  </si>
  <si>
    <t>SPIDSSET644325</t>
  </si>
  <si>
    <t>644325</t>
  </si>
  <si>
    <t>BASIC SET (SACAP+GOMA) SPIDER</t>
  </si>
  <si>
    <t>SPIDREGL644400</t>
  </si>
  <si>
    <t>644400</t>
  </si>
  <si>
    <t>REGLA 30 CMS. SPIDER</t>
  </si>
  <si>
    <t>SPIDTIJE644363</t>
  </si>
  <si>
    <t>644363</t>
  </si>
  <si>
    <t>TIJERA ESC.C/ESTUCHE  SPIDER</t>
  </si>
  <si>
    <t>SPIDGOMA644332</t>
  </si>
  <si>
    <t>644332</t>
  </si>
  <si>
    <t>GOMA DE BORRAR DSP.24UN SPIDER</t>
  </si>
  <si>
    <t>TRISACCE659480</t>
  </si>
  <si>
    <t>659480</t>
  </si>
  <si>
    <t>GRIP GEL ROLLER BLIS.5 PCS TRIS</t>
  </si>
  <si>
    <t>ACCESORIOS</t>
  </si>
  <si>
    <t>TRISACCE660035</t>
  </si>
  <si>
    <t>660035</t>
  </si>
  <si>
    <t>GRIP GEL ROLLER DSP.36UN TRIS</t>
  </si>
  <si>
    <t>TRISSEET690506</t>
  </si>
  <si>
    <t>690506</t>
  </si>
  <si>
    <t>SET DE ESCRITURA -SURTIDO LICENCIAS</t>
  </si>
  <si>
    <t>TRISCLIP622859</t>
  </si>
  <si>
    <t>622859</t>
  </si>
  <si>
    <t>SUJETADOR DE PAPEL CJA.5UN -SU307 TRIS</t>
  </si>
  <si>
    <t>TRISACUA686998</t>
  </si>
  <si>
    <t>686998</t>
  </si>
  <si>
    <t>ACUARELA MEGA COLOR ESTUCHE 12 COLORES</t>
  </si>
  <si>
    <t>ACUARELAS</t>
  </si>
  <si>
    <t>ACUARELA SOLIDA</t>
  </si>
  <si>
    <t>TRISACUA688497</t>
  </si>
  <si>
    <t>688497</t>
  </si>
  <si>
    <t>TINTA GUACHE CLASICA TUBO-PINCEL SET 6 COLORES</t>
  </si>
  <si>
    <t>ACUARELA LIQUIDA</t>
  </si>
  <si>
    <t>TRISACUA602615</t>
  </si>
  <si>
    <t>602615</t>
  </si>
  <si>
    <t>ACUARELA COLORES TRIS 12 COLORES</t>
  </si>
  <si>
    <t>BARBACUA686349</t>
  </si>
  <si>
    <t>686349</t>
  </si>
  <si>
    <t>ACUARELA 12 COLORES BARBIE</t>
  </si>
  <si>
    <t>HOTWACUA686363</t>
  </si>
  <si>
    <t>686363</t>
  </si>
  <si>
    <t>ACUARELA 12 COLORES HOTWHEELS</t>
  </si>
  <si>
    <t>TRISSSET681078</t>
  </si>
  <si>
    <t>681078</t>
  </si>
  <si>
    <t>BASIC SET (SACAP+GOMA) CLASSIC</t>
  </si>
  <si>
    <t>SACAPUNTA-GOMA</t>
  </si>
  <si>
    <t>TRISSSET681085</t>
  </si>
  <si>
    <t>681085</t>
  </si>
  <si>
    <t>BASIC SET (SACAP+GOMA) NEON</t>
  </si>
  <si>
    <t>TRISSSET648668</t>
  </si>
  <si>
    <t>648668</t>
  </si>
  <si>
    <t>BASIC SET (SACAP+GOMA) DRIVE TRIS</t>
  </si>
  <si>
    <t>TRISSSET673677</t>
  </si>
  <si>
    <t>673677</t>
  </si>
  <si>
    <t>BASIC SET (SACAP+GOMA) FISH SET</t>
  </si>
  <si>
    <t>TRISSSET673684</t>
  </si>
  <si>
    <t>673684</t>
  </si>
  <si>
    <t>BASIC SET (SACAP+GOMA) PINGÜINO TRIS</t>
  </si>
  <si>
    <t>TRISSSET690872</t>
  </si>
  <si>
    <t>690872</t>
  </si>
  <si>
    <t>BASIC SET (SACAP+GOMA) RATONCITO TRIS</t>
  </si>
  <si>
    <t>TRISPACK690001</t>
  </si>
  <si>
    <t>690001</t>
  </si>
  <si>
    <t>BASIC SET (SACAP+GOMA) SCHOOL TRIS</t>
  </si>
  <si>
    <t>TRISSSET673691</t>
  </si>
  <si>
    <t>673691</t>
  </si>
  <si>
    <t>BASIC SET (SACAP+GOMA) VAQUITA TRIS</t>
  </si>
  <si>
    <t>CARSSSET656212</t>
  </si>
  <si>
    <t>656212</t>
  </si>
  <si>
    <t>BASIC SET (SACAP+GOMA) CARS</t>
  </si>
  <si>
    <t>CARS</t>
  </si>
  <si>
    <t>HOTWSSET629308</t>
  </si>
  <si>
    <t>629308</t>
  </si>
  <si>
    <t>BASIC SET (SACAP+GOMA) HOTW</t>
  </si>
  <si>
    <t>MAXSSSET675015</t>
  </si>
  <si>
    <t>675015</t>
  </si>
  <si>
    <t>BASIC SET (SACAP + GOMA) STEEL</t>
  </si>
  <si>
    <t>AVENSSET671314</t>
  </si>
  <si>
    <t>671314</t>
  </si>
  <si>
    <t>BASIC SET (SACAP+GOMA) AV</t>
  </si>
  <si>
    <t>BARBSSET630939</t>
  </si>
  <si>
    <t>630939</t>
  </si>
  <si>
    <t>BASIC SET (SACAP+GOMA) BARB</t>
  </si>
  <si>
    <t>BARBSSET675770</t>
  </si>
  <si>
    <t>675770</t>
  </si>
  <si>
    <t>BASIC SET (SACAP+GOMA) BARBIE</t>
  </si>
  <si>
    <t>MICKSACA637945</t>
  </si>
  <si>
    <t>637945</t>
  </si>
  <si>
    <t>BASIC SET (SACAP+GOMA) BLIS. MICK</t>
  </si>
  <si>
    <t>MICK</t>
  </si>
  <si>
    <t>CARSSSET631172</t>
  </si>
  <si>
    <t>631172</t>
  </si>
  <si>
    <t>CARSSSET680729</t>
  </si>
  <si>
    <t>680729</t>
  </si>
  <si>
    <t>FROZSSET678870</t>
  </si>
  <si>
    <t>678870</t>
  </si>
  <si>
    <t>BASIC SET (SACAP+GOMA) FROZEN</t>
  </si>
  <si>
    <t>HADASSET631974</t>
  </si>
  <si>
    <t>631974</t>
  </si>
  <si>
    <t>BASIC SET (SACAP+GOMA) HADA</t>
  </si>
  <si>
    <t>MONSSSET663555</t>
  </si>
  <si>
    <t>663555</t>
  </si>
  <si>
    <t>BASIC SET (SACAP+GOMA) M.HIGH</t>
  </si>
  <si>
    <t>MUNISSET670324</t>
  </si>
  <si>
    <t>670324</t>
  </si>
  <si>
    <t>BASIC SET (SACAP+GOMA) M.UNIV</t>
  </si>
  <si>
    <t>MARISSET631585</t>
  </si>
  <si>
    <t>631585</t>
  </si>
  <si>
    <t>BASIC SET (SACAP+GOMA) MARIE</t>
  </si>
  <si>
    <t>MAXSSSET638522</t>
  </si>
  <si>
    <t>638522</t>
  </si>
  <si>
    <t>BASIC SET (SACAP+GOMA) MAXS</t>
  </si>
  <si>
    <t>MINNSSET638140</t>
  </si>
  <si>
    <t>638140</t>
  </si>
  <si>
    <t>BASIC SET (SACAP+GOMA) MINN</t>
  </si>
  <si>
    <t>MINNSSET662749</t>
  </si>
  <si>
    <t>662749</t>
  </si>
  <si>
    <t>BASIC SET (SACAP+GOMA) MINNIE B</t>
  </si>
  <si>
    <t>PLANSSET670577</t>
  </si>
  <si>
    <t>670577</t>
  </si>
  <si>
    <t>BASIC SET (SACAP+GOMA) PLANES</t>
  </si>
  <si>
    <t>POLLSSET645230</t>
  </si>
  <si>
    <t>645230</t>
  </si>
  <si>
    <t>BASIC SET (SACAP+GOMA) POLLY</t>
  </si>
  <si>
    <t>PRINSSET636795</t>
  </si>
  <si>
    <t>636795</t>
  </si>
  <si>
    <t>BASIC SET (SACAP+GOMA) PRN</t>
  </si>
  <si>
    <t>SIMPSSET674209</t>
  </si>
  <si>
    <t>674209</t>
  </si>
  <si>
    <t>BASIC SET (SACAP+GOMA) SIMPSON</t>
  </si>
  <si>
    <t>SIMP</t>
  </si>
  <si>
    <t>SPIDSSET675541</t>
  </si>
  <si>
    <t>675541</t>
  </si>
  <si>
    <t>BASIC SET (SACAP+GOMA) SPID</t>
  </si>
  <si>
    <t>SPIDSSET680637</t>
  </si>
  <si>
    <t>680637</t>
  </si>
  <si>
    <t>BASIC SET (SACAP+GOMA) SPID ULT</t>
  </si>
  <si>
    <t>SPIDSSET662862</t>
  </si>
  <si>
    <t>662862</t>
  </si>
  <si>
    <t>BASIC SET (SACAP+GOMA) SPIDER A.</t>
  </si>
  <si>
    <t>STARSSET677897</t>
  </si>
  <si>
    <t>677897</t>
  </si>
  <si>
    <t>BASIC SET (SACAP+GOMA) STAR WARS</t>
  </si>
  <si>
    <t>STARSSET675107</t>
  </si>
  <si>
    <t>675107</t>
  </si>
  <si>
    <t>BASIC SET (SACAP+GOMA) STAR WARS BRZ</t>
  </si>
  <si>
    <t>TOYSSSET637280</t>
  </si>
  <si>
    <t>637280</t>
  </si>
  <si>
    <t>BASIC SET (SACAP+GOMA) TOYS</t>
  </si>
  <si>
    <t>TOYS</t>
  </si>
  <si>
    <t>FROZSSET679150</t>
  </si>
  <si>
    <t>679150</t>
  </si>
  <si>
    <t>BASIC SET TOP (SACAP+GOMA) FROZ</t>
  </si>
  <si>
    <t>TRISBOLI686226</t>
  </si>
  <si>
    <t>686226</t>
  </si>
  <si>
    <t>BOLIGRAFO GEL LOVE COLORES SURTIDOS DISPLAY 24 UNIDADES</t>
  </si>
  <si>
    <t>TRISBOLI687568</t>
  </si>
  <si>
    <t>687568</t>
  </si>
  <si>
    <t>BOLIGRAFO 0.7MM SLIDE COLORES BLISTER 4 UNIDADES</t>
  </si>
  <si>
    <t>TRISBOLI684499</t>
  </si>
  <si>
    <t>684499</t>
  </si>
  <si>
    <t>BOLIGRAFO 1.0MM COMFORT AZUL DISPLAY 12 UNIDADES</t>
  </si>
  <si>
    <t>TRISBOLI684512</t>
  </si>
  <si>
    <t>684512</t>
  </si>
  <si>
    <t>BOLIGRAFO 1.0MM COMFORT COLORES BLISTER 3 UNIDADES</t>
  </si>
  <si>
    <t>TRISBOLI680736</t>
  </si>
  <si>
    <t>680736</t>
  </si>
  <si>
    <t>BOLIGRAFO SLIDE 1.0 MM AZUL/NEGRO/ROJO BLISTER 4 UNIDADES</t>
  </si>
  <si>
    <t>TRISBOLI661681</t>
  </si>
  <si>
    <t>661681</t>
  </si>
  <si>
    <t>BOLIGRAFO GEL NEON/PASTEL DISPLAY 50 UNIDADES</t>
  </si>
  <si>
    <t>TRISBOLI691107</t>
  </si>
  <si>
    <t>691107</t>
  </si>
  <si>
    <t>BOLIGRAFO FINELINER PASTEL 6 UND +4 UND MINI DESTACADOR</t>
  </si>
  <si>
    <t>TRISBOLI685564</t>
  </si>
  <si>
    <t>685564</t>
  </si>
  <si>
    <t>BOLIGRAFO 1.0MM DISEÑO PUNTITOS 4 COLORES SET 6 UNIDADES</t>
  </si>
  <si>
    <t>TRISBLGL651446</t>
  </si>
  <si>
    <t>651446</t>
  </si>
  <si>
    <t>BOLIGRAFO GEL EFECTO NEON SET 4 COLORES</t>
  </si>
  <si>
    <t>TRISBOLI672526</t>
  </si>
  <si>
    <t>672526</t>
  </si>
  <si>
    <t>BOLIGRAFO SLIDE FASHION BLISTER 4 UNIDADES</t>
  </si>
  <si>
    <t>TRISPWEB663425</t>
  </si>
  <si>
    <t>663425p</t>
  </si>
  <si>
    <t>BOLIGRAFO 1.0 MM EXEC AZUL SET 10 UNIDADES</t>
  </si>
  <si>
    <t>SUMMLICE682822</t>
  </si>
  <si>
    <t>682822</t>
  </si>
  <si>
    <t>BOLIG. 4 EN 1 DISEÑOS</t>
  </si>
  <si>
    <t>TRISBLFL625478</t>
  </si>
  <si>
    <t>625478</t>
  </si>
  <si>
    <t>BOLIG.FINELINER FUSION AZUL DSP. 12UN. TRIS</t>
  </si>
  <si>
    <t>TRISBLFL625492</t>
  </si>
  <si>
    <t>625492</t>
  </si>
  <si>
    <t>BOLIG.FINELINER FUSION NEGRO DSP.12UN TRIS</t>
  </si>
  <si>
    <t>TRISBLGL651477</t>
  </si>
  <si>
    <t>651477</t>
  </si>
  <si>
    <t>BOLIG.GEL EFECTO NEON DSP.50UN TRIS</t>
  </si>
  <si>
    <t>TRISBLGL628912</t>
  </si>
  <si>
    <t>628912</t>
  </si>
  <si>
    <t>BOLIG.GEL GLITTER AROMA SET 06COL. TRIS</t>
  </si>
  <si>
    <t>TRISBLGL619385</t>
  </si>
  <si>
    <t>619385</t>
  </si>
  <si>
    <t>BOLIG.GEL GLITTER GOLD DSP.12UN TRIS</t>
  </si>
  <si>
    <t>TRISBLGL619408</t>
  </si>
  <si>
    <t>619408</t>
  </si>
  <si>
    <t>BOLIG.GEL GLITTER SILVER DSP.12UN TRIS</t>
  </si>
  <si>
    <t>TRISBLGL628905</t>
  </si>
  <si>
    <t>628905</t>
  </si>
  <si>
    <t>BOLIG.GEL METALIC SET 06 COL.TRIS</t>
  </si>
  <si>
    <t>TRISBLGL633817</t>
  </si>
  <si>
    <t>633817</t>
  </si>
  <si>
    <t>BOLIG.GEL MINI GLITTER DSP. 12UN 6COL.TRIS</t>
  </si>
  <si>
    <t>TRISBOLI685137</t>
  </si>
  <si>
    <t>685137</t>
  </si>
  <si>
    <t>BOLIG.SUPER FINA TRIS LIQEO PASTEL SET 6 COL</t>
  </si>
  <si>
    <t>TRISBOLI684444</t>
  </si>
  <si>
    <t>684444</t>
  </si>
  <si>
    <t>BOLIGRAFO 4 COLORES 1.0 MM  MIX FASHION BLS 1 UN TRIS</t>
  </si>
  <si>
    <t>TRISBOLI672915</t>
  </si>
  <si>
    <t>672915</t>
  </si>
  <si>
    <t>BOLIGRAFO 4 EN 1 BLS TRIS NIÑA</t>
  </si>
  <si>
    <t>TRISBOLI674001</t>
  </si>
  <si>
    <t>674001</t>
  </si>
  <si>
    <t>BOLIGRAFO 4 EN 1 BLS TRIS NIÑO</t>
  </si>
  <si>
    <t>SUMMLICE674162</t>
  </si>
  <si>
    <t>674162</t>
  </si>
  <si>
    <t>BOLIGRAFO 4 EN 1 DISEÑOS NIÑA</t>
  </si>
  <si>
    <t>SUMMLICE673882</t>
  </si>
  <si>
    <t>673882</t>
  </si>
  <si>
    <t>BOLIGRAFO 4 EN 1 DISEÑOS NIÑO</t>
  </si>
  <si>
    <t>TRISBOLI672786</t>
  </si>
  <si>
    <t>672786</t>
  </si>
  <si>
    <t>BOLIGRAFO 4 EN 1 DSP TRIS NIÑA</t>
  </si>
  <si>
    <t>TRISBOLI625539</t>
  </si>
  <si>
    <t>625539</t>
  </si>
  <si>
    <t>BOLIGRAFO BOSS DSP.12 TRIS</t>
  </si>
  <si>
    <t>TRISBOLI684505</t>
  </si>
  <si>
    <t>684505</t>
  </si>
  <si>
    <t>BOLIGRAFO COMFORT NEGRO DSP 12 UN TRIS</t>
  </si>
  <si>
    <t>TRISBOLI686240</t>
  </si>
  <si>
    <t>686240</t>
  </si>
  <si>
    <t>BOLIGRAFO COMFORT ROJO DSP 12 UN TRIS</t>
  </si>
  <si>
    <t>TRISBLFL630007</t>
  </si>
  <si>
    <t>630007</t>
  </si>
  <si>
    <t>BOLIGRAFO FINELINER SOFTMAX CJ 10COL. TRIS</t>
  </si>
  <si>
    <t>TRISBLFL626062</t>
  </si>
  <si>
    <t>626062</t>
  </si>
  <si>
    <t>BOLIGRAFO FINELINER SOFTMAX CJ 12COL. TRIS</t>
  </si>
  <si>
    <t>TRISBLFL626048</t>
  </si>
  <si>
    <t>626048</t>
  </si>
  <si>
    <t>BOLIGRAFO FINELINER SOFTMAX ST 12COL. TRIS</t>
  </si>
  <si>
    <t>TRISBOLI684734</t>
  </si>
  <si>
    <t>684734</t>
  </si>
  <si>
    <t>BOLIGRAFO GEL EFFECT NEON METAL SURT POTE 50 UN TRIS</t>
  </si>
  <si>
    <t>TRISBOLI685007</t>
  </si>
  <si>
    <t>685007</t>
  </si>
  <si>
    <t>BOLIGRAFO RETRAC SLIDE 0.7MM NGR 2 UN TRIS BRZ</t>
  </si>
  <si>
    <t>TRISBOLI684550</t>
  </si>
  <si>
    <t>684550</t>
  </si>
  <si>
    <t>BOLIGRAFO RETRACTIL CONFORT AZ/RO 1.0MM BLS 2 UN TRIS</t>
  </si>
  <si>
    <t>TRISBOLI684994</t>
  </si>
  <si>
    <t>684994</t>
  </si>
  <si>
    <t>BOLIGRAFO RETRACTIL CONFORT AZUL 1.0MM BLS 1 UN TRIS</t>
  </si>
  <si>
    <t>TRISBOLI684642</t>
  </si>
  <si>
    <t>684642</t>
  </si>
  <si>
    <t>BOLIGRAFO RETRACTIL SLIDE COL SURT 0.7 MM DSP 12 UN TRIS</t>
  </si>
  <si>
    <t>TRISBOLI684635</t>
  </si>
  <si>
    <t>684635</t>
  </si>
  <si>
    <t>BOLIGRAFO RETRACTIL SLIDE FASHION 0.7MM BLS 4UN TRIS</t>
  </si>
  <si>
    <t>TRISBOLI633534</t>
  </si>
  <si>
    <t>633534</t>
  </si>
  <si>
    <t>BOLIGRAFO ROLLER TRIS EXPRESS AZUL C/12 UN</t>
  </si>
  <si>
    <t>TRISBOLI633558</t>
  </si>
  <si>
    <t>633558</t>
  </si>
  <si>
    <t>BOLIGRAFO ROLLER TRIS EXPRESS NEGRO C/12 UN</t>
  </si>
  <si>
    <t>TRISBOLI633572</t>
  </si>
  <si>
    <t>633572</t>
  </si>
  <si>
    <t>BOLIGRAFO ROLLER TRIS EXPRESS ROJO C/12 UN</t>
  </si>
  <si>
    <t>TRISBOLI666464</t>
  </si>
  <si>
    <t>666464</t>
  </si>
  <si>
    <t>BOLIGRAFO SIX 1.0 MM NEGRO DSP 50UN TRIS</t>
  </si>
  <si>
    <t>TRISBOLI666440</t>
  </si>
  <si>
    <t>666440</t>
  </si>
  <si>
    <t>BOLIGRAFO SIX 1.0 MM ROJO DSP 50UN TRIS</t>
  </si>
  <si>
    <t>TRISBOLI687544</t>
  </si>
  <si>
    <t>687544</t>
  </si>
  <si>
    <t>BOLIGRAFO SLIDE 0.7 MM AZUL BLISTER 4 UNIDADES</t>
  </si>
  <si>
    <t>TRISBOLI686431</t>
  </si>
  <si>
    <t>686431</t>
  </si>
  <si>
    <t>BOLIGRAFO SLIDE POP RETRACTIL DSP 12 UND TRIS</t>
  </si>
  <si>
    <t>TRISBOLI684659</t>
  </si>
  <si>
    <t>684659</t>
  </si>
  <si>
    <t>BOLIGRAFO SLIDE RETRACTIL AZUL 0.7 MM DSP 12 UN TRIS</t>
  </si>
  <si>
    <t>TRISBOLI684666</t>
  </si>
  <si>
    <t>684666</t>
  </si>
  <si>
    <t>BOLIGRAFO SLIDE RETRACTIL NEGRO 0.7 MM DSP 12 0</t>
  </si>
  <si>
    <t>TRISBOLI623290</t>
  </si>
  <si>
    <t>623290</t>
  </si>
  <si>
    <t>BOLIGRAFO SLIM ROJO DSP.50 TRIS</t>
  </si>
  <si>
    <t>TRISBOLI606088</t>
  </si>
  <si>
    <t>606088</t>
  </si>
  <si>
    <t>BOLIGRAFO TRIS CLASSIC DSP.24UN AZUL</t>
  </si>
  <si>
    <t>TRISBOLI606101</t>
  </si>
  <si>
    <t>606101</t>
  </si>
  <si>
    <t>BOLIGRAFO TRIS CLASSIC DSP.24UN NEGRO</t>
  </si>
  <si>
    <t>TRISBOLI606095</t>
  </si>
  <si>
    <t>606095</t>
  </si>
  <si>
    <t>BOLIGRAFO TRIS CLASSIC ROJO C/24 UN</t>
  </si>
  <si>
    <t>TRISBOLI626680</t>
  </si>
  <si>
    <t>626680</t>
  </si>
  <si>
    <t>BOLIGRAFO TRIS QUATTRO BOX W/ 12 PCS</t>
  </si>
  <si>
    <t>TRISPACK647272</t>
  </si>
  <si>
    <t>647272</t>
  </si>
  <si>
    <t>BOLIGRAFO TRIS SET 3 UNIDADES</t>
  </si>
  <si>
    <t>TRISBOLI623252</t>
  </si>
  <si>
    <t>623252</t>
  </si>
  <si>
    <t>BOLIGRAFO TRIS SLIM DSP.50UN AZUL</t>
  </si>
  <si>
    <t>TRISBOLI623276</t>
  </si>
  <si>
    <t>623276</t>
  </si>
  <si>
    <t>BOLIGRAFO TRIS SLIM DSP.50UN NEGRO</t>
  </si>
  <si>
    <t>TRISBLFL626024</t>
  </si>
  <si>
    <t>626024</t>
  </si>
  <si>
    <t>BOLIGRAFP FINELINER SOFTMAX ST 06COL. TRIS</t>
  </si>
  <si>
    <t>TRISCOMP687452</t>
  </si>
  <si>
    <t>687452</t>
  </si>
  <si>
    <t>COMPAS ESCOLAR SU180 DSP 24 UN TRIS</t>
  </si>
  <si>
    <t>SUMMLICE682846</t>
  </si>
  <si>
    <t>682846</t>
  </si>
  <si>
    <t>SET ESCRITURA DISEÑOS</t>
  </si>
  <si>
    <t>TRISBLFL677958</t>
  </si>
  <si>
    <t>677958</t>
  </si>
  <si>
    <t>TRIS BOLIGRAFO FINELINER 12 UN</t>
  </si>
  <si>
    <t>TRISBOLI663630</t>
  </si>
  <si>
    <t>663630</t>
  </si>
  <si>
    <t>BOLIGRAFO 1.0 MM EXEC ROJO DISPLAY 50 UNIDADES</t>
  </si>
  <si>
    <t>HADABOLI638188</t>
  </si>
  <si>
    <t>638188</t>
  </si>
  <si>
    <t>BOLIG.MINI PERFUMADO 06COL.DSP.12UN HADA</t>
  </si>
  <si>
    <t>SPIDBOLI679037</t>
  </si>
  <si>
    <t>679037</t>
  </si>
  <si>
    <t>BOLIGRAFO 2 UN BLS SPID</t>
  </si>
  <si>
    <t>BARBBOLI666747</t>
  </si>
  <si>
    <t>666747</t>
  </si>
  <si>
    <t>BOLIGRAFO 3 EN 1 BLS BARB</t>
  </si>
  <si>
    <t>MONSBOLI667850</t>
  </si>
  <si>
    <t>667850</t>
  </si>
  <si>
    <t>BOLIGRAFO 3 EN 1 BLS MONSTER HIGH</t>
  </si>
  <si>
    <t>SPIDBOLI666761</t>
  </si>
  <si>
    <t>666761</t>
  </si>
  <si>
    <t>BOLIGRAFO 3 EN 1 BLS SPIDER</t>
  </si>
  <si>
    <t>SPIDBOLI666808</t>
  </si>
  <si>
    <t>666808</t>
  </si>
  <si>
    <t>BOLIGRAFO 3 EN 1 DSP 12 UN SPIDER</t>
  </si>
  <si>
    <t>BARBBOLI666785</t>
  </si>
  <si>
    <t>666785</t>
  </si>
  <si>
    <t>BOLIGRAFO 3 EN 1 DSP BARB</t>
  </si>
  <si>
    <t>MONSBOLI667027</t>
  </si>
  <si>
    <t>667027</t>
  </si>
  <si>
    <t>BOLIGRAFO 3 EN 1 DSP MONSTER HIGH</t>
  </si>
  <si>
    <t>MONSBOLI667034</t>
  </si>
  <si>
    <t>667034</t>
  </si>
  <si>
    <t>BOLIGRAFO 3 EN 1 UNIDAD MONSTER HIGH</t>
  </si>
  <si>
    <t>BARBBOLI672977</t>
  </si>
  <si>
    <t>672977</t>
  </si>
  <si>
    <t>BOLIGRAFO 4 EN 1 BLISTER BARBIE</t>
  </si>
  <si>
    <t>MARIBOLI674124</t>
  </si>
  <si>
    <t>674124</t>
  </si>
  <si>
    <t>BOLIGRAFO 4 EN 1 BLISTER MARIE</t>
  </si>
  <si>
    <t>AVENBOLI673066</t>
  </si>
  <si>
    <t>673066</t>
  </si>
  <si>
    <t>BOLIGRAFO 4 EN 1 BLS AVENGERS</t>
  </si>
  <si>
    <t>SPIDBOLI673981</t>
  </si>
  <si>
    <t>673981</t>
  </si>
  <si>
    <t>BOLIGRAFO 4 EN 1 BLS SPIDER</t>
  </si>
  <si>
    <t>HADABOLI674131</t>
  </si>
  <si>
    <t>674131</t>
  </si>
  <si>
    <t>BOLIGRAFO 4 EN 1 DISP. 12UN HADA</t>
  </si>
  <si>
    <t>ANGRBOLI671406</t>
  </si>
  <si>
    <t>671406</t>
  </si>
  <si>
    <t>BOLIGRAFO 4 EN 1 DSP A.BIRD</t>
  </si>
  <si>
    <t>AVENBOLI672762</t>
  </si>
  <si>
    <t>672762</t>
  </si>
  <si>
    <t>BOLIGRAFO 4 EN 1 DSP AVENGERS</t>
  </si>
  <si>
    <t>BARBBOLI673967</t>
  </si>
  <si>
    <t>673967</t>
  </si>
  <si>
    <t>BOLIGRAFO 4 EN 1 DSP BARB</t>
  </si>
  <si>
    <t>MARIBOLI674117</t>
  </si>
  <si>
    <t>674117</t>
  </si>
  <si>
    <t>BOLIGRAFO 4 EN 1 DSP MARIE</t>
  </si>
  <si>
    <t>SPIDBOLI673974</t>
  </si>
  <si>
    <t>673974</t>
  </si>
  <si>
    <t>BOLIGRAFO 4 EN 1 DSP SPIDER</t>
  </si>
  <si>
    <t>AVENBOLI675466</t>
  </si>
  <si>
    <t>675466</t>
  </si>
  <si>
    <t>BOLIGRAFO 4 TINTAS</t>
  </si>
  <si>
    <t>SPIDBOLI675558</t>
  </si>
  <si>
    <t>675558</t>
  </si>
  <si>
    <t>CARSBOLI631202</t>
  </si>
  <si>
    <t>631202</t>
  </si>
  <si>
    <t>BOLIGRAFO 4 TINTAS BLIS. CARS</t>
  </si>
  <si>
    <t>MUNIBOLI670423</t>
  </si>
  <si>
    <t>670423</t>
  </si>
  <si>
    <t>BOLIGRAFO 4 TINTAS BLIS. M.UNIV</t>
  </si>
  <si>
    <t>MARIBOLI631646</t>
  </si>
  <si>
    <t>631646</t>
  </si>
  <si>
    <t>BOLIGRAFO 4 TINTAS BLIS. MARIE</t>
  </si>
  <si>
    <t>PRINBOLI633190</t>
  </si>
  <si>
    <t>633190</t>
  </si>
  <si>
    <t>BOLIGRAFO 4 TINTAS BLIS. PRIN</t>
  </si>
  <si>
    <t>SPIDBOLI644479</t>
  </si>
  <si>
    <t>644479</t>
  </si>
  <si>
    <t>BOLIGRAFO 4 TINTAS BLIS. SPIDER</t>
  </si>
  <si>
    <t>SPIDSSET663036</t>
  </si>
  <si>
    <t>663036</t>
  </si>
  <si>
    <t>BOLIGRAFO 4 TINTAS BLIS. SPIDER A</t>
  </si>
  <si>
    <t>CARSBOLI631219</t>
  </si>
  <si>
    <t>631219</t>
  </si>
  <si>
    <t>BOLIGRAFO 4 TINTAS DSP 12UN CARS</t>
  </si>
  <si>
    <t>MARIBOLI631653</t>
  </si>
  <si>
    <t>631653</t>
  </si>
  <si>
    <t>BOLIGRAFO 4 TINTAS DSP.12UN MARIE</t>
  </si>
  <si>
    <t>PRINBOLI633206</t>
  </si>
  <si>
    <t>633206</t>
  </si>
  <si>
    <t>BOLIGRAFO 4 TINTAS DSP.12UN PRIN</t>
  </si>
  <si>
    <t>SPIDBOLI644455</t>
  </si>
  <si>
    <t>644455</t>
  </si>
  <si>
    <t>BOLIGRAFO 4 TINTAS DSP.12UN SPID</t>
  </si>
  <si>
    <t>HADABOLI632049</t>
  </si>
  <si>
    <t>632049</t>
  </si>
  <si>
    <t>BOLIGRAFO 5 EN 1 BLIS HADAS</t>
  </si>
  <si>
    <t>MARIBOLI631684</t>
  </si>
  <si>
    <t>631684</t>
  </si>
  <si>
    <t>BOLIGRAFO 5 EN 1 BLIS MARIE</t>
  </si>
  <si>
    <t>MINNBOLI632346</t>
  </si>
  <si>
    <t>632346</t>
  </si>
  <si>
    <t>BOLIGRAFO 5 EN 1 BLIS MINNI</t>
  </si>
  <si>
    <t>PRINBOLI633237</t>
  </si>
  <si>
    <t>633237</t>
  </si>
  <si>
    <t>BOLIGRAFO 5 EN 1 BLIS PRIN</t>
  </si>
  <si>
    <t>TOYSBOLI650586</t>
  </si>
  <si>
    <t>650586</t>
  </si>
  <si>
    <t>BOLIGRAFO 5 EN 1 BLIS TOYS</t>
  </si>
  <si>
    <t>HADABOLI632056</t>
  </si>
  <si>
    <t>632056</t>
  </si>
  <si>
    <t>BOLIGRAFO 5 EN 1 DISP. 12UN HADA</t>
  </si>
  <si>
    <t>MARIBOLI631691</t>
  </si>
  <si>
    <t>631691</t>
  </si>
  <si>
    <t>BOLIGRAFO 5 EN 1 DISP. 12UN MARIE</t>
  </si>
  <si>
    <t>PRINBOLI633244</t>
  </si>
  <si>
    <t>633244</t>
  </si>
  <si>
    <t>BOLIGRAFO 5 EN 1 DISP. 12UN PRIN</t>
  </si>
  <si>
    <t>TOYSBOLI650593</t>
  </si>
  <si>
    <t>650593</t>
  </si>
  <si>
    <t>BOLIGRAFO 5 EN 1 DISP. 12UN TOYS</t>
  </si>
  <si>
    <t>MARIBOLI631707</t>
  </si>
  <si>
    <t>631707</t>
  </si>
  <si>
    <t>BOLIGRAFO 5 EN 1 UNIT. MARIE</t>
  </si>
  <si>
    <t>TOYSBOLI637341</t>
  </si>
  <si>
    <t>637341</t>
  </si>
  <si>
    <t>BOLIGRAFO BLIS.SPACE TOY STORY</t>
  </si>
  <si>
    <t>HOTWBOLI644035</t>
  </si>
  <si>
    <t>644035</t>
  </si>
  <si>
    <t>BOLIGRAFO BLIS.SPEED HOTW</t>
  </si>
  <si>
    <t>CARSBOLI627564</t>
  </si>
  <si>
    <t>627564</t>
  </si>
  <si>
    <t>BOLIGRAFO BLIS.TURBO CARS</t>
  </si>
  <si>
    <t>FROZBOLI678153</t>
  </si>
  <si>
    <t>678153</t>
  </si>
  <si>
    <t>BOLIGRAFO CLIP 2 UN FROZEN</t>
  </si>
  <si>
    <t>MARIBOLI631714</t>
  </si>
  <si>
    <t>631714</t>
  </si>
  <si>
    <t>BOLIGRAFO DSP.12 UN TOP MARIE</t>
  </si>
  <si>
    <t>BARBBOLI643694</t>
  </si>
  <si>
    <t>643694</t>
  </si>
  <si>
    <t>BOLIGRAFO DSP.24 UN FASHION BARBIE</t>
  </si>
  <si>
    <t>MARIBOLI616834</t>
  </si>
  <si>
    <t>616834</t>
  </si>
  <si>
    <t>BOLIGRAFO DSP.24 UN FASHION MARIE</t>
  </si>
  <si>
    <t>MONSBOLI668345</t>
  </si>
  <si>
    <t>668345</t>
  </si>
  <si>
    <t>BOLIGRAFO DSP.24 UN SCARS M.HIGH</t>
  </si>
  <si>
    <t>HOTWBOLI644042</t>
  </si>
  <si>
    <t>644042</t>
  </si>
  <si>
    <t>BOLIGRAFO DSP.24 UN SPIIED HOTW</t>
  </si>
  <si>
    <t>CARSBOLI627540</t>
  </si>
  <si>
    <t>627540</t>
  </si>
  <si>
    <t>BOLIGRAFO DSP.24 UN TURBO CARS</t>
  </si>
  <si>
    <t>FROZLPGL680316</t>
  </si>
  <si>
    <t>680316</t>
  </si>
  <si>
    <t>BOLIGRAFO GEL FROZEN</t>
  </si>
  <si>
    <t>FROZBOLI678160</t>
  </si>
  <si>
    <t>678160</t>
  </si>
  <si>
    <t>BOLIGRAFO LUZ+MINILIBRETA FROZ</t>
  </si>
  <si>
    <t>MARIBOLI636610</t>
  </si>
  <si>
    <t>636610</t>
  </si>
  <si>
    <t>BOLIGRAFO MINI PERFUMADO DISP.12 MARIE</t>
  </si>
  <si>
    <t>MARIBOLI636603</t>
  </si>
  <si>
    <t>636603</t>
  </si>
  <si>
    <t>BOLIGRAFO MINI PERFUMADO MARIE</t>
  </si>
  <si>
    <t>ANGRBOLI671178</t>
  </si>
  <si>
    <t>671178</t>
  </si>
  <si>
    <t>BOLIGRAFO SET 2 UN ANGRY BIRDS</t>
  </si>
  <si>
    <t>AVENBOLI671321</t>
  </si>
  <si>
    <t>671321</t>
  </si>
  <si>
    <t>BOLIGRAFO SET 2 UN AVEN</t>
  </si>
  <si>
    <t>CARSBOLI682914</t>
  </si>
  <si>
    <t>682914</t>
  </si>
  <si>
    <t>BOLIGRAFO SET 2 UN CARS</t>
  </si>
  <si>
    <t>BARBBOLI643687</t>
  </si>
  <si>
    <t>643687</t>
  </si>
  <si>
    <t>BOLIGRAFO SET 2 UN FASHION BARBIE</t>
  </si>
  <si>
    <t>FROZBOLI678924</t>
  </si>
  <si>
    <t>678924</t>
  </si>
  <si>
    <t>BOLIGRAFO SET 2 UN FROZ</t>
  </si>
  <si>
    <t>HADABOLI627786</t>
  </si>
  <si>
    <t>627786</t>
  </si>
  <si>
    <t>BOLIGRAFO SET 2 UN MAGIC HADAS</t>
  </si>
  <si>
    <t>MARIBOLI616827</t>
  </si>
  <si>
    <t>616827</t>
  </si>
  <si>
    <t>BOLIGRAFO SET 2 UN MARIE</t>
  </si>
  <si>
    <t>PRINBOLI682907</t>
  </si>
  <si>
    <t>682907</t>
  </si>
  <si>
    <t>BOLIGRAFO SET 2 UN PRIN</t>
  </si>
  <si>
    <t>MONSBOLI668321</t>
  </si>
  <si>
    <t>668321</t>
  </si>
  <si>
    <t>BOLIGRAFO SET 2 UN SCARS MONTER.H</t>
  </si>
  <si>
    <t>SIMPBOLI690247</t>
  </si>
  <si>
    <t>690247</t>
  </si>
  <si>
    <t>BOLIGRAFO SET 2 UN SIMPSON</t>
  </si>
  <si>
    <t>HOTWBOLI673264</t>
  </si>
  <si>
    <t>673264</t>
  </si>
  <si>
    <t>BOLIGRAFO SET 2 UN SPEED HOT WHEELS</t>
  </si>
  <si>
    <t>STARBOLI677965</t>
  </si>
  <si>
    <t>677965</t>
  </si>
  <si>
    <t>BOLIGRAFO SET 2 UN STAR WARS</t>
  </si>
  <si>
    <t>STARBOLI678122</t>
  </si>
  <si>
    <t>678122</t>
  </si>
  <si>
    <t>BOLIGRAFO STYLE 2UN STAR WARS</t>
  </si>
  <si>
    <t>SPIDSSET644523</t>
  </si>
  <si>
    <t>644523</t>
  </si>
  <si>
    <t>KIT BOLIGRAFO + PORTAMINA BLISTER SPIDERMAN</t>
  </si>
  <si>
    <t>PRINBOLI638669</t>
  </si>
  <si>
    <t>638669</t>
  </si>
  <si>
    <t>MINI BOLIGRAFO DSP.12 UN PRINCESAS</t>
  </si>
  <si>
    <t>MARISSET636597</t>
  </si>
  <si>
    <t>636597</t>
  </si>
  <si>
    <t>MINI BOLIGRAFO+PORTAMINA DSP.12 UN MARIE</t>
  </si>
  <si>
    <t>PRINSSET637013</t>
  </si>
  <si>
    <t>637013</t>
  </si>
  <si>
    <t>MINI BOLIGRAFO+PORTAMINA DSP.12 UN PRINCESAS</t>
  </si>
  <si>
    <t>MARISSET636580</t>
  </si>
  <si>
    <t>636580</t>
  </si>
  <si>
    <t>SET 2 LAP. MINI</t>
  </si>
  <si>
    <t>TRISBORR691893</t>
  </si>
  <si>
    <t>691893</t>
  </si>
  <si>
    <t>BORRADOR PIZARRA MAGNETICO</t>
  </si>
  <si>
    <t>BORRADOR PIZARRA</t>
  </si>
  <si>
    <t>TMCJCAJA669496</t>
  </si>
  <si>
    <t>669496</t>
  </si>
  <si>
    <t>CAJAS AUTO-ARMABLES SURTIDO</t>
  </si>
  <si>
    <t>TMCJ</t>
  </si>
  <si>
    <t>FROZSSET677934</t>
  </si>
  <si>
    <t>677934</t>
  </si>
  <si>
    <t>CAJA ESCOLAR FROZEN</t>
  </si>
  <si>
    <t>MARISSET674224</t>
  </si>
  <si>
    <t>674224</t>
  </si>
  <si>
    <t>CAJA ESCOLAR MARIE</t>
  </si>
  <si>
    <t>PRINSSET672816</t>
  </si>
  <si>
    <t>672816</t>
  </si>
  <si>
    <t>CAJA ORGANIZADORA  LICENCIAS PRIN</t>
  </si>
  <si>
    <t>SPIDSSET673622</t>
  </si>
  <si>
    <t>673622</t>
  </si>
  <si>
    <t>CAJA ORGANIZORA  SPIDERMAN</t>
  </si>
  <si>
    <t>TRISEMBA673271</t>
  </si>
  <si>
    <t>673281</t>
  </si>
  <si>
    <t>CAJA CARTON CORRUGADO 60x40x40 PACK 5 UND</t>
  </si>
  <si>
    <t>TRISEMBA691046</t>
  </si>
  <si>
    <t>691046</t>
  </si>
  <si>
    <t>CARTON ACOLCHADO 40x60 CM  5 UND</t>
  </si>
  <si>
    <t>TRISEMBA691084</t>
  </si>
  <si>
    <t>TRISEMBA691077</t>
  </si>
  <si>
    <t>TRISEMBA691992</t>
  </si>
  <si>
    <t>691992</t>
  </si>
  <si>
    <t>CAJA CARTON CORRUGADO 50x30x30 PACK 5 UND</t>
  </si>
  <si>
    <t>TRISEMBA692012</t>
  </si>
  <si>
    <t>TRISEMBA692029</t>
  </si>
  <si>
    <t>TRISEMBA692036</t>
  </si>
  <si>
    <t>TRISEMBA692043</t>
  </si>
  <si>
    <t>TRISEMBA692425</t>
  </si>
  <si>
    <t>TRISEMBA692432</t>
  </si>
  <si>
    <t>TRISEMBA692449</t>
  </si>
  <si>
    <t>TRISCALC664781</t>
  </si>
  <si>
    <t>664781</t>
  </si>
  <si>
    <t>CALCULADORA 8 DIGIT T400 NEGRO TRIS BRZ</t>
  </si>
  <si>
    <t>TRISCALC626673</t>
  </si>
  <si>
    <t>626673</t>
  </si>
  <si>
    <t>CALCULADORA DE BOLSILLO TRIS.CALC - TRIS</t>
  </si>
  <si>
    <t>UFFICALC621395</t>
  </si>
  <si>
    <t>621395</t>
  </si>
  <si>
    <t>CALCULADORA DE MESA UFFIZI C005</t>
  </si>
  <si>
    <t>UFFICALC621418</t>
  </si>
  <si>
    <t>621418</t>
  </si>
  <si>
    <t>CALCULADORA DE MESA UFFIZI C015</t>
  </si>
  <si>
    <t>TRISPACK691596</t>
  </si>
  <si>
    <t>691596P</t>
  </si>
  <si>
    <t>PACK 1 SOLUCION CARPETAS</t>
  </si>
  <si>
    <t>TRISPACK691602</t>
  </si>
  <si>
    <t>691602</t>
  </si>
  <si>
    <t>PACK 2 SOLUCION CARPETAS</t>
  </si>
  <si>
    <t>TRISPACK691619</t>
  </si>
  <si>
    <t>691619</t>
  </si>
  <si>
    <t>PACK 3 SOLUCION CARPETAS</t>
  </si>
  <si>
    <t>TRISPWEB667997</t>
  </si>
  <si>
    <t>CARTONEROS</t>
  </si>
  <si>
    <t>CARTONEROS PLASTICOS</t>
  </si>
  <si>
    <t>TRISCART667997</t>
  </si>
  <si>
    <t>TRISSSET690841</t>
  </si>
  <si>
    <t>TRISCART664965</t>
  </si>
  <si>
    <t>CARTONEROS METALICOS</t>
  </si>
  <si>
    <t>TRISCART664989</t>
  </si>
  <si>
    <t>TRISCART601175</t>
  </si>
  <si>
    <t>REPUESTOS CARTONEROS</t>
  </si>
  <si>
    <t>TRISCART668017</t>
  </si>
  <si>
    <t>TRISCATACA0302</t>
  </si>
  <si>
    <t>CA0302</t>
  </si>
  <si>
    <t>CATALOGO TRIS</t>
  </si>
  <si>
    <t>CATALOGOS</t>
  </si>
  <si>
    <t>TRISCERA686936</t>
  </si>
  <si>
    <t>686936</t>
  </si>
  <si>
    <t>LAPICES DE CERA MEGA GEL RETRACTIL TWIST C/AROMA 12 COLORES</t>
  </si>
  <si>
    <t>TRISCERA659343</t>
  </si>
  <si>
    <t>659343</t>
  </si>
  <si>
    <t>LAPICES DE CERA JUMBO RETRACTIL TWIST 12 COLORES</t>
  </si>
  <si>
    <t>TRISCERA686448</t>
  </si>
  <si>
    <t>686448</t>
  </si>
  <si>
    <t>LAPICES DE CERA RETRACTIL FRUITS C/AROMA 12 COLORES</t>
  </si>
  <si>
    <t>TRISCERA687001</t>
  </si>
  <si>
    <t>687001</t>
  </si>
  <si>
    <t>LAPICES DE CERA RETRACTIL TWIST 12 COLORES</t>
  </si>
  <si>
    <t>TRISCERA684338</t>
  </si>
  <si>
    <t>684338</t>
  </si>
  <si>
    <t>LAPICES DE CERA TRIANGULAR JUMBO 12 COLORES</t>
  </si>
  <si>
    <t>TRIANGULAR</t>
  </si>
  <si>
    <t>TRISLPCE644981</t>
  </si>
  <si>
    <t>644981</t>
  </si>
  <si>
    <t>LAPIZ CERA TWIST SET 12COL.TRIS</t>
  </si>
  <si>
    <t>BARBCERA684765</t>
  </si>
  <si>
    <t>684765</t>
  </si>
  <si>
    <t>LAPIZ CERA 12 COLORES BARBIE</t>
  </si>
  <si>
    <t>HOTWCERA685489</t>
  </si>
  <si>
    <t>685489</t>
  </si>
  <si>
    <t>LAPIZ CERA 12 COLORES HOTWHEELS</t>
  </si>
  <si>
    <t>CARSBOLI673257</t>
  </si>
  <si>
    <t>673257</t>
  </si>
  <si>
    <t>10 FINGER CRAYONES F. PRICE</t>
  </si>
  <si>
    <t>BARBLPCE682150</t>
  </si>
  <si>
    <t>682150</t>
  </si>
  <si>
    <t>LAP. CERA DISEÑOS</t>
  </si>
  <si>
    <t>FROZLPCE678863</t>
  </si>
  <si>
    <t>678863</t>
  </si>
  <si>
    <t>LAP. CERA GR. 12 COLORES</t>
  </si>
  <si>
    <t>CARSLAPC675909</t>
  </si>
  <si>
    <t>675909</t>
  </si>
  <si>
    <t>LAP.CERA 3D</t>
  </si>
  <si>
    <t>PRINLAPC676302</t>
  </si>
  <si>
    <t>676302</t>
  </si>
  <si>
    <t>BARBLPCE654010</t>
  </si>
  <si>
    <t>654010</t>
  </si>
  <si>
    <t>LAPIZ CERA FINO SET 12 COL.BARBIE</t>
  </si>
  <si>
    <t>CARSLPCE627588</t>
  </si>
  <si>
    <t>627588</t>
  </si>
  <si>
    <t>LAPIZ CERA FINO SET 12 COL.CARS</t>
  </si>
  <si>
    <t>HOTWLPCE654133</t>
  </si>
  <si>
    <t>654133</t>
  </si>
  <si>
    <t>LAPIZ CERA FINO SET 12 COL.HOTW</t>
  </si>
  <si>
    <t>MARILPCE623016</t>
  </si>
  <si>
    <t>623016</t>
  </si>
  <si>
    <t>LAPIZ CERA FINO SET 12 COL.MARIE</t>
  </si>
  <si>
    <t>PRINLPCE617220</t>
  </si>
  <si>
    <t>617220</t>
  </si>
  <si>
    <t>LAPIZ CERA FINO SET 12 COL.PRIN</t>
  </si>
  <si>
    <t>ANGRSSET671154</t>
  </si>
  <si>
    <t>671154</t>
  </si>
  <si>
    <t>LAPIZ CERA GR. 12 COL.A.BIRDS</t>
  </si>
  <si>
    <t>AVENLPCE673097</t>
  </si>
  <si>
    <t>673097</t>
  </si>
  <si>
    <t>LAPIZ CERA GR. 12 COL.AVENGERS</t>
  </si>
  <si>
    <t>BARBLPCE673004</t>
  </si>
  <si>
    <t>673004</t>
  </si>
  <si>
    <t>LAPIZ CERA GR. 12 COL.BARB</t>
  </si>
  <si>
    <t>CARSLPCE657530</t>
  </si>
  <si>
    <t>657530</t>
  </si>
  <si>
    <t>LAPIZ CERA GR. 12 COL.CARS</t>
  </si>
  <si>
    <t>MUNILPCE670348</t>
  </si>
  <si>
    <t>670348</t>
  </si>
  <si>
    <t>LAPIZ CERA GR. 12 COL.M.UNIV</t>
  </si>
  <si>
    <t>MARILPCE666723</t>
  </si>
  <si>
    <t>666723</t>
  </si>
  <si>
    <t>LAPIZ CERA GR. 12 COL.MARI</t>
  </si>
  <si>
    <t>MINNLPCE657615</t>
  </si>
  <si>
    <t>657615</t>
  </si>
  <si>
    <t>LAPIZ CERA GR. 12 COL.MINNI</t>
  </si>
  <si>
    <t>MINNLPCE662596</t>
  </si>
  <si>
    <t>662596</t>
  </si>
  <si>
    <t>LAPIZ CERA GR. 12 COL.MINNI B</t>
  </si>
  <si>
    <t>PLANLPCE670515</t>
  </si>
  <si>
    <t>670515</t>
  </si>
  <si>
    <t>LAPIZ CERA GR. 12 COL.PLANES</t>
  </si>
  <si>
    <t>PRINLPCE657554</t>
  </si>
  <si>
    <t>657554</t>
  </si>
  <si>
    <t>LAPIZ CERA GR. 12 COL.PRIN</t>
  </si>
  <si>
    <t>SPIDLPCE668383</t>
  </si>
  <si>
    <t>668383</t>
  </si>
  <si>
    <t>LAPIZ CERA GR. 12 COL.SPID</t>
  </si>
  <si>
    <t>TOYSLPCE637440</t>
  </si>
  <si>
    <t>637440</t>
  </si>
  <si>
    <t>LAPIZ CERA GR. 12 COL.TOYS</t>
  </si>
  <si>
    <t>BARBLPCE648057</t>
  </si>
  <si>
    <t>648057</t>
  </si>
  <si>
    <t>LAPIZ CERA TWIST SET 12 COL.BARB</t>
  </si>
  <si>
    <t>BARBLPCE648071</t>
  </si>
  <si>
    <t>648071</t>
  </si>
  <si>
    <t>LAPIZ CERA TWIST SET 12COL.BARB</t>
  </si>
  <si>
    <t>CARSLPCE644837</t>
  </si>
  <si>
    <t>644837</t>
  </si>
  <si>
    <t>LAPIZ CERA TWIST SET 12COL.CARS</t>
  </si>
  <si>
    <t>HOTWLPCE654072</t>
  </si>
  <si>
    <t>654072</t>
  </si>
  <si>
    <t>LAPIZ CERA TWIST SET 12COL.HOTW</t>
  </si>
  <si>
    <t>MARILPCE647951</t>
  </si>
  <si>
    <t>647951</t>
  </si>
  <si>
    <t>LAPIZ CERA TWIST SET 12COL.MARIE</t>
  </si>
  <si>
    <t>MINNLPCE644790</t>
  </si>
  <si>
    <t>644790</t>
  </si>
  <si>
    <t>LAPIZ CERA TWIST SET 12COL.MINN</t>
  </si>
  <si>
    <t>PRINLPCE644851</t>
  </si>
  <si>
    <t>644851</t>
  </si>
  <si>
    <t>LAPIZ CERA TWIST SET 12COL.PRIN</t>
  </si>
  <si>
    <t>TRISCLIP664729</t>
  </si>
  <si>
    <t>TRISCLIP667928</t>
  </si>
  <si>
    <t>667928</t>
  </si>
  <si>
    <t>CLIP BULLDOG METALICO 25MM COLORES DISPLAY 48 UNIDADES</t>
  </si>
  <si>
    <t>TRISCLIP602806</t>
  </si>
  <si>
    <t>602806</t>
  </si>
  <si>
    <t>CLIP BULLDOG METALICO 19MM PASTEL DISPLAY 40 UNIDADES</t>
  </si>
  <si>
    <t>TRISCLIP602820</t>
  </si>
  <si>
    <t>602820</t>
  </si>
  <si>
    <t>CLIP BULLDOG METALICO 32MM PASTEL DISPLAY 24 UNIDADES</t>
  </si>
  <si>
    <t>TRISLAPC684062</t>
  </si>
  <si>
    <t>684062</t>
  </si>
  <si>
    <t>LAPICES DE COLOR MEGA SOFT 60 COLORES 02METAL +SACAPUNTAS</t>
  </si>
  <si>
    <t>TRISLAPC682327</t>
  </si>
  <si>
    <t>682327</t>
  </si>
  <si>
    <t>LAPICES DE COLOR MEGA SOFT 12 COLORES ESTUCHE METAL</t>
  </si>
  <si>
    <t>ESTUCHE METAL</t>
  </si>
  <si>
    <t>TRISLAPC682037</t>
  </si>
  <si>
    <t>682037</t>
  </si>
  <si>
    <t>LAPICES DE COLOR MEGA ACUARELABLE 24 COLORES +PINC+SACAPUNTA</t>
  </si>
  <si>
    <t>TRISLAPC687841</t>
  </si>
  <si>
    <t>687841</t>
  </si>
  <si>
    <t>LAPICES DE COLOR MEGA SOFT TONOS PASTEL 12 COLORES</t>
  </si>
  <si>
    <t>TONOS PASTEL</t>
  </si>
  <si>
    <t>TRISLAPC687735</t>
  </si>
  <si>
    <t>687735</t>
  </si>
  <si>
    <t>LAPICES DE COLOR MEGA SOFT TONOS PIEL 12 COLORES</t>
  </si>
  <si>
    <t>TONOS PIEL</t>
  </si>
  <si>
    <t>TRISLAPC687711</t>
  </si>
  <si>
    <t>687711</t>
  </si>
  <si>
    <t>LAP. COLOR ARCOIRIS JUMBO DSP 24 UN TRIS</t>
  </si>
  <si>
    <t>ARCOIRIS</t>
  </si>
  <si>
    <t>TRISLAPC682341</t>
  </si>
  <si>
    <t>682341</t>
  </si>
  <si>
    <t>LAPICES DE COLOR MEGA SOFT 12 COLORES JUMBO +SACAPUNTAS</t>
  </si>
  <si>
    <t>TRISLAPC682334</t>
  </si>
  <si>
    <t>682334</t>
  </si>
  <si>
    <t>LAPICES DE COLOR MEGA SOFT 24 COLORES DOBLES +1NEON+SACAPUNT</t>
  </si>
  <si>
    <t>JUDYLAPC654348</t>
  </si>
  <si>
    <t>654348</t>
  </si>
  <si>
    <t>LAP. COLOR 12 COLORES JUDY BRZ</t>
  </si>
  <si>
    <t>JUDY</t>
  </si>
  <si>
    <t>MOANLAPC683942</t>
  </si>
  <si>
    <t>683942</t>
  </si>
  <si>
    <t>LAP. COLOR 12 COLORES MOANA BRZ</t>
  </si>
  <si>
    <t>TRISLAPC635088</t>
  </si>
  <si>
    <t>635088</t>
  </si>
  <si>
    <t>LAP.COLOR ACUARELABLE 12 COL. +PINCEL TRIS</t>
  </si>
  <si>
    <t>TRISLAPC636283</t>
  </si>
  <si>
    <t>636283</t>
  </si>
  <si>
    <t>LAP.COLOR ACUARELABLE 24 COL. +PINCEL TRIS</t>
  </si>
  <si>
    <t>TRISLAPC633664</t>
  </si>
  <si>
    <t>633664</t>
  </si>
  <si>
    <t>LAP.COLOR DOBLES TWIST SET 24COL.TRIS</t>
  </si>
  <si>
    <t>TRISLAPC676227</t>
  </si>
  <si>
    <t>676227</t>
  </si>
  <si>
    <t>LAP.COLOR GR.125 MM TRIS</t>
  </si>
  <si>
    <t>TRISLAPC635163</t>
  </si>
  <si>
    <t>635163</t>
  </si>
  <si>
    <t>LAP.COLOR METALICOS SET 12 COL. TRIS</t>
  </si>
  <si>
    <t>HOTWLAPC643915</t>
  </si>
  <si>
    <t>643915</t>
  </si>
  <si>
    <t>LAP.COLOR HOTW</t>
  </si>
  <si>
    <t>BARBLAPC643557</t>
  </si>
  <si>
    <t>643557</t>
  </si>
  <si>
    <t>LAP.COLOR BARBIE PETS</t>
  </si>
  <si>
    <t>FROZLAPC678832</t>
  </si>
  <si>
    <t>678832</t>
  </si>
  <si>
    <t>LAP. COLOR FROZEN</t>
  </si>
  <si>
    <t>FROZLAPC679143</t>
  </si>
  <si>
    <t>679143</t>
  </si>
  <si>
    <t>SIMPLAPC672809</t>
  </si>
  <si>
    <t>672809</t>
  </si>
  <si>
    <t>LAP. COLOR SIMPSON</t>
  </si>
  <si>
    <t>SPIDLAPC644240</t>
  </si>
  <si>
    <t>644240</t>
  </si>
  <si>
    <t>LAP.COLOR</t>
  </si>
  <si>
    <t>BARBLAPC657707</t>
  </si>
  <si>
    <t>657707</t>
  </si>
  <si>
    <t>PLANLAPC670539</t>
  </si>
  <si>
    <t>670539</t>
  </si>
  <si>
    <t>LAP.COLOR + SACAP. PLANES</t>
  </si>
  <si>
    <t>MUNILAPC670287</t>
  </si>
  <si>
    <t>670287</t>
  </si>
  <si>
    <t>LAP.COLOR 12 COL.DOBLE M.UNIV</t>
  </si>
  <si>
    <t>ANGRSSET670911</t>
  </si>
  <si>
    <t>670911</t>
  </si>
  <si>
    <t>LAP.COLOR ANGRY BIRDS</t>
  </si>
  <si>
    <t>AVENLAPC671284</t>
  </si>
  <si>
    <t>671284</t>
  </si>
  <si>
    <t>LAP.COLOR AV</t>
  </si>
  <si>
    <t>BARBLAPC675848</t>
  </si>
  <si>
    <t>675848</t>
  </si>
  <si>
    <t>LAP.COLOR BARBIE +2</t>
  </si>
  <si>
    <t>CARSLAPC627601</t>
  </si>
  <si>
    <t>627601</t>
  </si>
  <si>
    <t>LAP.COLOR CARS</t>
  </si>
  <si>
    <t>POLLLAPC645353</t>
  </si>
  <si>
    <t>645353</t>
  </si>
  <si>
    <t>LAP.COLOR DOBLE SET 24 COL. POLL</t>
  </si>
  <si>
    <t>HADALAPC627861</t>
  </si>
  <si>
    <t>627861</t>
  </si>
  <si>
    <t>LAP.COLOR HADAS</t>
  </si>
  <si>
    <t>MARILAPC623337</t>
  </si>
  <si>
    <t>623337</t>
  </si>
  <si>
    <t>LAP.COLOR MARIE</t>
  </si>
  <si>
    <t>MAXSLAPC638577</t>
  </si>
  <si>
    <t>638577</t>
  </si>
  <si>
    <t>LAP.COLOR MAXS</t>
  </si>
  <si>
    <t>MINNLAPC638911</t>
  </si>
  <si>
    <t>638911</t>
  </si>
  <si>
    <t>LAP.COLOR MINNIE</t>
  </si>
  <si>
    <t>MINNLAPC662633</t>
  </si>
  <si>
    <t>662633</t>
  </si>
  <si>
    <t>LAP.COLOR MINNIE B.</t>
  </si>
  <si>
    <t>MONSLAPC663456</t>
  </si>
  <si>
    <t>663456</t>
  </si>
  <si>
    <t>LAP.COLOR MONSTER HIGH</t>
  </si>
  <si>
    <t>PRINLAPC654232</t>
  </si>
  <si>
    <t>654232</t>
  </si>
  <si>
    <t>LAP.COLOR PRIN</t>
  </si>
  <si>
    <t>SPIDLAPC662848</t>
  </si>
  <si>
    <t>662848</t>
  </si>
  <si>
    <t>LAP.COLOR SPIDER A.</t>
  </si>
  <si>
    <t>TOYSLAPC637501</t>
  </si>
  <si>
    <t>637501</t>
  </si>
  <si>
    <t>LAP.COLOR TOYS</t>
  </si>
  <si>
    <t>PRINLAPC637037</t>
  </si>
  <si>
    <t>637037</t>
  </si>
  <si>
    <t>LAP.COLORES JUMBO TRIANG.12 UN PRINCESAS</t>
  </si>
  <si>
    <t>HADALAPC635293</t>
  </si>
  <si>
    <t>635293</t>
  </si>
  <si>
    <t>LAPICES DE COLORES 12 UN HADAS</t>
  </si>
  <si>
    <t>PRINLAPC680439</t>
  </si>
  <si>
    <t>680439</t>
  </si>
  <si>
    <t>AVENLAPC680644</t>
  </si>
  <si>
    <t>680644</t>
  </si>
  <si>
    <t>PRINLAPC676296</t>
  </si>
  <si>
    <t>676296</t>
  </si>
  <si>
    <t>ZZ. NO USAR. LAP. COLOR PRINCESAS</t>
  </si>
  <si>
    <t>FROZLAPC684987</t>
  </si>
  <si>
    <t>684987</t>
  </si>
  <si>
    <t>ZZ. NO USAR. LAP.COLOR FROZ BRZ</t>
  </si>
  <si>
    <t>MINNSSET678047</t>
  </si>
  <si>
    <t>678047P</t>
  </si>
  <si>
    <t>ZZ. NO USAR. MECH SET 3PZAS. MINN</t>
  </si>
  <si>
    <t>TRISCOMP629032</t>
  </si>
  <si>
    <t>629032</t>
  </si>
  <si>
    <t>COMPAS SU185 CAJA ACRILICA 1 UNIDAD</t>
  </si>
  <si>
    <t>COMPAS</t>
  </si>
  <si>
    <t>TRISCOMP607900</t>
  </si>
  <si>
    <t>607900</t>
  </si>
  <si>
    <t>COMPAS SU123 ESCOLAR 1 UNIDAD</t>
  </si>
  <si>
    <t>TRISCOMP603322</t>
  </si>
  <si>
    <t>603322</t>
  </si>
  <si>
    <t>COMPAS ESCOLAR CON TIRALINEAS SU-048 TRIS</t>
  </si>
  <si>
    <t>TRISCOMP676531</t>
  </si>
  <si>
    <t>676531</t>
  </si>
  <si>
    <t>COMPAS SU189 1UN TRIS BRZ</t>
  </si>
  <si>
    <t>TRISCOMP659084</t>
  </si>
  <si>
    <t>659084</t>
  </si>
  <si>
    <t>COMPAS TECNICO CON TIRALINEAS SU-604 TRIS</t>
  </si>
  <si>
    <t>TRISNAVI671247</t>
  </si>
  <si>
    <t>671247</t>
  </si>
  <si>
    <t>PACK MESA NAVIDEÑA 56 PIEZAS - MANTEL, SERVILLETA, CONFETTI</t>
  </si>
  <si>
    <t>TRISNAVI671221</t>
  </si>
  <si>
    <t>671221</t>
  </si>
  <si>
    <t>PLATO 18cms 2 SET DE 8 und C/U - descartables</t>
  </si>
  <si>
    <t>TRISNAVI830898</t>
  </si>
  <si>
    <t>830898</t>
  </si>
  <si>
    <t>CUBIERTO SURTIDO COLORES 18 UND</t>
  </si>
  <si>
    <t>TRISNAVI671211</t>
  </si>
  <si>
    <t>671211</t>
  </si>
  <si>
    <t>MONDADIENTES PLASTICO DISENO ESTRELLA 200 UND</t>
  </si>
  <si>
    <t>TRISNAVI671212</t>
  </si>
  <si>
    <t>671212</t>
  </si>
  <si>
    <t>CONFETTI COLORES PAPEL METALIZADO</t>
  </si>
  <si>
    <t>TRISNAVI671213</t>
  </si>
  <si>
    <t>671213</t>
  </si>
  <si>
    <t>MANTEL PLASTICO ROJO 137x274 cm</t>
  </si>
  <si>
    <t>TRISNAVI671214</t>
  </si>
  <si>
    <t>671214</t>
  </si>
  <si>
    <t>MANTEL PLASTICO VERDE ESMERALDA 137x274 cm</t>
  </si>
  <si>
    <t>TRISNAVI671233</t>
  </si>
  <si>
    <t>671233</t>
  </si>
  <si>
    <t>SERVILETAS NAVIDAD DISEÑOS</t>
  </si>
  <si>
    <t>TRISNAVI626341</t>
  </si>
  <si>
    <t>626341</t>
  </si>
  <si>
    <t>CONFETTI METÁLICO NAVIDAD</t>
  </si>
  <si>
    <t>TRISNAVI671241</t>
  </si>
  <si>
    <t>671241</t>
  </si>
  <si>
    <t>Set fiesta desechable 82 pzas - 16 pers-color verderojo</t>
  </si>
  <si>
    <t>TRISNAVI671411</t>
  </si>
  <si>
    <t>671411</t>
  </si>
  <si>
    <t>SET COMIDA NAVIDAD 16 pers. DESCARTABLE - 82 pzas-verde/rojo</t>
  </si>
  <si>
    <t>TRISNAVI674047</t>
  </si>
  <si>
    <t>674047</t>
  </si>
  <si>
    <t>PLATO NAVIDAD DISEÑO ÁRBOL 18 CMS - 8 UND - DESCARTABLE</t>
  </si>
  <si>
    <t>TRISNAVI671234</t>
  </si>
  <si>
    <t>671234</t>
  </si>
  <si>
    <t>SERVILLETAS LISAS COLORES</t>
  </si>
  <si>
    <t>TRISNAVI671402</t>
  </si>
  <si>
    <t>671402</t>
  </si>
  <si>
    <t>SET COMIDA NAVIDAD 24 PERS. DESCARTABLE  110 PZAS</t>
  </si>
  <si>
    <t>TRISCORC665900</t>
  </si>
  <si>
    <t>665900</t>
  </si>
  <si>
    <t>CORCHETERA 26/6 T304 6.8CM 12HJS BCO/NEG 1 UNIDAD</t>
  </si>
  <si>
    <t>TRISCORC665160</t>
  </si>
  <si>
    <t>665160</t>
  </si>
  <si>
    <t>CORCHETERA METALICA T329 26/6 TIPO ALICATE 20HJS 1 UNIDAD</t>
  </si>
  <si>
    <t>METALICAS</t>
  </si>
  <si>
    <t>TRISCORC677361</t>
  </si>
  <si>
    <t>677361</t>
  </si>
  <si>
    <t>CORCHETERA METALICA 26/6 T314S BLACK 40HJS 1 UNIDAD</t>
  </si>
  <si>
    <t>TRISCORC665252</t>
  </si>
  <si>
    <t>665252</t>
  </si>
  <si>
    <t>CORCHETERA METALICA T100 26/6-13 BLACK HDUTY 1OOHJS 1 UNIDAD</t>
  </si>
  <si>
    <t>TRISCORC686554</t>
  </si>
  <si>
    <t>686554</t>
  </si>
  <si>
    <t>CORCHETERA METALICA T900 106.8 PROFESIONALESIONAL 1 UNIDAD</t>
  </si>
  <si>
    <t>UFFICORC615998</t>
  </si>
  <si>
    <t>615998</t>
  </si>
  <si>
    <t>CORCHETERA G325 (26/6) NEGRO UFIZZI</t>
  </si>
  <si>
    <t>TRISCORC620183</t>
  </si>
  <si>
    <t>620183</t>
  </si>
  <si>
    <t>CORCHETERA TRIS 26/6 DSP.12 UN MINI</t>
  </si>
  <si>
    <t>UFFICORC616018</t>
  </si>
  <si>
    <t>616018</t>
  </si>
  <si>
    <t>CORCHETERA UFFIZI G316 (26/6) NEGRO UN</t>
  </si>
  <si>
    <t>UFFICORC634432</t>
  </si>
  <si>
    <t>634432</t>
  </si>
  <si>
    <t>CORCHETERA UFFIZI G323 BLANCO</t>
  </si>
  <si>
    <t>TRISCORC648729</t>
  </si>
  <si>
    <t>648729</t>
  </si>
  <si>
    <t>KIT CORCHETERA + 500 UN CORCHETES</t>
  </si>
  <si>
    <t>TRISCORC665306</t>
  </si>
  <si>
    <t>665306</t>
  </si>
  <si>
    <t>CORCHETES 26/6 PLATEADO CAJA 1000 UNIDADES</t>
  </si>
  <si>
    <t>TRISCTES665283</t>
  </si>
  <si>
    <t>665283</t>
  </si>
  <si>
    <t>CORCHETES  26/6 5000 UNIDADES</t>
  </si>
  <si>
    <t>UFFICTES616216</t>
  </si>
  <si>
    <t>616216</t>
  </si>
  <si>
    <t>CORCHETE UFFIZI 26/6 C/1000 UN</t>
  </si>
  <si>
    <t>UFFICTES616230</t>
  </si>
  <si>
    <t>616230</t>
  </si>
  <si>
    <t>CORCHETE UFFIZI 26/6 CJA.5000 UN</t>
  </si>
  <si>
    <t>TRISCORR687025</t>
  </si>
  <si>
    <t>TRISCINT668109</t>
  </si>
  <si>
    <t>668109</t>
  </si>
  <si>
    <t>CORRECTOR CINTA T025 8MX5MM BLISTER 1 UNIDAD</t>
  </si>
  <si>
    <t>TRISCORR685472</t>
  </si>
  <si>
    <t>685472</t>
  </si>
  <si>
    <t>CORRECTOR CINTA T006 6MT BLISTER 1 UNIDAD</t>
  </si>
  <si>
    <t>TRISCORR685496</t>
  </si>
  <si>
    <t>685496</t>
  </si>
  <si>
    <t>CORRECTOR CINTA T012 12MT BLS 1 UN TRIS</t>
  </si>
  <si>
    <t>TRISCORR655444</t>
  </si>
  <si>
    <t>655444</t>
  </si>
  <si>
    <t>LAPIZ CORRECTOR TRIS</t>
  </si>
  <si>
    <t>MARICINT631851</t>
  </si>
  <si>
    <t>631851</t>
  </si>
  <si>
    <t>CINTA CORRECTORA MARIE</t>
  </si>
  <si>
    <t>BARBCORR690612</t>
  </si>
  <si>
    <t>690612</t>
  </si>
  <si>
    <t>LAPIZ CORRECTOR BARBIE</t>
  </si>
  <si>
    <t>HADACORR690599</t>
  </si>
  <si>
    <t>690599</t>
  </si>
  <si>
    <t>LAPIZ CORRECTOR HADA.</t>
  </si>
  <si>
    <t>HOTWCORR690605</t>
  </si>
  <si>
    <t>690605</t>
  </si>
  <si>
    <t>LAPIZ CORRECTOR HOTW.</t>
  </si>
  <si>
    <t>MARICORR690582</t>
  </si>
  <si>
    <t>690582</t>
  </si>
  <si>
    <t>LAPIZ CORRECTOR MARIE</t>
  </si>
  <si>
    <t>MONSCORR690568</t>
  </si>
  <si>
    <t>690568</t>
  </si>
  <si>
    <t>LAPIZ CORRECTOR MONSTER</t>
  </si>
  <si>
    <t>PRINCORR690988</t>
  </si>
  <si>
    <t>690988</t>
  </si>
  <si>
    <t>LAPIZ CORRECTOR PRINCESAS</t>
  </si>
  <si>
    <t>SPIDCORR690575</t>
  </si>
  <si>
    <t>690575</t>
  </si>
  <si>
    <t>LAPIZ CORRECTOR SPIDER</t>
  </si>
  <si>
    <t>BARBSSET658810</t>
  </si>
  <si>
    <t>658810</t>
  </si>
  <si>
    <t>CRAFT SET BLS 7 PCS BARB</t>
  </si>
  <si>
    <t>CRAFT SET</t>
  </si>
  <si>
    <t>CARSSSET637167</t>
  </si>
  <si>
    <t>637167</t>
  </si>
  <si>
    <t>CRAFT SET BLS 7 PCS CARS</t>
  </si>
  <si>
    <t>PRINSSET676340</t>
  </si>
  <si>
    <t>676340</t>
  </si>
  <si>
    <t>CRAFT SET BLS 7 PCS PRIN</t>
  </si>
  <si>
    <t>TRISCUAD691831</t>
  </si>
  <si>
    <t>691831</t>
  </si>
  <si>
    <t>CUADERNO UNIVERSITARIO 100 HJS PROARTE 1 UND</t>
  </si>
  <si>
    <t>UNIVERSITARIOS</t>
  </si>
  <si>
    <t>TRISCUAD691848</t>
  </si>
  <si>
    <t>691848</t>
  </si>
  <si>
    <t>CUADERNO UNIVERSITARIO 100 HJS ROSS 1 UND</t>
  </si>
  <si>
    <t>TRISCUAD673670</t>
  </si>
  <si>
    <t>673670</t>
  </si>
  <si>
    <t>CUADERNO UNIVERSITARIO 100 HJS DISENO WOODSTOCK PACK 10 UND</t>
  </si>
  <si>
    <t>TRISPACK691626</t>
  </si>
  <si>
    <t>691626</t>
  </si>
  <si>
    <t>PACK 1 SOLUCION CUADERNOS</t>
  </si>
  <si>
    <t>TRISPACK691633</t>
  </si>
  <si>
    <t>691633</t>
  </si>
  <si>
    <t>PACK 2 SOLUCION CUADERNOS</t>
  </si>
  <si>
    <t>TRISPACK691640</t>
  </si>
  <si>
    <t>691640</t>
  </si>
  <si>
    <t>PACK 3 SOLUCION CUADERNOS</t>
  </si>
  <si>
    <t>TRISPACK691657</t>
  </si>
  <si>
    <t>691657</t>
  </si>
  <si>
    <t>PACK 4 SOLUCION CUADERNOS</t>
  </si>
  <si>
    <t>TRISPACK691664</t>
  </si>
  <si>
    <t>691664</t>
  </si>
  <si>
    <t>PACK 5 SOLUCION CUADERNOS</t>
  </si>
  <si>
    <t>HADASSET673707</t>
  </si>
  <si>
    <t>673707</t>
  </si>
  <si>
    <t>CUBO HADAS</t>
  </si>
  <si>
    <t>CUBOS</t>
  </si>
  <si>
    <t>MARISSET650050</t>
  </si>
  <si>
    <t>650050</t>
  </si>
  <si>
    <t>CUBO MARIE</t>
  </si>
  <si>
    <t>MINNSSET673714</t>
  </si>
  <si>
    <t>673714</t>
  </si>
  <si>
    <t>CUBO MINNIE</t>
  </si>
  <si>
    <t>PRINSSET673721</t>
  </si>
  <si>
    <t>673721</t>
  </si>
  <si>
    <t>CUBO PRINCESAS</t>
  </si>
  <si>
    <t>TRISDEST627076</t>
  </si>
  <si>
    <t>627076</t>
  </si>
  <si>
    <t>DESTACADOR FLASH SET 4 COLORES</t>
  </si>
  <si>
    <t>TRISDEST605630</t>
  </si>
  <si>
    <t>605630</t>
  </si>
  <si>
    <t>DESTACADOR LIQEO PASTEL COLOR AMARILLO 1 UN TRIS</t>
  </si>
  <si>
    <t>TRISDEST605661</t>
  </si>
  <si>
    <t>605661</t>
  </si>
  <si>
    <t>DESTACADOR LIQEO PASTEL COLOR NARANJO 1 UN TRIS</t>
  </si>
  <si>
    <t>TRISDEST627083</t>
  </si>
  <si>
    <t>627083</t>
  </si>
  <si>
    <t>DESTACADOR FLASH 4 COLORES DISPLAY 12 UNIDADES</t>
  </si>
  <si>
    <t>TRISDEST685083</t>
  </si>
  <si>
    <t>685083</t>
  </si>
  <si>
    <t>TRISDEST672533</t>
  </si>
  <si>
    <t>672533</t>
  </si>
  <si>
    <t>DESTACADOR TRIS GEL TWIST</t>
  </si>
  <si>
    <t>TRISDEST633916</t>
  </si>
  <si>
    <t>633916</t>
  </si>
  <si>
    <t>DESTACADOR TRIS MINI   DSP.12 UN EST.6 COL</t>
  </si>
  <si>
    <t>TRISSSET674186</t>
  </si>
  <si>
    <t>674186</t>
  </si>
  <si>
    <t>ART AND CRAFT SURTIDOS TRIS</t>
  </si>
  <si>
    <t>TRISSSET679112</t>
  </si>
  <si>
    <t>679112</t>
  </si>
  <si>
    <t>DISENA TU CUADRO DE STICKERS TRIS</t>
  </si>
  <si>
    <t>TRISSSET679105</t>
  </si>
  <si>
    <t>679105</t>
  </si>
  <si>
    <t>DISENA TU CUP CAKE ARTISTICO TRIS</t>
  </si>
  <si>
    <t>TRISSSET671222</t>
  </si>
  <si>
    <t>671222</t>
  </si>
  <si>
    <t>DISENA TU PESCADITO DE SEDA TRIS</t>
  </si>
  <si>
    <t>TRISSSET679075</t>
  </si>
  <si>
    <t>679075</t>
  </si>
  <si>
    <t>DISENA TU ROMPECABEZAS PATITO DUCK</t>
  </si>
  <si>
    <t>TRISSSET679068</t>
  </si>
  <si>
    <t>679068</t>
  </si>
  <si>
    <t>DISENA TU ROMPECABEZAS UNICORNIO MAGICO TRIS</t>
  </si>
  <si>
    <t>TRISSSET678108</t>
  </si>
  <si>
    <t>678108</t>
  </si>
  <si>
    <t>DISEÑA Y DIVIERTETE CON TRIS</t>
  </si>
  <si>
    <t>COLOREA</t>
  </si>
  <si>
    <t>TOYSBOLI673288</t>
  </si>
  <si>
    <t>673288</t>
  </si>
  <si>
    <t>CRAYONES + BLOCK DE DIBUJO FISHER PRICE</t>
  </si>
  <si>
    <t>TRISPOLYT00002</t>
  </si>
  <si>
    <t>T00002</t>
  </si>
  <si>
    <t>BOLSA TRIS T02</t>
  </si>
  <si>
    <t>TRISPOLYT00003</t>
  </si>
  <si>
    <t>T00003</t>
  </si>
  <si>
    <t>BOLSA TRIS T03</t>
  </si>
  <si>
    <t>TRISPOLYT00004</t>
  </si>
  <si>
    <t>T00004</t>
  </si>
  <si>
    <t>BOLSA TRIS T04</t>
  </si>
  <si>
    <t>TRISPOLYT00007</t>
  </si>
  <si>
    <t>T00007</t>
  </si>
  <si>
    <t>BOLSA TRIS T07</t>
  </si>
  <si>
    <t>TRISPOLYT00009</t>
  </si>
  <si>
    <t>T00009</t>
  </si>
  <si>
    <t>BOLSA TRIS T09</t>
  </si>
  <si>
    <t>TRISCAJA000001</t>
  </si>
  <si>
    <t>1</t>
  </si>
  <si>
    <t>CAJAS EMPAQUE PRODUCTOS TRIS</t>
  </si>
  <si>
    <t>TRISEMBA691091</t>
  </si>
  <si>
    <t>ESQUINEROS</t>
  </si>
  <si>
    <t>STARSSET674193</t>
  </si>
  <si>
    <t>674193</t>
  </si>
  <si>
    <t>ESTUCHE FORMA LAPIZ CON ACC STARW</t>
  </si>
  <si>
    <t>ESTUCHES</t>
  </si>
  <si>
    <t>RIO2ESTU672731</t>
  </si>
  <si>
    <t>672731</t>
  </si>
  <si>
    <t>ESTUCHE LARGE</t>
  </si>
  <si>
    <t>RIO2ESTU672748</t>
  </si>
  <si>
    <t>672748</t>
  </si>
  <si>
    <t>ESTUCHE MEDIUM</t>
  </si>
  <si>
    <t>RIO2ESTU672830</t>
  </si>
  <si>
    <t>672830</t>
  </si>
  <si>
    <t>ESTUCHE REDONDO NIÑO/NIÑA</t>
  </si>
  <si>
    <t>RIO2ESTU674100</t>
  </si>
  <si>
    <t>674100</t>
  </si>
  <si>
    <t>ESTUCHES VARIEDAD DISEÑOS RIO</t>
  </si>
  <si>
    <t>RIO2ESTU667089</t>
  </si>
  <si>
    <t>667089</t>
  </si>
  <si>
    <t>PVC CASE RIO</t>
  </si>
  <si>
    <t>SPIDSSET673769</t>
  </si>
  <si>
    <t>673769</t>
  </si>
  <si>
    <t>PVC CASE SPIDERMAN SPIDER</t>
  </si>
  <si>
    <t>ANGRSSET671208</t>
  </si>
  <si>
    <t>671208</t>
  </si>
  <si>
    <t>PVC CASE STATIONERY ANGRY BIRDS</t>
  </si>
  <si>
    <t>AVENSSET671352</t>
  </si>
  <si>
    <t>671352</t>
  </si>
  <si>
    <t>PVC CASE STATIONERY AVENGERS</t>
  </si>
  <si>
    <t>AVENSSET668260</t>
  </si>
  <si>
    <t>668260</t>
  </si>
  <si>
    <t>SET STATIONERY ESTUCHE AVENGERS</t>
  </si>
  <si>
    <t>SPIDBOLI672823</t>
  </si>
  <si>
    <t>672823</t>
  </si>
  <si>
    <t>SET STATIONERY ESTUCHE SPIDER</t>
  </si>
  <si>
    <t>AVENSSET669489</t>
  </si>
  <si>
    <t>669489</t>
  </si>
  <si>
    <t>SET STATIONERY METAL AVENGERS</t>
  </si>
  <si>
    <t>BARBSSET669458</t>
  </si>
  <si>
    <t>669458</t>
  </si>
  <si>
    <t>SET STATIONERY METAL BARBIE</t>
  </si>
  <si>
    <t>HADASSET669465</t>
  </si>
  <si>
    <t>669465</t>
  </si>
  <si>
    <t>SET STATIONERY METAL HADAS</t>
  </si>
  <si>
    <t>SPIDSSET669472</t>
  </si>
  <si>
    <t>669472</t>
  </si>
  <si>
    <t>SET STATIONERY METAL SPID</t>
  </si>
  <si>
    <t>STARSSET682686</t>
  </si>
  <si>
    <t>682686</t>
  </si>
  <si>
    <t>SET STATIONERY METAL STAR WARS</t>
  </si>
  <si>
    <t>HOTWSSET653990</t>
  </si>
  <si>
    <t>653990</t>
  </si>
  <si>
    <t>SPEED SET HOT WHEELS</t>
  </si>
  <si>
    <t>TRISEMBA692272</t>
  </si>
  <si>
    <t>ETIQUETAS</t>
  </si>
  <si>
    <t>TRISEXHI777777</t>
  </si>
  <si>
    <t>777777</t>
  </si>
  <si>
    <t>EXHIBIDOR  (DESECHABLE)</t>
  </si>
  <si>
    <t>TRISEXHIEX0056</t>
  </si>
  <si>
    <t>EX0056</t>
  </si>
  <si>
    <t>EXHIBIDOR ACRILICO SOBREMESA</t>
  </si>
  <si>
    <t>TRISEXHI888888</t>
  </si>
  <si>
    <t>888888</t>
  </si>
  <si>
    <t>PDQ NIÑO TRIS  2050001339034</t>
  </si>
  <si>
    <t>PRINEXHI333333</t>
  </si>
  <si>
    <t>333333</t>
  </si>
  <si>
    <t>EXHIBIDOR DOBLE PRINCESAS</t>
  </si>
  <si>
    <t>TOYSEXHI444444</t>
  </si>
  <si>
    <t>444444</t>
  </si>
  <si>
    <t>EXHIBIDOR DOBLE TOY STORY</t>
  </si>
  <si>
    <t>HADAEXHI555555</t>
  </si>
  <si>
    <t>555555</t>
  </si>
  <si>
    <t>EXHIBIDOR LARGO CON GANCHERAS - HADAS</t>
  </si>
  <si>
    <t>MARIEXHI111111</t>
  </si>
  <si>
    <t>111111</t>
  </si>
  <si>
    <t>RETIRO DEVOLUCION CLIENTE - UNIDADES POR DETERMINAR</t>
  </si>
  <si>
    <t>TRISGOMA681092</t>
  </si>
  <si>
    <t>681092</t>
  </si>
  <si>
    <t>GOMA DE BORRAR C/PORTAGOMA FIT DISPLAY 24 UNIDADES</t>
  </si>
  <si>
    <t>GRIP</t>
  </si>
  <si>
    <t>TRISGOMA683782</t>
  </si>
  <si>
    <t>683782</t>
  </si>
  <si>
    <t>GOMA DE BORRAR COLOR DRIVE POTE 18 UN TRIS</t>
  </si>
  <si>
    <t>TRISGOMA676449</t>
  </si>
  <si>
    <t>676449</t>
  </si>
  <si>
    <t>GOMA DE BORRAR N60 BASIC DSP 6O UN TRIS</t>
  </si>
  <si>
    <t>TRISGOMA686417</t>
  </si>
  <si>
    <t>686417</t>
  </si>
  <si>
    <t>GOMA DE BORAR SPACE DSP 24 UN TRIS</t>
  </si>
  <si>
    <t>TRISGOMA687780</t>
  </si>
  <si>
    <t>687780</t>
  </si>
  <si>
    <t>GOMA DE BORRAR COLORS DSP 24 UN TRIS</t>
  </si>
  <si>
    <t>TRISGOMA664316</t>
  </si>
  <si>
    <t>664316</t>
  </si>
  <si>
    <t>GOMA DE BORRAR CUTE FRIEND 2UN DSP 18 UN  TRIS</t>
  </si>
  <si>
    <t>TRISGOMA659718</t>
  </si>
  <si>
    <t>659718</t>
  </si>
  <si>
    <t>GOMA DE BORRAR FLEX DSP.24UN TRIS</t>
  </si>
  <si>
    <t>TRISGOMA622767</t>
  </si>
  <si>
    <t>622767</t>
  </si>
  <si>
    <t>GOMA DE BORRAR HAPPY DSP.24UN TRIS</t>
  </si>
  <si>
    <t>TRISGOMA648637</t>
  </si>
  <si>
    <t>648637</t>
  </si>
  <si>
    <t>GOMA DE BORRAR PENDRIVE DSP.18UN TRIS</t>
  </si>
  <si>
    <t>TRISGOMA687803</t>
  </si>
  <si>
    <t>687803</t>
  </si>
  <si>
    <t>GOMA DE BORRAR POP COLORS DSP 24 UN TRIS</t>
  </si>
  <si>
    <t>TRISGOMA607351</t>
  </si>
  <si>
    <t>607351</t>
  </si>
  <si>
    <t>GOMA DE BORRAR REPUESTO LAP.GOMA DSP.50 UN</t>
  </si>
  <si>
    <t>TRISGOMA649955</t>
  </si>
  <si>
    <t>649955</t>
  </si>
  <si>
    <t>GOMA DE BORRAR SET 2 UN FIT FLOR</t>
  </si>
  <si>
    <t>TRISGOMA649979</t>
  </si>
  <si>
    <t>649979</t>
  </si>
  <si>
    <t>GOMA DE BORRAR SET 2 UN FORM</t>
  </si>
  <si>
    <t>TRISGOMA687810</t>
  </si>
  <si>
    <t>687810</t>
  </si>
  <si>
    <t>GOMA DE BORRAR TRIS COLLECTION GALAXY DSP 24 UN</t>
  </si>
  <si>
    <t>TRISGOMA607344</t>
  </si>
  <si>
    <t>607344</t>
  </si>
  <si>
    <t>LAPIZ GOMA DSP.36UN TRIS</t>
  </si>
  <si>
    <t>BARBGOMA643656</t>
  </si>
  <si>
    <t>643656</t>
  </si>
  <si>
    <t>GOMA DE BORRAR DSP.24UN BARB</t>
  </si>
  <si>
    <t>CARSGOMA627670</t>
  </si>
  <si>
    <t>627670</t>
  </si>
  <si>
    <t>GOMA DE BORRAR DSP.24UN CARS</t>
  </si>
  <si>
    <t>FROZGOMA679181</t>
  </si>
  <si>
    <t>679181</t>
  </si>
  <si>
    <t>GOMA DE BORRAR DSP.24UN FROZ</t>
  </si>
  <si>
    <t>HADAGOMA627939</t>
  </si>
  <si>
    <t>627939</t>
  </si>
  <si>
    <t>GOMA DE BORRAR DSP.24UN HADA</t>
  </si>
  <si>
    <t>HOTWGOMA644004</t>
  </si>
  <si>
    <t>644004</t>
  </si>
  <si>
    <t>GOMA DE BORRAR DSP.24UN HOTW</t>
  </si>
  <si>
    <t>MARIGOMA616728</t>
  </si>
  <si>
    <t>616728</t>
  </si>
  <si>
    <t>GOMA DE BORRAR DSP.24UN MARIE</t>
  </si>
  <si>
    <t>MAXSGOMA638409</t>
  </si>
  <si>
    <t>638409</t>
  </si>
  <si>
    <t>GOMA DE BORRAR DSP.24UN MAXS</t>
  </si>
  <si>
    <t>MINNGOMA638157</t>
  </si>
  <si>
    <t>638157</t>
  </si>
  <si>
    <t>GOMA DE BORRAR DSP.24UN MINN</t>
  </si>
  <si>
    <t>MINNGOMA662602</t>
  </si>
  <si>
    <t>662602</t>
  </si>
  <si>
    <t>GOMA DE BORRAR DSP.24UN MINN (BOUTIQUE)</t>
  </si>
  <si>
    <t>MONSGOMA663364</t>
  </si>
  <si>
    <t>663364</t>
  </si>
  <si>
    <t>GOMA DE BORRAR DSP.24UN MONS</t>
  </si>
  <si>
    <t>POLLGOMA650029</t>
  </si>
  <si>
    <t>650029</t>
  </si>
  <si>
    <t>GOMA DE BORRAR DSP.24UN POLLY</t>
  </si>
  <si>
    <t>PRINGOMA654140</t>
  </si>
  <si>
    <t>654140</t>
  </si>
  <si>
    <t>GOMA DE BORRAR DSP.24UN PRIN</t>
  </si>
  <si>
    <t>PRINGOMA670607</t>
  </si>
  <si>
    <t>670607</t>
  </si>
  <si>
    <t>TOYSGOMA638034</t>
  </si>
  <si>
    <t>638034</t>
  </si>
  <si>
    <t>GOMA DE BORRAR DSP.24UN TOYS</t>
  </si>
  <si>
    <t>BARBGOMA657684</t>
  </si>
  <si>
    <t>657684</t>
  </si>
  <si>
    <t>GOMA DE BORRAR POTE 24 UN TOP BARBIE</t>
  </si>
  <si>
    <t>STARGOMA677927</t>
  </si>
  <si>
    <t>677927</t>
  </si>
  <si>
    <t>GOMA DE BORRAR SET 3 UN</t>
  </si>
  <si>
    <t>SIMPGOMA672892</t>
  </si>
  <si>
    <t>672892</t>
  </si>
  <si>
    <t>GOMA DE BORRAR SET 3 UN SIMPSON</t>
  </si>
  <si>
    <t>BARBGOMA681917</t>
  </si>
  <si>
    <t>681917</t>
  </si>
  <si>
    <t>GOMA DE BORRAR SET DISENOS BARBIE</t>
  </si>
  <si>
    <t>MARIGOMA657486</t>
  </si>
  <si>
    <t>657486</t>
  </si>
  <si>
    <t>GOMA LAP. LABIAL DSP 20 UN MARIE</t>
  </si>
  <si>
    <t>PRINGOMA657462</t>
  </si>
  <si>
    <t>657462</t>
  </si>
  <si>
    <t>GOMA LAP. LABIAL DSP 20 UN PRINCESAS</t>
  </si>
  <si>
    <t>BARBGOMA657936</t>
  </si>
  <si>
    <t>657936</t>
  </si>
  <si>
    <t>LAPIZ GOMA + 2 RPTOS BLIS.BARBIE</t>
  </si>
  <si>
    <t>HADAGOMA632018</t>
  </si>
  <si>
    <t>632018</t>
  </si>
  <si>
    <t>LAPIZ GOMA C/AROMA DSP.12 HADAS</t>
  </si>
  <si>
    <t>MARIGOMA632575</t>
  </si>
  <si>
    <t>632575</t>
  </si>
  <si>
    <t>LAPIZ GOMA C/AROMA DSP.12 MARIE</t>
  </si>
  <si>
    <t>PRINGOMA680453</t>
  </si>
  <si>
    <t>680453</t>
  </si>
  <si>
    <t>LAPIZ GOMA+RPTO</t>
  </si>
  <si>
    <t>MONSGOMA690261</t>
  </si>
  <si>
    <t>690261</t>
  </si>
  <si>
    <t>SET 2 GOMAS MONSTER HIGH</t>
  </si>
  <si>
    <t>PRINGOMA690278</t>
  </si>
  <si>
    <t>690278</t>
  </si>
  <si>
    <t>SET 2 GOMAS PRINC</t>
  </si>
  <si>
    <t>SPIDGOMA690285</t>
  </si>
  <si>
    <t>690285</t>
  </si>
  <si>
    <t>SET 2 GOMAS SPIDER</t>
  </si>
  <si>
    <t>PRINGOMA672854</t>
  </si>
  <si>
    <t>672854</t>
  </si>
  <si>
    <t>SET 4 GOMAS BLIS. PRIN</t>
  </si>
  <si>
    <t>MINNGOMA678078</t>
  </si>
  <si>
    <t>678078</t>
  </si>
  <si>
    <t>SET GOMA DE BORRAR 3 UN MINNIE</t>
  </si>
  <si>
    <t>MUNIGOMA670331</t>
  </si>
  <si>
    <t>670331</t>
  </si>
  <si>
    <t>SET GOMAS 4 UN. MONSTER UNIV.</t>
  </si>
  <si>
    <t>SPIDSSET629711</t>
  </si>
  <si>
    <t>629711P</t>
  </si>
  <si>
    <t>ZZ. NO USAR. PRACTICAL SET SPIDERMAN</t>
  </si>
  <si>
    <t>TRISLAPG684086</t>
  </si>
  <si>
    <t>684086</t>
  </si>
  <si>
    <t>LAPIZ GRAFITO 2B S/GOMA BLS 4 UND</t>
  </si>
  <si>
    <t>TRISLAPG691855</t>
  </si>
  <si>
    <t>691855</t>
  </si>
  <si>
    <t>LAPIZ GRAFITO BASIC S/GOMA SET 12 UNIDADES</t>
  </si>
  <si>
    <t>TRISLAPG634142</t>
  </si>
  <si>
    <t>634142</t>
  </si>
  <si>
    <t>LAPIZ GRAFITO C/GOMA DISEÑO GLITTER DISPLAY 72 UNIDADES</t>
  </si>
  <si>
    <t>TRISLAPG643250</t>
  </si>
  <si>
    <t>643250</t>
  </si>
  <si>
    <t>LAPIZ GRAFITO C/GOMA NEON DISPLAY 72 UNIDADES</t>
  </si>
  <si>
    <t>TRISLAPG684079</t>
  </si>
  <si>
    <t>684079</t>
  </si>
  <si>
    <t>LAPIZ GRAFITO TECNICO GRADUACION SURTIDA 6 UN +SACAPUNTA</t>
  </si>
  <si>
    <t>TRISLAPG684147</t>
  </si>
  <si>
    <t>684147</t>
  </si>
  <si>
    <t>LAP.GRAF.2B S/GOMA REDONDO DSP 72UN TRIS</t>
  </si>
  <si>
    <t>TRISLAPG687704</t>
  </si>
  <si>
    <t>687704</t>
  </si>
  <si>
    <t>LAPIZ GRAFITO HB C/GOMA LOVE DISPLAY 24 UNIDADES</t>
  </si>
  <si>
    <t>TRISLAPG628158</t>
  </si>
  <si>
    <t>628158</t>
  </si>
  <si>
    <t>LAP.GRAF.4B TECNICO CAJA 12UN TRIS BRZ</t>
  </si>
  <si>
    <t>TRISLAPG633480</t>
  </si>
  <si>
    <t>633480</t>
  </si>
  <si>
    <t>LAP.GRAF.8B DSP 12UN TRIS</t>
  </si>
  <si>
    <t>TRISLAPG659459</t>
  </si>
  <si>
    <t>659459</t>
  </si>
  <si>
    <t>LAP.GRAF.C/DISEÑO HALLOWEEN POTE 24UN TRIS</t>
  </si>
  <si>
    <t>TRISLAPG659435</t>
  </si>
  <si>
    <t>659435</t>
  </si>
  <si>
    <t>LAP.GRAF.C/DISEÑO OSO POTE 24UN TRIS</t>
  </si>
  <si>
    <t>TRISLAPG662350</t>
  </si>
  <si>
    <t>662350</t>
  </si>
  <si>
    <t>LAP.GRAF.C/GOMA COLLECTION METAL 4UN TRIS</t>
  </si>
  <si>
    <t>TRISLAPG690896</t>
  </si>
  <si>
    <t>690896</t>
  </si>
  <si>
    <t>LAP.GRAF.HB ART 3UN TRIS</t>
  </si>
  <si>
    <t>TRISLAPG628172</t>
  </si>
  <si>
    <t>628172</t>
  </si>
  <si>
    <t>LAP.GRAF.HB ART DSP 12UN TRIS</t>
  </si>
  <si>
    <t>TRISLAPG686943</t>
  </si>
  <si>
    <t>686943</t>
  </si>
  <si>
    <t>LAP.GRAF.HB BASIC DSP 72UN TRIS</t>
  </si>
  <si>
    <t>TRISLAPG681351</t>
  </si>
  <si>
    <t>681351</t>
  </si>
  <si>
    <t>LAP.GRAF.HB C/GOMA TRIO BLIS 4UN TRIS</t>
  </si>
  <si>
    <t>TRISLAPG687698</t>
  </si>
  <si>
    <t>687698</t>
  </si>
  <si>
    <t>LAP.GRAF.HB C/GOMA TRIS COLLECTION SIGNOS POTE 72UN</t>
  </si>
  <si>
    <t>TRISLAPG687636</t>
  </si>
  <si>
    <t>687636</t>
  </si>
  <si>
    <t>LAP.GRAF.HB TRIO NEON TRIANGULAR BLS 4UN TRIS</t>
  </si>
  <si>
    <t>TRISLAPG660349</t>
  </si>
  <si>
    <t>660349</t>
  </si>
  <si>
    <t>LAP.GRAF.HB TRIS TRIO TRIANGULAR POTE 48UN</t>
  </si>
  <si>
    <t>MOANLAPG683966</t>
  </si>
  <si>
    <t>683966</t>
  </si>
  <si>
    <t>LAPICES GRAFITO BLS 4 UN MOANA BRZ</t>
  </si>
  <si>
    <t>TRISLAPG690865</t>
  </si>
  <si>
    <t>690865</t>
  </si>
  <si>
    <t>SCARY SET HALLOWEEN TRIS (3 LAPICES GRAFITO CON GOMA DISEÑO)</t>
  </si>
  <si>
    <t>BARBLAPG678955</t>
  </si>
  <si>
    <t>678955</t>
  </si>
  <si>
    <t>LAP. GRAF.C/GOMA SET 10 UN BARBIE</t>
  </si>
  <si>
    <t>SIMPLAPG673059</t>
  </si>
  <si>
    <t>673059</t>
  </si>
  <si>
    <t>LAP. GRAF.C/GOMA SET 10 UN SIMPSON</t>
  </si>
  <si>
    <t>AVENLAPG690339</t>
  </si>
  <si>
    <t>690339</t>
  </si>
  <si>
    <t>LAP. GRAF.C/GOMA SET 10UN AVENGERS</t>
  </si>
  <si>
    <t>MINNBLIS678177</t>
  </si>
  <si>
    <t>678177</t>
  </si>
  <si>
    <t>LAP. GRAF.C/GOMA SET 10UN MINNIE</t>
  </si>
  <si>
    <t>PRINLAPG678993</t>
  </si>
  <si>
    <t>678993</t>
  </si>
  <si>
    <t>LAP. GRAF.C/GOMA SET 10UN PRINCESA</t>
  </si>
  <si>
    <t>SPIDBLIS679006</t>
  </si>
  <si>
    <t>679006</t>
  </si>
  <si>
    <t>LAP. GRAF.C/GOMA SET 10UN SPIDERMAN</t>
  </si>
  <si>
    <t>STARLAPG677910</t>
  </si>
  <si>
    <t>677910</t>
  </si>
  <si>
    <t>LAP.GRAF.C/GOMA SET 10 UN STAR WARS</t>
  </si>
  <si>
    <t>FROZLAPG678849</t>
  </si>
  <si>
    <t>678849</t>
  </si>
  <si>
    <t>LAP.GRAF.C/GOMA SET 10UN FROZEN</t>
  </si>
  <si>
    <t>TOYSLAPG657332</t>
  </si>
  <si>
    <t>657332</t>
  </si>
  <si>
    <t>LAPICES GRAFITO BOLSA 15UN</t>
  </si>
  <si>
    <t>STARLAPG680248</t>
  </si>
  <si>
    <t>680248</t>
  </si>
  <si>
    <t>LAPIZ GRAF. C/GOMA BLS 4 UN STAR WARS</t>
  </si>
  <si>
    <t>FROZLAPG679228</t>
  </si>
  <si>
    <t>679228</t>
  </si>
  <si>
    <t>LAPIZ GRAF.C/GOMA BLIS.4UN</t>
  </si>
  <si>
    <t>SPIDLAPG675572</t>
  </si>
  <si>
    <t>675572</t>
  </si>
  <si>
    <t>AVENLAPG671291</t>
  </si>
  <si>
    <t>671291</t>
  </si>
  <si>
    <t>LAPIZ GRAF.C/GOMA BLIS.4UN AV</t>
  </si>
  <si>
    <t>BARBLAPG643571</t>
  </si>
  <si>
    <t>643571</t>
  </si>
  <si>
    <t>LAPIZ GRAF.C/GOMA BLIS.4UN BARB</t>
  </si>
  <si>
    <t>BARBLAPG657844</t>
  </si>
  <si>
    <t>657844</t>
  </si>
  <si>
    <t>CARSLAPG637181</t>
  </si>
  <si>
    <t>637181</t>
  </si>
  <si>
    <t>LAPIZ GRAF.C/GOMA BLIS.4UN CARS</t>
  </si>
  <si>
    <t>COLOLAPG673608</t>
  </si>
  <si>
    <t>673608</t>
  </si>
  <si>
    <t>LAPIZ GRAF.C/GOMA BLIS.4UN COLO COLO</t>
  </si>
  <si>
    <t>HADALAPG638249</t>
  </si>
  <si>
    <t>638249</t>
  </si>
  <si>
    <t>LAPIZ GRAF.C/GOMA BLIS.4UN HADA</t>
  </si>
  <si>
    <t>HOTWLAPG643939</t>
  </si>
  <si>
    <t>643939</t>
  </si>
  <si>
    <t>LAPIZ GRAF.C/GOMA BLIS.4UN HOTW</t>
  </si>
  <si>
    <t>MUNILAPG670294</t>
  </si>
  <si>
    <t>670294</t>
  </si>
  <si>
    <t>LAPIZ GRAF.C/GOMA BLIS.4UN M.UNIV</t>
  </si>
  <si>
    <t>MARILAPG636719</t>
  </si>
  <si>
    <t>636719</t>
  </si>
  <si>
    <t>LAPIZ GRAF.C/GOMA BLIS.4UN MARIE</t>
  </si>
  <si>
    <t>MAXSLAPG638591</t>
  </si>
  <si>
    <t>638591</t>
  </si>
  <si>
    <t>LAPIZ GRAF.C/GOMA BLIS.4UN MAXS</t>
  </si>
  <si>
    <t>MINNLAPG662664</t>
  </si>
  <si>
    <t>662664</t>
  </si>
  <si>
    <t>LAPIZ GRAF.C/GOMA BLIS.4UN MINNIE</t>
  </si>
  <si>
    <t>MONSLAPG663470</t>
  </si>
  <si>
    <t>663470</t>
  </si>
  <si>
    <t>LAPIZ GRAF.C/GOMA BLIS.4UN MONS.</t>
  </si>
  <si>
    <t>STARLAPG675053</t>
  </si>
  <si>
    <t>675053</t>
  </si>
  <si>
    <t>LAPIZ GRAF.C/GOMA BLIS.4UN NEGRO SWARS BRZ</t>
  </si>
  <si>
    <t>POLLLAPG645179</t>
  </si>
  <si>
    <t>645179</t>
  </si>
  <si>
    <t>LAPIZ GRAF.C/GOMA BLIS.4UN POLL</t>
  </si>
  <si>
    <t>PRINLAPG654195</t>
  </si>
  <si>
    <t>654195</t>
  </si>
  <si>
    <t>LAPIZ GRAF.C/GOMA BLIS.4UN PRIN</t>
  </si>
  <si>
    <t>SPIDLAPG662978</t>
  </si>
  <si>
    <t>662978</t>
  </si>
  <si>
    <t>LAPIZ GRAF.C/GOMA BLIS.4UN SPID A.</t>
  </si>
  <si>
    <t>SPIDLAPG644264</t>
  </si>
  <si>
    <t>644264</t>
  </si>
  <si>
    <t>LAPIZ GRAF.C/GOMA BLIS.4UN SPIDER</t>
  </si>
  <si>
    <t>TOYSLAPG637549</t>
  </si>
  <si>
    <t>637549</t>
  </si>
  <si>
    <t>LAPIZ GRAF.C/GOMA BLIS.4UN TOYS</t>
  </si>
  <si>
    <t>PLANLAPG670546</t>
  </si>
  <si>
    <t>670546</t>
  </si>
  <si>
    <t>LAPIZ GRAF.C/GOMA BLIS.6UN PLANES</t>
  </si>
  <si>
    <t>MARILAPG636726</t>
  </si>
  <si>
    <t>636726</t>
  </si>
  <si>
    <t>LAPIZ GRAF.C/GOMA DSP.72 UN MARIE</t>
  </si>
  <si>
    <t>BARBLAPG643588</t>
  </si>
  <si>
    <t>643588</t>
  </si>
  <si>
    <t>LAPIZ GRAF.C/GOMA DSP.72UN BARB</t>
  </si>
  <si>
    <t>CARSLAPG637198</t>
  </si>
  <si>
    <t>637198</t>
  </si>
  <si>
    <t>LAPIZ GRAF.C/GOMA DSP.72UN CARS</t>
  </si>
  <si>
    <t>HADALAPG638256</t>
  </si>
  <si>
    <t>638256</t>
  </si>
  <si>
    <t>LAPIZ GRAF.C/GOMA DSP.72UN HADA</t>
  </si>
  <si>
    <t>HOTWLAPG643946</t>
  </si>
  <si>
    <t>643946</t>
  </si>
  <si>
    <t>LAPIZ GRAF.C/GOMA DSP.72UN HOTW</t>
  </si>
  <si>
    <t>MAXSLAPG638607</t>
  </si>
  <si>
    <t>638607</t>
  </si>
  <si>
    <t>LAPIZ GRAF.C/GOMA DSP.72UN MAXS</t>
  </si>
  <si>
    <t>TOYSLAPG637563</t>
  </si>
  <si>
    <t>637563</t>
  </si>
  <si>
    <t>LAPIZ GRAF.C/GOMA DSP.72UN TOYS</t>
  </si>
  <si>
    <t>PRINLAPG637051</t>
  </si>
  <si>
    <t>637051</t>
  </si>
  <si>
    <t>LAPIZ GRAF.C/GOMA JUMBO BLIS.3UN PRIN</t>
  </si>
  <si>
    <t>PLANLAPG670553</t>
  </si>
  <si>
    <t>670553</t>
  </si>
  <si>
    <t>LAPIZ GRAF.C/GOMA POTE 36UN PLANES</t>
  </si>
  <si>
    <t>PLANLAPG670533</t>
  </si>
  <si>
    <t>670533</t>
  </si>
  <si>
    <t>LAPIZ GRAF.C/GOMA POTE 36UN.PLAN</t>
  </si>
  <si>
    <t>BARBLAPG657264</t>
  </si>
  <si>
    <t>657264</t>
  </si>
  <si>
    <t>LAPIZ GRAF.C/GOMA POTE 48UN BARB</t>
  </si>
  <si>
    <t>CARSLAPG657271</t>
  </si>
  <si>
    <t>657271</t>
  </si>
  <si>
    <t>LAPIZ GRAF.C/GOMA POTE 48UN CARS</t>
  </si>
  <si>
    <t>HADALAPG657288</t>
  </si>
  <si>
    <t>657288</t>
  </si>
  <si>
    <t>LAPIZ GRAF.C/GOMA POTE 48UN HADA</t>
  </si>
  <si>
    <t>MONSLAPG663487</t>
  </si>
  <si>
    <t>663487</t>
  </si>
  <si>
    <t>LAPIZ GRAF.C/GOMA POTE 48UN M.HIGH</t>
  </si>
  <si>
    <t>MAXSLAPG657301</t>
  </si>
  <si>
    <t>657301</t>
  </si>
  <si>
    <t>LAPIZ GRAF.C/GOMA POTE 48UN MAXS</t>
  </si>
  <si>
    <t>MINNLAPG662640</t>
  </si>
  <si>
    <t>662640</t>
  </si>
  <si>
    <t>LAPIZ GRAF.C/GOMA POTE 48UN MINNI</t>
  </si>
  <si>
    <t>POLLLAPG645186</t>
  </si>
  <si>
    <t>645186</t>
  </si>
  <si>
    <t>LAPIZ GRAF.C/GOMA POTE 48UN. POLL</t>
  </si>
  <si>
    <t>MARILAPG657493</t>
  </si>
  <si>
    <t>657493</t>
  </si>
  <si>
    <t>LAPIZ GRAF.C/GOMA POTE.48UN MARIE</t>
  </si>
  <si>
    <t>MUNILAPG671031</t>
  </si>
  <si>
    <t>671031</t>
  </si>
  <si>
    <t>LAPIZ GRAF.C/GOMA SET 12UN M.UNIV</t>
  </si>
  <si>
    <t>TRISDDTC691312</t>
  </si>
  <si>
    <t>691312</t>
  </si>
  <si>
    <t>Juego didáctico Arena mágica color natural - 450 grs 6/moldes - (N°1300)</t>
  </si>
  <si>
    <t>TRISDDTC691336</t>
  </si>
  <si>
    <t>691336</t>
  </si>
  <si>
    <t>Juego didáctico Arena mágica color rosado - 450 grs 6/moldes - (N°1302)</t>
  </si>
  <si>
    <t>TRISDDTC691329</t>
  </si>
  <si>
    <t>691329</t>
  </si>
  <si>
    <t>Juego didáctico Arena mágica color azul - 450 grs 6/moldes - (N°1301)</t>
  </si>
  <si>
    <t>TRISDDTC691237</t>
  </si>
  <si>
    <t>691237</t>
  </si>
  <si>
    <t>Juego didáctico Tabla de equilibrio - (N°605)</t>
  </si>
  <si>
    <t>TRISDDTC691305</t>
  </si>
  <si>
    <t>691305</t>
  </si>
  <si>
    <t>Juego didáctico Tobogan magnético con esferas 92 pzas - (N°750)</t>
  </si>
  <si>
    <t>BARBFEST646886</t>
  </si>
  <si>
    <t>646886</t>
  </si>
  <si>
    <t>GOMA LAB DSP 20 UN</t>
  </si>
  <si>
    <t>BARBFEST646961</t>
  </si>
  <si>
    <t>646961</t>
  </si>
  <si>
    <t>KIT FESTMANIA BLOCK DE NOTAS 04UN. BARBIE</t>
  </si>
  <si>
    <t>HOTWFEST647210</t>
  </si>
  <si>
    <t>647210</t>
  </si>
  <si>
    <t>KIT FESTMANIA GOMAS 08UN - HOT WHEELS</t>
  </si>
  <si>
    <t>BARBFEST646909</t>
  </si>
  <si>
    <t>646909</t>
  </si>
  <si>
    <t>KIT FESTMANIA GOMAS 08UN. BARBIE</t>
  </si>
  <si>
    <t>BARBFEST646862</t>
  </si>
  <si>
    <t>646862</t>
  </si>
  <si>
    <t>KIT FESTMANIA LAPICES MINA 08UN. BARBIE</t>
  </si>
  <si>
    <t>HOTWFEST647197</t>
  </si>
  <si>
    <t>647197</t>
  </si>
  <si>
    <t>KIT FESTMANIA LAPICES MINA 08UN. HOT WHEELS</t>
  </si>
  <si>
    <t>HOTWFEST647128</t>
  </si>
  <si>
    <t>647128</t>
  </si>
  <si>
    <t>KIT FESTMANIA N°1 (BLOCK + LAP. CERA) HOT WHEELS</t>
  </si>
  <si>
    <t>BARBFEST646831</t>
  </si>
  <si>
    <t>646831</t>
  </si>
  <si>
    <t>KIT FESTMANIA Nº10 (BLOCK+SACA+GOMA+LAPIZ MINA) BARBIE</t>
  </si>
  <si>
    <t>HOTWFEST647173</t>
  </si>
  <si>
    <t>647173</t>
  </si>
  <si>
    <t>KIT FESTMANIA Nº10 (BLOCK+SACA+GOMA+LAPIZ MINA) HOT WHEELS</t>
  </si>
  <si>
    <t>BARBFEST646794</t>
  </si>
  <si>
    <t>646794</t>
  </si>
  <si>
    <t>KIT FESTMANIA Nº3 (BLOCK,L.MINA,GOMA,SACA,REGLA,APRETA PAPEL) BARBIE</t>
  </si>
  <si>
    <t>HOTWFEST647135</t>
  </si>
  <si>
    <t>647135</t>
  </si>
  <si>
    <t>KIT FESTMANIA Nº4 (BLOCK,L.MINA,GOMA,SACA,REGLA) HOT WHEELS</t>
  </si>
  <si>
    <t>HOTWFEST647142</t>
  </si>
  <si>
    <t>647142</t>
  </si>
  <si>
    <t>KIT FESTMANIA Nº5 (BLOCK DISEÑO Y 4 LAP. CERA) HOT WHEELS</t>
  </si>
  <si>
    <t>BARBFEST646800</t>
  </si>
  <si>
    <t>646800</t>
  </si>
  <si>
    <t>KIT FESTMANIA Nº5 (BLOCK DISEÑOS Y LAP. CERA) BARBIE</t>
  </si>
  <si>
    <t>HOTWFEST647159</t>
  </si>
  <si>
    <t>647159</t>
  </si>
  <si>
    <t>KIT FESTMANIA Nº6 (BLOCK DECORADO,PLUMONES,LAP. CERA) HOT WHEELS</t>
  </si>
  <si>
    <t>BARBFEST646817</t>
  </si>
  <si>
    <t>646817</t>
  </si>
  <si>
    <t>KIT FESTMANIA Nº7 (ESTUCHE,L.MINA,GOMA,SACA) BARBIE</t>
  </si>
  <si>
    <t>HOTWFEST647166</t>
  </si>
  <si>
    <t>647166</t>
  </si>
  <si>
    <t>KIT FESTMANIA Nº7 (ESTUCHE,L.MINA,GOMA,SACA) HOT WHEELS</t>
  </si>
  <si>
    <t>BARBFEST646824</t>
  </si>
  <si>
    <t>646824</t>
  </si>
  <si>
    <t>KIT FESTMANIA Nº9 (BLOCK DISEÑOS, PLUMONES,COLA GLITTER,TIMBRES) BARBIE</t>
  </si>
  <si>
    <t>HOTWFEST647258</t>
  </si>
  <si>
    <t>647258</t>
  </si>
  <si>
    <t>KIT FESTMANIA REGLAS 08UN - HOT WHEELS</t>
  </si>
  <si>
    <t>BARBFEST646947</t>
  </si>
  <si>
    <t>646947</t>
  </si>
  <si>
    <t>KIT FESTMANIA REGLAS 08UN. BARBIE</t>
  </si>
  <si>
    <t>BARBFEST646923</t>
  </si>
  <si>
    <t>646923</t>
  </si>
  <si>
    <t>KIT FESTMANIA SACAP. 08UN. BARBIE</t>
  </si>
  <si>
    <t>HOTWFEST647234</t>
  </si>
  <si>
    <t>647234</t>
  </si>
  <si>
    <t>KIT FESTMANIA SACAPUNTAS 08UN - HOT WHEELS</t>
  </si>
  <si>
    <t>CARSFEST640082</t>
  </si>
  <si>
    <t>640082</t>
  </si>
  <si>
    <t>KIT GOMAS 8UN FESTMANIA - CARS</t>
  </si>
  <si>
    <t>CARSSSET673110</t>
  </si>
  <si>
    <t>673110</t>
  </si>
  <si>
    <t>KIT SUPER DIVERSION CARS</t>
  </si>
  <si>
    <t>MUNISSET673127</t>
  </si>
  <si>
    <t>673127</t>
  </si>
  <si>
    <t>KIT SUPER DIVERSION MONSTER</t>
  </si>
  <si>
    <t>AVENSSET666532</t>
  </si>
  <si>
    <t>666532</t>
  </si>
  <si>
    <t>KIT SUPER HEROES AVENGERS</t>
  </si>
  <si>
    <t>AVENSSET674115</t>
  </si>
  <si>
    <t>674115</t>
  </si>
  <si>
    <t>BOX SET AVENGERS</t>
  </si>
  <si>
    <t>MONSSSET690421</t>
  </si>
  <si>
    <t>690421</t>
  </si>
  <si>
    <t>CAJA SCARY BOX MONSTER</t>
  </si>
  <si>
    <t>SPIDSSET690452</t>
  </si>
  <si>
    <t>690452</t>
  </si>
  <si>
    <t>CAJA SPIDER BOX</t>
  </si>
  <si>
    <t>HOTWSSET671106</t>
  </si>
  <si>
    <t>671106</t>
  </si>
  <si>
    <t>LIGHT BOX HOT WHEELS</t>
  </si>
  <si>
    <t>PRINSSET673219</t>
  </si>
  <si>
    <t>673219</t>
  </si>
  <si>
    <t>LIGHT BOX PRINCESAS</t>
  </si>
  <si>
    <t>HADASSET638218</t>
  </si>
  <si>
    <t>638218</t>
  </si>
  <si>
    <t>MAGIC SET OPEN BOX</t>
  </si>
  <si>
    <t>HOTWSSET690940</t>
  </si>
  <si>
    <t>690940</t>
  </si>
  <si>
    <t>MALETIN BOX SET HOT WHEELS</t>
  </si>
  <si>
    <t>SPIDSSET673660</t>
  </si>
  <si>
    <t>673660</t>
  </si>
  <si>
    <t>MALETIN BOX SET SPIDERMAN</t>
  </si>
  <si>
    <t>MONSSSET673776</t>
  </si>
  <si>
    <t>673776</t>
  </si>
  <si>
    <t>PAINTING ACTIVITY BOX MONSTER</t>
  </si>
  <si>
    <t>MONSSSET673790</t>
  </si>
  <si>
    <t>673790</t>
  </si>
  <si>
    <t>ROLL BOX MONSTER HIGH</t>
  </si>
  <si>
    <t>RIO2SSET667348</t>
  </si>
  <si>
    <t>667348</t>
  </si>
  <si>
    <t>ROLL BOX SET RIO</t>
  </si>
  <si>
    <t>MARISSET673783</t>
  </si>
  <si>
    <t>673783</t>
  </si>
  <si>
    <t>ROLL SUPER FUN BOX MARIE</t>
  </si>
  <si>
    <t>HOTWSSET674223</t>
  </si>
  <si>
    <t>674223</t>
  </si>
  <si>
    <t>SUPER POSTER BOX HOT WHEELS</t>
  </si>
  <si>
    <t>HOTWSSET653907</t>
  </si>
  <si>
    <t>653907</t>
  </si>
  <si>
    <t>MALETA ARTE 27PZAS. HOTW</t>
  </si>
  <si>
    <t>MARISSET631882</t>
  </si>
  <si>
    <t>631882</t>
  </si>
  <si>
    <t>MALETA ARTE 27PZAS. MARIE</t>
  </si>
  <si>
    <t>POLLSSET650036</t>
  </si>
  <si>
    <t>650036</t>
  </si>
  <si>
    <t>MALETA ARTE 27PZAS. POLL</t>
  </si>
  <si>
    <t>POLLSSET658841</t>
  </si>
  <si>
    <t>658841</t>
  </si>
  <si>
    <t>MALETA ARTE CREATIVE POLLY</t>
  </si>
  <si>
    <t>AVENSSET682860</t>
  </si>
  <si>
    <t>682860</t>
  </si>
  <si>
    <t>MALETA DE ARTE AVENGERS</t>
  </si>
  <si>
    <t>BARBSSET686387</t>
  </si>
  <si>
    <t>686387</t>
  </si>
  <si>
    <t>MALETA DE ARTE BARBIE</t>
  </si>
  <si>
    <t>HOTWSSET690971</t>
  </si>
  <si>
    <t>690971</t>
  </si>
  <si>
    <t>MALETA DE ARTE HOT WHEELS</t>
  </si>
  <si>
    <t>MARISSET677323</t>
  </si>
  <si>
    <t>677323</t>
  </si>
  <si>
    <t>MALETA DE ARTE MARIE BRZ</t>
  </si>
  <si>
    <t>MAXSSSET681849</t>
  </si>
  <si>
    <t>681849</t>
  </si>
  <si>
    <t>MALETA DE ARTE MAX STEEL</t>
  </si>
  <si>
    <t>HADASSET675961</t>
  </si>
  <si>
    <t>675961</t>
  </si>
  <si>
    <t>MALETA DE ARTE P/H</t>
  </si>
  <si>
    <t>SPIDSSET682884</t>
  </si>
  <si>
    <t>682884</t>
  </si>
  <si>
    <t>MALETA DE ARTE SPIDERMAN</t>
  </si>
  <si>
    <t>MAXSSSET679020</t>
  </si>
  <si>
    <t>679020</t>
  </si>
  <si>
    <t>MALETA ESCOLAR PLUM MAXS</t>
  </si>
  <si>
    <t>MONSSSET671116</t>
  </si>
  <si>
    <t>671116</t>
  </si>
  <si>
    <t>MALETA FABULOSA MONSTER HIGH</t>
  </si>
  <si>
    <t>BARBSSET660141</t>
  </si>
  <si>
    <t>660141</t>
  </si>
  <si>
    <t>MALETA GLAMOUR CON ACCESORIO BARBIE</t>
  </si>
  <si>
    <t>ANGRSSET671185</t>
  </si>
  <si>
    <t>671185</t>
  </si>
  <si>
    <t>PLAYGROUND- ANGRY BIRDS</t>
  </si>
  <si>
    <t>AVENSSET673073</t>
  </si>
  <si>
    <t>673073</t>
  </si>
  <si>
    <t>PLAYGROUND AVENGERS</t>
  </si>
  <si>
    <t>HADASSET638225</t>
  </si>
  <si>
    <t>638225</t>
  </si>
  <si>
    <t>PLAYGROUND- HADAS</t>
  </si>
  <si>
    <t>BARBSSET653624</t>
  </si>
  <si>
    <t>653624</t>
  </si>
  <si>
    <t>PLAYGROUND- MALETA STUDIO BARBIE</t>
  </si>
  <si>
    <t>MAXSSSET671710</t>
  </si>
  <si>
    <t>671710</t>
  </si>
  <si>
    <t>PLAYGROUND- MAX STEEL</t>
  </si>
  <si>
    <t>HADASSET679051</t>
  </si>
  <si>
    <t>679051</t>
  </si>
  <si>
    <t>PLAYGROUND OPEN BOX HADAS</t>
  </si>
  <si>
    <t>SPIDSSET660929</t>
  </si>
  <si>
    <t>660929</t>
  </si>
  <si>
    <t>PLAYGROUND- SPIDER</t>
  </si>
  <si>
    <t>STARSSET677972</t>
  </si>
  <si>
    <t>677972</t>
  </si>
  <si>
    <t>PLAYGROUND STAR WARS</t>
  </si>
  <si>
    <t>STARSSET679259</t>
  </si>
  <si>
    <t>679259</t>
  </si>
  <si>
    <t>SET MALETA PLUMONES LICENCIAS</t>
  </si>
  <si>
    <t>HOTWSSET676326</t>
  </si>
  <si>
    <t>676326</t>
  </si>
  <si>
    <t>BARBSSET666495</t>
  </si>
  <si>
    <t>666495</t>
  </si>
  <si>
    <t>SUPER MALETA BARB.71  PCS</t>
  </si>
  <si>
    <t>BARBSSET683805</t>
  </si>
  <si>
    <t>683805</t>
  </si>
  <si>
    <t>ZZ. NO USAR. COD ERRONEO (MALET ART BARB)</t>
  </si>
  <si>
    <t>TRISSSET690889</t>
  </si>
  <si>
    <t>690889</t>
  </si>
  <si>
    <t>BLISTER SELVATICO TRIS</t>
  </si>
  <si>
    <t>HOTWPOLY632070</t>
  </si>
  <si>
    <t>632070</t>
  </si>
  <si>
    <t>PACK POLYBAGS HOT WHEELS</t>
  </si>
  <si>
    <t>TRISPLUM618692</t>
  </si>
  <si>
    <t>618692</t>
  </si>
  <si>
    <t>MARCADOR PUNTA FINA WAVE 12 COLORES</t>
  </si>
  <si>
    <t>TRISPLUM683706</t>
  </si>
  <si>
    <t>683706</t>
  </si>
  <si>
    <t>MARCADOR PUNTA FINA MEGA 24 COLORES</t>
  </si>
  <si>
    <t>TRISPLUM683744</t>
  </si>
  <si>
    <t>683744</t>
  </si>
  <si>
    <t>MARCADOR PUNTA FINA MEGA JUMBO 24 COLORES DOBLES</t>
  </si>
  <si>
    <t>TRISPLUM683737</t>
  </si>
  <si>
    <t>683737</t>
  </si>
  <si>
    <t>MARCADOR PUNTA GRUESA MEGA JUMBO 12 COLORES</t>
  </si>
  <si>
    <t>TRISPLUM633749</t>
  </si>
  <si>
    <t>633749</t>
  </si>
  <si>
    <t>MARCADOR PUNTA GRUESA SUPER 12 COLORES</t>
  </si>
  <si>
    <t>TRISPLPZ600468</t>
  </si>
  <si>
    <t>600468</t>
  </si>
  <si>
    <t>PLUMON LAVABLE LIQUEO NEGRO 1</t>
  </si>
  <si>
    <t>TRISPLUM600451</t>
  </si>
  <si>
    <t>600451</t>
  </si>
  <si>
    <t>PLUMON LAVABLE LIQEO AZUL 1 UN</t>
  </si>
  <si>
    <t>TRISPLUM683690</t>
  </si>
  <si>
    <t>683690</t>
  </si>
  <si>
    <t>MARCADOR PUNTA FINA MEGA 12 COLORES</t>
  </si>
  <si>
    <t>TRISPLUM683713</t>
  </si>
  <si>
    <t>683713</t>
  </si>
  <si>
    <t>MARCADOR PUNTA FINA MEGA 36 COLORES</t>
  </si>
  <si>
    <t>UFFIPLPZ621142</t>
  </si>
  <si>
    <t>621142</t>
  </si>
  <si>
    <t>PLUMON PIZARRA UFFIZI M680 AZUL C/10</t>
  </si>
  <si>
    <t>UFFIPLPZ621180</t>
  </si>
  <si>
    <t>621180</t>
  </si>
  <si>
    <t>PLUMON PIZARRA UFFIZI M680 NEGRO C/10</t>
  </si>
  <si>
    <t>TRISPLUM633725</t>
  </si>
  <si>
    <t>633725</t>
  </si>
  <si>
    <t>PLUMON PTA GRUESA MEGA HIDRO  06 COLORES TRIS</t>
  </si>
  <si>
    <t>TRISPLUM626277</t>
  </si>
  <si>
    <t>626277</t>
  </si>
  <si>
    <t>PLUMONES DOBLES PTA FINA Y GRUESA 12 COLORES TRIS</t>
  </si>
  <si>
    <t>TRISPLUM683751</t>
  </si>
  <si>
    <t>683751</t>
  </si>
  <si>
    <t>PLUMONES MEGA 12 COLORES TRIS</t>
  </si>
  <si>
    <t>JUDYPLUM654324</t>
  </si>
  <si>
    <t>654324</t>
  </si>
  <si>
    <t>PLUMONES PTA FINA 12 COLORES JUDY BRZ</t>
  </si>
  <si>
    <t>MOANPLUM683775</t>
  </si>
  <si>
    <t>683775</t>
  </si>
  <si>
    <t>PLUMONES PTA FINA 12 COLORES MOANA BRZ</t>
  </si>
  <si>
    <t>TRISPLUM644905</t>
  </si>
  <si>
    <t>644905</t>
  </si>
  <si>
    <t>PLUMONES PTA FINA 12UN GLOW</t>
  </si>
  <si>
    <t>TRISPLUM683683</t>
  </si>
  <si>
    <t>683683</t>
  </si>
  <si>
    <t>PLUMONES PTA FINA MEGA 6 COL. TRIS</t>
  </si>
  <si>
    <t>TRISPLUM633602</t>
  </si>
  <si>
    <t>633602</t>
  </si>
  <si>
    <t>PLUMONES PTA GRUESA BIG 06 COL. TRIS</t>
  </si>
  <si>
    <t>TRISPLUM623122</t>
  </si>
  <si>
    <t>623122</t>
  </si>
  <si>
    <t>PLUMONES PTA GRUESA BIG 12 COL. TRIS</t>
  </si>
  <si>
    <t>TRISPLUM606163</t>
  </si>
  <si>
    <t>606163</t>
  </si>
  <si>
    <t>PLUMONES PTA. FINA 12COL. CLASSIC TRIS</t>
  </si>
  <si>
    <t>TRISPLUM606156</t>
  </si>
  <si>
    <t>606156</t>
  </si>
  <si>
    <t>PLUMONES PTA. FINA CLASSIC 06 COL. - TRIS</t>
  </si>
  <si>
    <t>TRISPLUM606170</t>
  </si>
  <si>
    <t>606170</t>
  </si>
  <si>
    <t>PLUMONES PTA. FINA CLASSIC 24 COL. - TRIS</t>
  </si>
  <si>
    <t>TRISPLUM659305</t>
  </si>
  <si>
    <t>659305</t>
  </si>
  <si>
    <t>PLUMONES PTA.GRUESA 12COL. FROST TRIS</t>
  </si>
  <si>
    <t>TRISPLUM626291</t>
  </si>
  <si>
    <t>626291</t>
  </si>
  <si>
    <t>PLUMONES PTA.GRUESA 12COL. SHORTY TRIS</t>
  </si>
  <si>
    <t>TRISPLUM656175</t>
  </si>
  <si>
    <t>656175</t>
  </si>
  <si>
    <t>PLUMONES WAVE 24 COL. TRIS</t>
  </si>
  <si>
    <t>FROZPLUM678856</t>
  </si>
  <si>
    <t>678856</t>
  </si>
  <si>
    <t>PLUM. PF 12 COL. FROZEN</t>
  </si>
  <si>
    <t>SIMPPLUM673011</t>
  </si>
  <si>
    <t>673011</t>
  </si>
  <si>
    <t>PLUM. PF 12 COL. SIMPSON</t>
  </si>
  <si>
    <t>MINNPLUM632506</t>
  </si>
  <si>
    <t>632506</t>
  </si>
  <si>
    <t>PLUMONES POTE ALCANCIA 12COL. MINN</t>
  </si>
  <si>
    <t>MINNPLUM632551</t>
  </si>
  <si>
    <t>632551</t>
  </si>
  <si>
    <t>MARIPLUM631905</t>
  </si>
  <si>
    <t>631905</t>
  </si>
  <si>
    <t>PLUMONES POTE ALCANCIA 12COL.MARIE</t>
  </si>
  <si>
    <t>STARPLUM682075</t>
  </si>
  <si>
    <t>682075</t>
  </si>
  <si>
    <t>PLUMONES PTA FINA 12 COLORES STAR WARS BRZ</t>
  </si>
  <si>
    <t>AVENPLUM671376</t>
  </si>
  <si>
    <t>671376</t>
  </si>
  <si>
    <t>PLUMONES PTA FINA 12UN AVENGERS</t>
  </si>
  <si>
    <t>BARBPLUM643533</t>
  </si>
  <si>
    <t>643533</t>
  </si>
  <si>
    <t>PLUMONES PTA FINA 12UN BARB</t>
  </si>
  <si>
    <t>CARSPLUM627519</t>
  </si>
  <si>
    <t>627519</t>
  </si>
  <si>
    <t>PLUMONES PTA FINA 12UN CARS</t>
  </si>
  <si>
    <t>COLOPLUM673370</t>
  </si>
  <si>
    <t>673370</t>
  </si>
  <si>
    <t>PLUMONES PTA FINA 12UN COLO COLO</t>
  </si>
  <si>
    <t>HADAPLUM638171</t>
  </si>
  <si>
    <t>638171</t>
  </si>
  <si>
    <t>PLUMONES PTA FINA 12UN HADAS</t>
  </si>
  <si>
    <t>HOTWPLUM643878</t>
  </si>
  <si>
    <t>643878</t>
  </si>
  <si>
    <t>PLUMONES PTA FINA 12UN HOTW</t>
  </si>
  <si>
    <t>MUNIPLUM670362</t>
  </si>
  <si>
    <t>670362</t>
  </si>
  <si>
    <t>PLUMONES PTA FINA 12UN M.UNIV</t>
  </si>
  <si>
    <t>MARIPLUM635224</t>
  </si>
  <si>
    <t>635224</t>
  </si>
  <si>
    <t>PLUMONES PTA FINA 12UN MARI</t>
  </si>
  <si>
    <t>MAXSPLUM638478</t>
  </si>
  <si>
    <t>638478</t>
  </si>
  <si>
    <t>PLUMONES PTA FINA 12UN MAX</t>
  </si>
  <si>
    <t>MINNPLUM632483</t>
  </si>
  <si>
    <t>632483</t>
  </si>
  <si>
    <t>PLUMONES PTA FINA 12UN MIN</t>
  </si>
  <si>
    <t>MINNPLUM662695</t>
  </si>
  <si>
    <t>662695</t>
  </si>
  <si>
    <t>PLUMONES PTA FINA 12UN MINNIE</t>
  </si>
  <si>
    <t>MONSPLUM663333</t>
  </si>
  <si>
    <t>663333</t>
  </si>
  <si>
    <t>PLUMONES PTA FINA 12UN MONSTER</t>
  </si>
  <si>
    <t>PLANPLUM670584</t>
  </si>
  <si>
    <t>670584</t>
  </si>
  <si>
    <t>PLUMONES PTA FINA 12UN PLANES</t>
  </si>
  <si>
    <t>POLLPLUM645278</t>
  </si>
  <si>
    <t>645278</t>
  </si>
  <si>
    <t>PLUMONES PTA FINA 12UN POLLY</t>
  </si>
  <si>
    <t>PRINPLUM635262</t>
  </si>
  <si>
    <t>635262</t>
  </si>
  <si>
    <t>PLUMONES PTA FINA 12UN PRIN</t>
  </si>
  <si>
    <t>SPIDPLUM644202</t>
  </si>
  <si>
    <t>644202</t>
  </si>
  <si>
    <t>PLUMONES PTA FINA 12UN SPIDER</t>
  </si>
  <si>
    <t>SPIDPLUM663098</t>
  </si>
  <si>
    <t>663098</t>
  </si>
  <si>
    <t>PLUMONES PTA FINA 12UN SPIDER A.</t>
  </si>
  <si>
    <t>STARPLUM677880</t>
  </si>
  <si>
    <t>677880</t>
  </si>
  <si>
    <t>PLUMONES PTA FINA 12UN STAR</t>
  </si>
  <si>
    <t>TOYSPLUM637464</t>
  </si>
  <si>
    <t>637464</t>
  </si>
  <si>
    <t>PLUMONES PTA FINA 12UN TOYS</t>
  </si>
  <si>
    <t>UCHIPLUM673387</t>
  </si>
  <si>
    <t>673387</t>
  </si>
  <si>
    <t>PLUMONES PTA FINA 12UN U.DE CHILE</t>
  </si>
  <si>
    <t>BARBPLUM675732</t>
  </si>
  <si>
    <t>675732</t>
  </si>
  <si>
    <t>SUPER EST HOLOGRAM GLITT PLUM</t>
  </si>
  <si>
    <t>POLLPLUM650272</t>
  </si>
  <si>
    <t>650272</t>
  </si>
  <si>
    <t>PLUMONES MALETA 08 COL.POLL</t>
  </si>
  <si>
    <t>MARCADORES MALETA</t>
  </si>
  <si>
    <t>CARSPLUM627533</t>
  </si>
  <si>
    <t>627533</t>
  </si>
  <si>
    <t>PLUMONES MALETA 12 COL. CARS</t>
  </si>
  <si>
    <t>PRINPLUM629353</t>
  </si>
  <si>
    <t>629353</t>
  </si>
  <si>
    <t>PLUMONES MALETA 12 COL. PRIN</t>
  </si>
  <si>
    <t>TOYSPLUM637488</t>
  </si>
  <si>
    <t>637488</t>
  </si>
  <si>
    <t>PLUMONES MALETA 12 COL. TOYS</t>
  </si>
  <si>
    <t>COLOPLUM673394</t>
  </si>
  <si>
    <t>673394</t>
  </si>
  <si>
    <t>PLUMONES MALETA 12 COL.COLO COLO</t>
  </si>
  <si>
    <t>FROZPLUM678085</t>
  </si>
  <si>
    <t>678085</t>
  </si>
  <si>
    <t>PLUMONES MALETA 12 COL.LICENCIAS</t>
  </si>
  <si>
    <t>MONSPLUM690759</t>
  </si>
  <si>
    <t>690759</t>
  </si>
  <si>
    <t>PLUMONES MALETA 12 COL.MONS HIGH</t>
  </si>
  <si>
    <t>PLANPLUM673806</t>
  </si>
  <si>
    <t>673806</t>
  </si>
  <si>
    <t>PLUMONES MALETA 12 COL.PLANES</t>
  </si>
  <si>
    <t>STARPLUM678825</t>
  </si>
  <si>
    <t>678825</t>
  </si>
  <si>
    <t>PLUMONES MALETA 12 COL.STARW</t>
  </si>
  <si>
    <t>HADAPLUM632209</t>
  </si>
  <si>
    <t>632209</t>
  </si>
  <si>
    <t>PLUMONES MALETA 12COL. HADA</t>
  </si>
  <si>
    <t>AVENPLUM671390</t>
  </si>
  <si>
    <t>671390</t>
  </si>
  <si>
    <t>PLUMONES MALETA 12COL.AVENGERS</t>
  </si>
  <si>
    <t>BARBPLUM645131</t>
  </si>
  <si>
    <t>645131</t>
  </si>
  <si>
    <t>PLUMONES MALETA 12COL.BARB</t>
  </si>
  <si>
    <t>HOTWPLUM654034</t>
  </si>
  <si>
    <t>654034</t>
  </si>
  <si>
    <t>PLUMONES MALETA 12COL.HOTW</t>
  </si>
  <si>
    <t>MUNIPLUM671055</t>
  </si>
  <si>
    <t>671055</t>
  </si>
  <si>
    <t>PLUMONES MALETA 12COL.M.UNIV</t>
  </si>
  <si>
    <t>PRINPLUM650333</t>
  </si>
  <si>
    <t>650333</t>
  </si>
  <si>
    <t>PLUMONES MALETA 24 COL. PRIN</t>
  </si>
  <si>
    <t>BARBPLUM668369</t>
  </si>
  <si>
    <t>668369</t>
  </si>
  <si>
    <t>PLUMONES MALETA 24 COL.BARBIE</t>
  </si>
  <si>
    <t>MONSPLUM666884</t>
  </si>
  <si>
    <t>666884</t>
  </si>
  <si>
    <t>PLUMONES MALETA 24 COL.MONS</t>
  </si>
  <si>
    <t>SPIDPLUM666822</t>
  </si>
  <si>
    <t>666822</t>
  </si>
  <si>
    <t>PLUMONES MALETA 24 COL.SPID</t>
  </si>
  <si>
    <t>MONSPLUM673738</t>
  </si>
  <si>
    <t>673738</t>
  </si>
  <si>
    <t>PLUMONES MALETA 36 COL.MONS (OPEN BOX)</t>
  </si>
  <si>
    <t>TRISTIZA686455</t>
  </si>
  <si>
    <t>686455</t>
  </si>
  <si>
    <t>MARCADOR POP OFFICE (VIDRIO. PIZARRA. VARIOS) SET 5 COLORES</t>
  </si>
  <si>
    <t>PLUMONES PARA VIDRIO</t>
  </si>
  <si>
    <t>TRISPLPR671925</t>
  </si>
  <si>
    <t>671925</t>
  </si>
  <si>
    <t>PLUMON PERMANENTE T720 AZUL DSP 12 UN TRIS</t>
  </si>
  <si>
    <t>PLUMONES PERMANENTE</t>
  </si>
  <si>
    <t>TRISPLPR671918</t>
  </si>
  <si>
    <t>671918</t>
  </si>
  <si>
    <t>PLUMON PERMANENTE T720 NEGRO DP 12 UN TRIS</t>
  </si>
  <si>
    <t>TRISPLPR671932</t>
  </si>
  <si>
    <t>671932</t>
  </si>
  <si>
    <t>PLUMON PERMANENTE T720 ROJO DSP 12 UN TRIS</t>
  </si>
  <si>
    <t>UFFIPLPZ621128</t>
  </si>
  <si>
    <t>621128</t>
  </si>
  <si>
    <t>PLUMON PIZARRA UFFIZI M680 ROJO C/10</t>
  </si>
  <si>
    <t>TRISPLUM691800</t>
  </si>
  <si>
    <t>691800</t>
  </si>
  <si>
    <t>MARCADOR TELA PUNTA MEDIA COLORES SURTIDOS</t>
  </si>
  <si>
    <t>MARCADORES TELA</t>
  </si>
  <si>
    <t>PUNTA MEDIA</t>
  </si>
  <si>
    <t>TRISMASA684222</t>
  </si>
  <si>
    <t>684222</t>
  </si>
  <si>
    <t>MASA EN BARRA PARA MODELAR SET 12 COLORES</t>
  </si>
  <si>
    <t>MASAS</t>
  </si>
  <si>
    <t>TRISMASA688428</t>
  </si>
  <si>
    <t>688428</t>
  </si>
  <si>
    <t>MASA PARA MODELAR POTE 150GR VERDE SUPER SOFT</t>
  </si>
  <si>
    <t>POTE</t>
  </si>
  <si>
    <t>TRISMASA688435</t>
  </si>
  <si>
    <t>688435</t>
  </si>
  <si>
    <t>MASA PARA MODELAR POTE 150GR AMARILLO SUPER SOFT</t>
  </si>
  <si>
    <t>TRISMASA688411</t>
  </si>
  <si>
    <t>688411</t>
  </si>
  <si>
    <t>MASA PARA MODELAR POTE 150GR AZUL SUPER SOFT</t>
  </si>
  <si>
    <t>TRISMASA688404</t>
  </si>
  <si>
    <t>688404</t>
  </si>
  <si>
    <t>MASA PARA MODELAR POTE 150GR ROJO SUPER SOFT</t>
  </si>
  <si>
    <t>TRISTUBM650531</t>
  </si>
  <si>
    <t>650531</t>
  </si>
  <si>
    <t>TUBO MINA 0,7 MM  DSP. 36UN SHOCK TRIS</t>
  </si>
  <si>
    <t>MINAS</t>
  </si>
  <si>
    <t>BARBTUBM657967</t>
  </si>
  <si>
    <t>657967</t>
  </si>
  <si>
    <t>TUBO MINA 0,7 MM  DSP. 24UN BARBIE</t>
  </si>
  <si>
    <t>HADATUBM632179</t>
  </si>
  <si>
    <t>632179</t>
  </si>
  <si>
    <t>TUBO MINA 0,7 MM  DSP. 24UN HADAS</t>
  </si>
  <si>
    <t>PRINTUBM633343</t>
  </si>
  <si>
    <t>633343</t>
  </si>
  <si>
    <t>TUBO MINA 0,7 MM  DSP. 24UN PRINCESAS</t>
  </si>
  <si>
    <t>RIO2MOCH671277</t>
  </si>
  <si>
    <t>671277</t>
  </si>
  <si>
    <t>MOCHILA RIO</t>
  </si>
  <si>
    <t>TRISNOTA668024</t>
  </si>
  <si>
    <t>668024</t>
  </si>
  <si>
    <t>NOTAS AUTOADHES 100HJ 1X76MMX76MM TRIS</t>
  </si>
  <si>
    <t>TRISNOTA687445</t>
  </si>
  <si>
    <t>687445</t>
  </si>
  <si>
    <t>NOTAS MARCADOR PAG POP INDEX 3 FORMATOS 180 UNIDADES</t>
  </si>
  <si>
    <t>MARCA PAGINAS</t>
  </si>
  <si>
    <t>TRISNOTA687476</t>
  </si>
  <si>
    <t>687476</t>
  </si>
  <si>
    <t>NOTAS MARCADOR PAG POP T008 42X13MM 6 COLORES 160 UNIDADES</t>
  </si>
  <si>
    <t>TRISNOTA687506</t>
  </si>
  <si>
    <t>687506</t>
  </si>
  <si>
    <t>NOTAS AUTOADHES POP T001 51X38MM 3 CUBOS 6 COLORES 300HJS</t>
  </si>
  <si>
    <t>TRISNOTA687483</t>
  </si>
  <si>
    <t>687483</t>
  </si>
  <si>
    <t>NOTAS AUTOADHES POP T001G 75X75MM CUBO 5 COLORES 400HJS</t>
  </si>
  <si>
    <t>TRISNOTA677460</t>
  </si>
  <si>
    <t>677460</t>
  </si>
  <si>
    <t>NOTAS MARCADOR PAG POP OFFICE T005 11X43MM 120 UNIDADES</t>
  </si>
  <si>
    <t>TRISNOTA687513</t>
  </si>
  <si>
    <t>687513</t>
  </si>
  <si>
    <t>NOTAS AUTOADHES LOVE T001 70X75MM 4 COLORES BLISTER 100HJS</t>
  </si>
  <si>
    <t>TRISNOTA681009</t>
  </si>
  <si>
    <t>681009</t>
  </si>
  <si>
    <t>NOTAS AUTOADHES 76MMX76MM COLOR POP OFFICE TRIS</t>
  </si>
  <si>
    <t>UFFIPTCA621340</t>
  </si>
  <si>
    <t>621340</t>
  </si>
  <si>
    <t>PORTA CINTA-ADHESIVA UFFIZI G050</t>
  </si>
  <si>
    <t>ORGANIZADORES</t>
  </si>
  <si>
    <t>UFFIPTCL635903</t>
  </si>
  <si>
    <t>635903</t>
  </si>
  <si>
    <t>PORTA CLIPS MAGNETICO UFFIZI M082</t>
  </si>
  <si>
    <t>MONSSSET674933</t>
  </si>
  <si>
    <t>674933</t>
  </si>
  <si>
    <t>PORTALAPIZ SIN ACCESORIOS M.HIGH</t>
  </si>
  <si>
    <t>STARSSET682693</t>
  </si>
  <si>
    <t>682693</t>
  </si>
  <si>
    <t>ORGANIZADOR CON ACC STAR WARS</t>
  </si>
  <si>
    <t>AVENSSET674803</t>
  </si>
  <si>
    <t>674803</t>
  </si>
  <si>
    <t>ORGANIZADOR ESTUCHE AVENGERS</t>
  </si>
  <si>
    <t>BARBSSET666907</t>
  </si>
  <si>
    <t>666907</t>
  </si>
  <si>
    <t>ORGANIZADOR ESTUCHE BARBIE</t>
  </si>
  <si>
    <t>HADASSET666921</t>
  </si>
  <si>
    <t>666921</t>
  </si>
  <si>
    <t>ORGANIZADOR ESTUCHE HADAS</t>
  </si>
  <si>
    <t>HOTWSSET674216</t>
  </si>
  <si>
    <t>674216</t>
  </si>
  <si>
    <t>ORGANIZADOR ESTUCHE HOT W</t>
  </si>
  <si>
    <t>MARISSET631837</t>
  </si>
  <si>
    <t>631837</t>
  </si>
  <si>
    <t>ORGANIZADOR ESTUCHE MARIE</t>
  </si>
  <si>
    <t>PRINSSET637068</t>
  </si>
  <si>
    <t>637068</t>
  </si>
  <si>
    <t>ORGANIZADOR ESTUCHE PRIN</t>
  </si>
  <si>
    <t>BARBSSET671093</t>
  </si>
  <si>
    <t>671093</t>
  </si>
  <si>
    <t>PORTA RETRATO SUPER GLITTER BARBIE</t>
  </si>
  <si>
    <t>SPIDSSET667324</t>
  </si>
  <si>
    <t>667324</t>
  </si>
  <si>
    <t>PORTALAPIZ ORGANIZADOR SPID</t>
  </si>
  <si>
    <t>MINNSSET674834</t>
  </si>
  <si>
    <t>674834</t>
  </si>
  <si>
    <t>PORTALAPIZ SIN ACCESORIOS MINNIE</t>
  </si>
  <si>
    <t>PRINSSET674919</t>
  </si>
  <si>
    <t>674919</t>
  </si>
  <si>
    <t>PORTALAPIZ SIN ACCESORIOS PRINCESAS</t>
  </si>
  <si>
    <t>FROZSSET678900</t>
  </si>
  <si>
    <t>678900</t>
  </si>
  <si>
    <t>SET CAJA ORGANIZADORA FROZEN</t>
  </si>
  <si>
    <t>MONSSSET674926</t>
  </si>
  <si>
    <t>674926</t>
  </si>
  <si>
    <t>SET ESCRITORIO (PORTALAPIZ/SCOTCH/CLIP) M.HIGH</t>
  </si>
  <si>
    <t>MINNSSET674827</t>
  </si>
  <si>
    <t>674827</t>
  </si>
  <si>
    <t>SET ESCRITORIO (PORTALAPIZ/SCOTCH/CLIP) MINNIE</t>
  </si>
  <si>
    <t>PRINSSET674902</t>
  </si>
  <si>
    <t>674902</t>
  </si>
  <si>
    <t>SET ESCRITORIO (PORTALAPIZ/SCOTCH/CLIP) PRINCESAS</t>
  </si>
  <si>
    <t>TRISBLIS643076</t>
  </si>
  <si>
    <t>643076</t>
  </si>
  <si>
    <t>CODIGO NO VALIDO</t>
  </si>
  <si>
    <t>SUMMPALL666666</t>
  </si>
  <si>
    <t>666666</t>
  </si>
  <si>
    <t>TRASLADO MUEBLES VARIOS EMPRESA</t>
  </si>
  <si>
    <t>TRISACTF638362</t>
  </si>
  <si>
    <t>638362</t>
  </si>
  <si>
    <t>RACK PORTA PALLET (Activo Fijo)</t>
  </si>
  <si>
    <t>SPIDLAPG662954</t>
  </si>
  <si>
    <t>662954</t>
  </si>
  <si>
    <t>LAPIZ GRAF.C/GOMA POTE 48UN SPIDER</t>
  </si>
  <si>
    <t>HOTWPACK631745</t>
  </si>
  <si>
    <t>631745</t>
  </si>
  <si>
    <t>PACK ESCOLAR HOT WHEELS</t>
  </si>
  <si>
    <t>HOTWSSET674226</t>
  </si>
  <si>
    <t>674226</t>
  </si>
  <si>
    <t>ANGRPEGA671161</t>
  </si>
  <si>
    <t>671161</t>
  </si>
  <si>
    <t>TRISPEGA671382</t>
  </si>
  <si>
    <t>671382</t>
  </si>
  <si>
    <t>ZZ. NO USAR. NO USAR</t>
  </si>
  <si>
    <t>TRISPWEB243651</t>
  </si>
  <si>
    <t>243651</t>
  </si>
  <si>
    <t>RENUEVA TU ESTUCHE</t>
  </si>
  <si>
    <t>TRISPWEB243652</t>
  </si>
  <si>
    <t>243652</t>
  </si>
  <si>
    <t>RENUEVA TU ESTUCHE NIÑA</t>
  </si>
  <si>
    <t>TRISPACK690018</t>
  </si>
  <si>
    <t>690018</t>
  </si>
  <si>
    <t>PACK ARTISTICO</t>
  </si>
  <si>
    <t>TRISPACK690100</t>
  </si>
  <si>
    <t>690100</t>
  </si>
  <si>
    <t>PACK MEGA MANUALIDADES</t>
  </si>
  <si>
    <t>TRISPACK690049</t>
  </si>
  <si>
    <t>690049</t>
  </si>
  <si>
    <t>PACK ORGANIZADOR</t>
  </si>
  <si>
    <t>TRISPACK690032</t>
  </si>
  <si>
    <t>690032</t>
  </si>
  <si>
    <t>PACK ESCRITORIO</t>
  </si>
  <si>
    <t>TRISPACK690025</t>
  </si>
  <si>
    <t>690025</t>
  </si>
  <si>
    <t>PACK ENTRETENIDO</t>
  </si>
  <si>
    <t>TRISPACK690087</t>
  </si>
  <si>
    <t>690087</t>
  </si>
  <si>
    <t>PACK MEGA COLORES</t>
  </si>
  <si>
    <t>TRISPACK690513</t>
  </si>
  <si>
    <t>690513</t>
  </si>
  <si>
    <t>PACK MEGA TRABAJA EN CASA</t>
  </si>
  <si>
    <t>TRISPACK690070</t>
  </si>
  <si>
    <t>690070</t>
  </si>
  <si>
    <t>PACK MEGA AHORRO</t>
  </si>
  <si>
    <t>TRISKITS685267</t>
  </si>
  <si>
    <t>685267</t>
  </si>
  <si>
    <t>KIT ESCOLAR LEFTY</t>
  </si>
  <si>
    <t>TRISPACK603377</t>
  </si>
  <si>
    <t>603377</t>
  </si>
  <si>
    <t>SET TRIS PACK 1</t>
  </si>
  <si>
    <t>TRISPACK690056</t>
  </si>
  <si>
    <t>690056</t>
  </si>
  <si>
    <t>PACK JUVENIL</t>
  </si>
  <si>
    <t>TRISPACK614069</t>
  </si>
  <si>
    <t>614069</t>
  </si>
  <si>
    <t>SET TRIS PACK 2</t>
  </si>
  <si>
    <t>TRISKITS243696</t>
  </si>
  <si>
    <t>243696</t>
  </si>
  <si>
    <t>KIT ESCOLAR CLASS</t>
  </si>
  <si>
    <t>TRISLAPG722214</t>
  </si>
  <si>
    <t>722214</t>
  </si>
  <si>
    <t>KIT GRAFITO SACAPUNTA GOMA</t>
  </si>
  <si>
    <t>TRISPWEB243658</t>
  </si>
  <si>
    <t>243658</t>
  </si>
  <si>
    <t>TRISPACK691589</t>
  </si>
  <si>
    <t>691589</t>
  </si>
  <si>
    <t>SET BOTELLA PROMOCIONAL</t>
  </si>
  <si>
    <t>TRISKITS692005</t>
  </si>
  <si>
    <t>692005</t>
  </si>
  <si>
    <t>KIT ESCOLAR 2</t>
  </si>
  <si>
    <t>TRISPEGA604978</t>
  </si>
  <si>
    <t>604978</t>
  </si>
  <si>
    <t>MINI PACK ESCOLAR TRIS</t>
  </si>
  <si>
    <t>TRISPACK632322</t>
  </si>
  <si>
    <t>632322</t>
  </si>
  <si>
    <t>PACK 2 LAP. GRAFITO, BOL. AZUL, BOL ROJO, SACAPUNTA DEPS Y GOMA</t>
  </si>
  <si>
    <t>TRISPACK647289</t>
  </si>
  <si>
    <t>647289</t>
  </si>
  <si>
    <t>PACK BOL. 3 UN. AZULES</t>
  </si>
  <si>
    <t>TRISPACK636016</t>
  </si>
  <si>
    <t>636016</t>
  </si>
  <si>
    <t>PACK BOL. NEGRO, BOL. AZUL Y BOL. ROJO</t>
  </si>
  <si>
    <t>TRISPACK636023</t>
  </si>
  <si>
    <t>636023</t>
  </si>
  <si>
    <t>PACK BOLIGRAFO AZUL 3 UN.</t>
  </si>
  <si>
    <t>TRISPACK631462</t>
  </si>
  <si>
    <t>631462</t>
  </si>
  <si>
    <t>PACK LAP. GRAFITO 04UN. GLITTER - TRIS</t>
  </si>
  <si>
    <t>TRISPACK632568</t>
  </si>
  <si>
    <t>632568</t>
  </si>
  <si>
    <t>PACK LAPICES DE COLORES/2 LAPICES GRAFITO/TIJERA /SACAPUNTA CON DEP. Y GOMA</t>
  </si>
  <si>
    <t>TRISPACK690063</t>
  </si>
  <si>
    <t>690063</t>
  </si>
  <si>
    <t>PACK PEGAMENTO BARRA 21G / COLA FRIA 40G TRIS</t>
  </si>
  <si>
    <t>TRISPACK647296</t>
  </si>
  <si>
    <t>647296</t>
  </si>
  <si>
    <t>PACK PORTAMINA GLITTER/GOMA DE BORRAR TRIANGULAR</t>
  </si>
  <si>
    <t>TRISSSET678109</t>
  </si>
  <si>
    <t>678109</t>
  </si>
  <si>
    <t>PACK SETS CREATIVOS 3 UN TRIS</t>
  </si>
  <si>
    <t>TMTPPACK673653</t>
  </si>
  <si>
    <t>673653</t>
  </si>
  <si>
    <t>PACK SOLUCION COMPLETA P/TS</t>
  </si>
  <si>
    <t>TMTP</t>
  </si>
  <si>
    <t>TRISPACK635996</t>
  </si>
  <si>
    <t>635996</t>
  </si>
  <si>
    <t>PACK TRIS GOMA DE BORRAR - PACK GOMA DE BORRAR</t>
  </si>
  <si>
    <t>SPIDSSET631431</t>
  </si>
  <si>
    <t>631431</t>
  </si>
  <si>
    <t>GLITTER ECO SET SPIDERMAN</t>
  </si>
  <si>
    <t>SPIDSSET631455</t>
  </si>
  <si>
    <t>631455</t>
  </si>
  <si>
    <t>MOVING SET SPIDERMAN</t>
  </si>
  <si>
    <t>PRINPACK678009</t>
  </si>
  <si>
    <t>678009</t>
  </si>
  <si>
    <t>PACK ESCOLAR PRINCESAS</t>
  </si>
  <si>
    <t>SPIDSSET631264</t>
  </si>
  <si>
    <t>631264</t>
  </si>
  <si>
    <t>SUPER ARTISTIC SET SPIDERMAN</t>
  </si>
  <si>
    <t>MAXSSSET690414</t>
  </si>
  <si>
    <t>690414</t>
  </si>
  <si>
    <t>SUPER PACK MAX STEEL</t>
  </si>
  <si>
    <t>TRISPACK632223</t>
  </si>
  <si>
    <t>632223</t>
  </si>
  <si>
    <t>LAPICES DE COLORES MAS SACAPUNTA Y GOMA</t>
  </si>
  <si>
    <t>PACKS MRIPLEY</t>
  </si>
  <si>
    <t>TRISPACK631486</t>
  </si>
  <si>
    <t>631486</t>
  </si>
  <si>
    <t>TAMPON MAS TINTA</t>
  </si>
  <si>
    <t>TRISPACK632315</t>
  </si>
  <si>
    <t>632315</t>
  </si>
  <si>
    <t>NOTAS AUTOADHESIVAS SET 2</t>
  </si>
  <si>
    <t>TRISPACK620428</t>
  </si>
  <si>
    <t>620428</t>
  </si>
  <si>
    <t>PINTA Y CREA  SET LAPICES TIJERAS Y PEGAMENTO</t>
  </si>
  <si>
    <t>TRISPACK632216</t>
  </si>
  <si>
    <t>632216</t>
  </si>
  <si>
    <t>NOTAS AUTOADHESIVAS SET 1</t>
  </si>
  <si>
    <t>TRISPACK631493</t>
  </si>
  <si>
    <t>631493</t>
  </si>
  <si>
    <t>SET TIJERAS Y CORTANTES</t>
  </si>
  <si>
    <t>TRISPACK631769</t>
  </si>
  <si>
    <t>631769</t>
  </si>
  <si>
    <t>TIJERAS SET CORTES PRECISOS</t>
  </si>
  <si>
    <t>TRISPEGA635101</t>
  </si>
  <si>
    <t>635101</t>
  </si>
  <si>
    <t>PEGAMENTO COLA FRIA 40GR. 1 UNIDAD</t>
  </si>
  <si>
    <t>COLA FRIA</t>
  </si>
  <si>
    <t>TRISPEGA691053</t>
  </si>
  <si>
    <t>691053</t>
  </si>
  <si>
    <t>PEGAMENTO COLA FRIA 110GR. 1 UNIDAD</t>
  </si>
  <si>
    <t>TRISPEGA681290</t>
  </si>
  <si>
    <t>681290</t>
  </si>
  <si>
    <t>PEGAMENTO BARRA 10GR. BLISTER 1 UNIDAD</t>
  </si>
  <si>
    <t>TRISPEGA664125</t>
  </si>
  <si>
    <t>664125</t>
  </si>
  <si>
    <t>PEGAMENTO COLA FRIA 90GR. 1 UNIDAD</t>
  </si>
  <si>
    <t>TRISPEGA681276</t>
  </si>
  <si>
    <t>681276</t>
  </si>
  <si>
    <t>PEGAMENTO BARRA 10GR. DISPLAY 10 UNIDADES</t>
  </si>
  <si>
    <t>TRISPEGA635095</t>
  </si>
  <si>
    <t>635095</t>
  </si>
  <si>
    <t>COLA FRIA 40 GR DISP.12  TRIS</t>
  </si>
  <si>
    <t>TRISPEGA607986</t>
  </si>
  <si>
    <t>607986</t>
  </si>
  <si>
    <t>PEGAMENTO BARRA 21G DSP.12UN TRIS</t>
  </si>
  <si>
    <t>TRISPACK614021</t>
  </si>
  <si>
    <t>614021</t>
  </si>
  <si>
    <t>TRISPEGA608013</t>
  </si>
  <si>
    <t>608013</t>
  </si>
  <si>
    <t>PEGAMENTO BARRA 40G DSP. 9UN TRIS</t>
  </si>
  <si>
    <t>TRISPEGA659145</t>
  </si>
  <si>
    <t>659145</t>
  </si>
  <si>
    <t>PEGAMENTO BARRA 6G.POTE 24UN TRIS</t>
  </si>
  <si>
    <t>TRISPEGA662299</t>
  </si>
  <si>
    <t>662299</t>
  </si>
  <si>
    <t>PEGAMENTO BARRA PLUS 10G DSP. 24UN TRIS</t>
  </si>
  <si>
    <t>TRISPEGA662312</t>
  </si>
  <si>
    <t>662312</t>
  </si>
  <si>
    <t>PEGAMENTO BARRA PLUS 21G DSP. 12UN TRIS</t>
  </si>
  <si>
    <t>TRISPEGA662336</t>
  </si>
  <si>
    <t>662336</t>
  </si>
  <si>
    <t>PEGAMENTO BARRA PLUS 40G DSP. 9UN TRIS</t>
  </si>
  <si>
    <t>TRISPEGA605289</t>
  </si>
  <si>
    <t>605289</t>
  </si>
  <si>
    <t>PEGAMENTO C/GLITTER DSP.12UN AZUL TRIS</t>
  </si>
  <si>
    <t>TRISPEGA611808</t>
  </si>
  <si>
    <t>611808</t>
  </si>
  <si>
    <t>PEGAMENTO C/GLITTER DSP.12UN BLANCO TRIS</t>
  </si>
  <si>
    <t>TRISPEGA605326</t>
  </si>
  <si>
    <t>605326</t>
  </si>
  <si>
    <t>PEGAMENTO C/GLITTER DSP.12UN BRONCE TRIS</t>
  </si>
  <si>
    <t>TRISPEGA604954</t>
  </si>
  <si>
    <t>604954</t>
  </si>
  <si>
    <t>PEGAMENTO C/GLITTER DSP.12UN ORO TRIS</t>
  </si>
  <si>
    <t>TRISPEGA604961</t>
  </si>
  <si>
    <t>604961</t>
  </si>
  <si>
    <t>PEGAMENTO C/GLITTER DSP.12UN PLATA TRIS</t>
  </si>
  <si>
    <t>TRISPEGA605258</t>
  </si>
  <si>
    <t>605258</t>
  </si>
  <si>
    <t>PEGAMENTO C/GLITTER DSP.12UN ROJO TRIS</t>
  </si>
  <si>
    <t>TRISPEGA605302</t>
  </si>
  <si>
    <t>605302</t>
  </si>
  <si>
    <t>PEGAMENTO C/GLITTER DSP.12UN VERDE TRIS</t>
  </si>
  <si>
    <t>TRISPEGA603087</t>
  </si>
  <si>
    <t>603087</t>
  </si>
  <si>
    <t>PEGAMENTO C/GLITTER SET 6COL. TRIS</t>
  </si>
  <si>
    <t>TRISPEGA605296</t>
  </si>
  <si>
    <t>605296</t>
  </si>
  <si>
    <t>PEGAMENTO GLITTER TRIS SHINE - AZUL</t>
  </si>
  <si>
    <t>TRISPEGA611839</t>
  </si>
  <si>
    <t>611839</t>
  </si>
  <si>
    <t>PEGAMENTO GLITTER TRIS SHINE - BLANCO</t>
  </si>
  <si>
    <t>TRISPEGA605333</t>
  </si>
  <si>
    <t>605333</t>
  </si>
  <si>
    <t>PEGAMENTO GLITTER TRIS SHINE - BRONZE</t>
  </si>
  <si>
    <t>TRISPEGA605265</t>
  </si>
  <si>
    <t>605265</t>
  </si>
  <si>
    <t>PEGAMENTO GLITTER TRIS SHINE - ROJO</t>
  </si>
  <si>
    <t>TRISPEGA605319</t>
  </si>
  <si>
    <t>605319</t>
  </si>
  <si>
    <t>PEGAMENTO GLITTER TRIS SHINE - VERDE</t>
  </si>
  <si>
    <t>TRISPEGA648477</t>
  </si>
  <si>
    <t>648477</t>
  </si>
  <si>
    <t>PEGAMENTO MAGICO 10G DSP. 24UN TRIS</t>
  </si>
  <si>
    <t>TRISPEGA653594</t>
  </si>
  <si>
    <t>653594</t>
  </si>
  <si>
    <t>PEGAMENTO MAGICO 10G. BLIS/2UN TRIS</t>
  </si>
  <si>
    <t>MARIPEGA631813</t>
  </si>
  <si>
    <t>631813</t>
  </si>
  <si>
    <t>COLA FRIA 40G DSP 24UN MARI</t>
  </si>
  <si>
    <t>CARSPEGA631318</t>
  </si>
  <si>
    <t>631318</t>
  </si>
  <si>
    <t>COLA FRIA 40G DSP. 24UN CARS</t>
  </si>
  <si>
    <t>BARBPEGA643847</t>
  </si>
  <si>
    <t>643847</t>
  </si>
  <si>
    <t>COLA FRIA 40G DSP.24UN BARB</t>
  </si>
  <si>
    <t>HOTWPEGA644165</t>
  </si>
  <si>
    <t>644165</t>
  </si>
  <si>
    <t>COLA FRIA 40G DSP.24UN HOTW</t>
  </si>
  <si>
    <t>PRINPEGA636924</t>
  </si>
  <si>
    <t>636924</t>
  </si>
  <si>
    <t>COLA FRIA 40G DSP.24UN PRIN</t>
  </si>
  <si>
    <t>SPIDPEGA644370</t>
  </si>
  <si>
    <t>644370</t>
  </si>
  <si>
    <t>COLA FRIA 40G DSP.24UN SPID</t>
  </si>
  <si>
    <t>SPIDPEGA662992</t>
  </si>
  <si>
    <t>662992</t>
  </si>
  <si>
    <t>COLA FRIA 40G DSP.24UN SPID A</t>
  </si>
  <si>
    <t>TOYSPEGA637389</t>
  </si>
  <si>
    <t>637389</t>
  </si>
  <si>
    <t>COLA FRIA 40G DSP.24UN TOYS</t>
  </si>
  <si>
    <t>HADAPEGA632155</t>
  </si>
  <si>
    <t>632155</t>
  </si>
  <si>
    <t>COLA FRIA 40G. DSP.24UN HADA</t>
  </si>
  <si>
    <t>MARISSET667164</t>
  </si>
  <si>
    <t>667164</t>
  </si>
  <si>
    <t>GLITTER ART SET MARIE</t>
  </si>
  <si>
    <t>FROZSSET678115</t>
  </si>
  <si>
    <t>678115</t>
  </si>
  <si>
    <t>GLITTER SET 4 COLORES FROZEN</t>
  </si>
  <si>
    <t>PRINSSET636979</t>
  </si>
  <si>
    <t>636979</t>
  </si>
  <si>
    <t>PEGAMENTO + GOMA CHARM DISPLAY C/18 UN PRINCESAS</t>
  </si>
  <si>
    <t>ANGRPEGA671017</t>
  </si>
  <si>
    <t>671017</t>
  </si>
  <si>
    <t>PEGAMENTO BARRA 15G BLIS A.BIRDS</t>
  </si>
  <si>
    <t>HADAPEGA628004</t>
  </si>
  <si>
    <t>628004</t>
  </si>
  <si>
    <t>PEGAMENTO BARRA 15G BLIS HADA</t>
  </si>
  <si>
    <t>HOTWPEGA644158</t>
  </si>
  <si>
    <t>644158</t>
  </si>
  <si>
    <t>PEGAMENTO BARRA 15G BLIS HOTW</t>
  </si>
  <si>
    <t>MONSPEGA673240</t>
  </si>
  <si>
    <t>673240</t>
  </si>
  <si>
    <t>PEGAMENTO BARRA 15G BLIS M.HIGH</t>
  </si>
  <si>
    <t>MARIPEGA628103</t>
  </si>
  <si>
    <t>628103</t>
  </si>
  <si>
    <t>PEGAMENTO BARRA 15G BLIS MARI</t>
  </si>
  <si>
    <t>PRINPEGA647982</t>
  </si>
  <si>
    <t>647982</t>
  </si>
  <si>
    <t>PEGAMENTO BARRA 15G BLIS PRINCESA</t>
  </si>
  <si>
    <t>CARSPEGA631288</t>
  </si>
  <si>
    <t>631288</t>
  </si>
  <si>
    <t>PEGAMENTO BARRA 15G BLIS. CARS</t>
  </si>
  <si>
    <t>SPIDPEGA664224</t>
  </si>
  <si>
    <t>664224</t>
  </si>
  <si>
    <t>PEGAMENTO BARRA 15G BLIS. SPID A.</t>
  </si>
  <si>
    <t>BARBPEGA643830</t>
  </si>
  <si>
    <t>643830</t>
  </si>
  <si>
    <t>PEGAMENTO BARRA 15G BLIS.BARB</t>
  </si>
  <si>
    <t>HADAPEGA627984</t>
  </si>
  <si>
    <t>627984</t>
  </si>
  <si>
    <t>PEGAMENTO BARRA 15G DSP HADA</t>
  </si>
  <si>
    <t>BARBPEGA643809</t>
  </si>
  <si>
    <t>643809</t>
  </si>
  <si>
    <t>PEGAMENTO BARRA 15G DSP. BARB</t>
  </si>
  <si>
    <t>CARSPEGA631295</t>
  </si>
  <si>
    <t>631295</t>
  </si>
  <si>
    <t>PEGAMENTO BARRA 15G DSP. CARS</t>
  </si>
  <si>
    <t>MARIPEGA628080</t>
  </si>
  <si>
    <t>628080</t>
  </si>
  <si>
    <t>PEGAMENTO BARRA 15G DSP. MARIE</t>
  </si>
  <si>
    <t>MAXSPEGA650098</t>
  </si>
  <si>
    <t>650098</t>
  </si>
  <si>
    <t>PEGAMENTO BARRA 15G DSP. MAXS</t>
  </si>
  <si>
    <t>PRINPEGA647968</t>
  </si>
  <si>
    <t>647968</t>
  </si>
  <si>
    <t>PEGAMENTO BARRA 15G DSP. PRIN</t>
  </si>
  <si>
    <t>SPIDPEGA648026</t>
  </si>
  <si>
    <t>648026</t>
  </si>
  <si>
    <t>PEGAMENTO BARRA 15G DSP. SPID</t>
  </si>
  <si>
    <t>SPIDPEGA662893</t>
  </si>
  <si>
    <t>662893</t>
  </si>
  <si>
    <t>PEGAMENTO BARRA 15G DSP. SPID A</t>
  </si>
  <si>
    <t>HOTWPEGA644127</t>
  </si>
  <si>
    <t>644127</t>
  </si>
  <si>
    <t>PEGAMENTO BARRA 15G DSP.HOTW</t>
  </si>
  <si>
    <t>MUNIPEGA670409</t>
  </si>
  <si>
    <t>670409</t>
  </si>
  <si>
    <t>PEGAMENTO BARRA 15G DSP.M.UNIV</t>
  </si>
  <si>
    <t>CARSPEGA680279</t>
  </si>
  <si>
    <t>680279</t>
  </si>
  <si>
    <t>SET COLA FRIA + PEG.BARRA</t>
  </si>
  <si>
    <t>PRINPEGA680422</t>
  </si>
  <si>
    <t>680422</t>
  </si>
  <si>
    <t>PLANPEGA671062</t>
  </si>
  <si>
    <t>671062</t>
  </si>
  <si>
    <t>SET COLA FRIA + PEG.BARRA PLANES</t>
  </si>
  <si>
    <t>SPIDPEGA675428</t>
  </si>
  <si>
    <t>675428</t>
  </si>
  <si>
    <t>SET COLA FRIA + PEG.BARRA SPID</t>
  </si>
  <si>
    <t>TRISPERF687612</t>
  </si>
  <si>
    <t>687612</t>
  </si>
  <si>
    <t>PERFORADORA METAL T207 2 ORIFICIOS 30HJS BLACK 1 UNIDAD</t>
  </si>
  <si>
    <t>PERFORADORES</t>
  </si>
  <si>
    <t>30 HOJAS</t>
  </si>
  <si>
    <t>TRISPERF665399</t>
  </si>
  <si>
    <t>665399</t>
  </si>
  <si>
    <t>PERFORADORA METAL T210 2 ORIFICIOS 30HJS BLACK 1 UNIDAD</t>
  </si>
  <si>
    <t>TRISPERF665382</t>
  </si>
  <si>
    <t>665382</t>
  </si>
  <si>
    <t>PERFORADORA METAL T205 2 ORIFICIOS 20HJS BLACK 1 UNIDAD</t>
  </si>
  <si>
    <t>20 HOJAS</t>
  </si>
  <si>
    <t>TRISPERF665368</t>
  </si>
  <si>
    <t>665368</t>
  </si>
  <si>
    <t>PERFORADORA METAL T202 2 ORIFICIOS 10HJS BLACK 1 UNIDAD</t>
  </si>
  <si>
    <t>10 HOJAS</t>
  </si>
  <si>
    <t>TRISPERF681023</t>
  </si>
  <si>
    <t>681023</t>
  </si>
  <si>
    <t>PERFORADORA METAL T225 2 ORIFICIOS 60 HJS BLACK 1 UN TRIS</t>
  </si>
  <si>
    <t>60 HOJAS</t>
  </si>
  <si>
    <t>UFFIPERF634449</t>
  </si>
  <si>
    <t>634449</t>
  </si>
  <si>
    <t>PERFORADORA P118 UFFIZI</t>
  </si>
  <si>
    <t>UFFIPERF616155</t>
  </si>
  <si>
    <t>616155</t>
  </si>
  <si>
    <t>PERFORADORA UFFIZI 2 AGUJEROS P104 BEIGE</t>
  </si>
  <si>
    <t>UFFIPERF621302</t>
  </si>
  <si>
    <t>621302</t>
  </si>
  <si>
    <t>PERFORADORA UFFIZI 2 AGUJEROS P109</t>
  </si>
  <si>
    <t>UFFIPERF634463</t>
  </si>
  <si>
    <t>634463</t>
  </si>
  <si>
    <t>PERFORADORA UFFIZI P119</t>
  </si>
  <si>
    <t>MUNIPIZZ673745</t>
  </si>
  <si>
    <t>673745</t>
  </si>
  <si>
    <t>PIZARRA 3 PCS M.UNIV</t>
  </si>
  <si>
    <t>MAXSPIZA678962</t>
  </si>
  <si>
    <t>678962</t>
  </si>
  <si>
    <t>PIZARRA 3 PZAS MAXS STEEL</t>
  </si>
  <si>
    <t>MINNPIZA690773</t>
  </si>
  <si>
    <t>690773</t>
  </si>
  <si>
    <t>PIZARRA 3PZAS. MINNIE</t>
  </si>
  <si>
    <t>PRINPIZA633435</t>
  </si>
  <si>
    <t>633435</t>
  </si>
  <si>
    <t>PIZARRA 3PZAS. PRIN</t>
  </si>
  <si>
    <t>SPIDPIZZ690803</t>
  </si>
  <si>
    <t>690803</t>
  </si>
  <si>
    <t>PIZARRA 3PZAS. SPIDERMAN</t>
  </si>
  <si>
    <t>TOYSPIZA637495</t>
  </si>
  <si>
    <t>637495</t>
  </si>
  <si>
    <t>PIZARRA 3PZAS. TOYS</t>
  </si>
  <si>
    <t>AVENPIZA671338</t>
  </si>
  <si>
    <t>671338</t>
  </si>
  <si>
    <t>PIZARRA 3PZAS.AVENGERS</t>
  </si>
  <si>
    <t>BARBPIZA660134</t>
  </si>
  <si>
    <t>660134</t>
  </si>
  <si>
    <t>PIZARRA 3PZAS.BARB BRZ</t>
  </si>
  <si>
    <t>COLOPIZA673356</t>
  </si>
  <si>
    <t>673356</t>
  </si>
  <si>
    <t>PIZARRA 3PZAS.COLO-COLO</t>
  </si>
  <si>
    <t>HOTWPIZA653846</t>
  </si>
  <si>
    <t>653846</t>
  </si>
  <si>
    <t>PIZARRA 3PZAS.HOTW</t>
  </si>
  <si>
    <t>MARIPIZA639338</t>
  </si>
  <si>
    <t>639338</t>
  </si>
  <si>
    <t>PIZARRA 3PZAS.MARIE</t>
  </si>
  <si>
    <t>MINNPIZA657448</t>
  </si>
  <si>
    <t>657448</t>
  </si>
  <si>
    <t>PIZARRA 3PZAS.MINN</t>
  </si>
  <si>
    <t>MONSPIZA663531</t>
  </si>
  <si>
    <t>663531</t>
  </si>
  <si>
    <t>PIZARRA 3PZAS.MONS</t>
  </si>
  <si>
    <t>SPIDPIZZ667041</t>
  </si>
  <si>
    <t>667041</t>
  </si>
  <si>
    <t>PIZARRA 3PZAS.SPID</t>
  </si>
  <si>
    <t>CARSPIZA657431</t>
  </si>
  <si>
    <t>657431</t>
  </si>
  <si>
    <t>PIZARRA AVENGERS</t>
  </si>
  <si>
    <t>PLANSSET673752</t>
  </si>
  <si>
    <t>673752</t>
  </si>
  <si>
    <t>PIZARRA CON BORRADOR LIC NINO</t>
  </si>
  <si>
    <t>BARBPIZA653747</t>
  </si>
  <si>
    <t>653747</t>
  </si>
  <si>
    <t>PIZARRA HORARIO + ACCESORIOS BARB</t>
  </si>
  <si>
    <t>FROZPIZA678948</t>
  </si>
  <si>
    <t>678948</t>
  </si>
  <si>
    <t>PIZARRAS LICENCIAS NINA</t>
  </si>
  <si>
    <t>STARPIZA682648</t>
  </si>
  <si>
    <t>682648</t>
  </si>
  <si>
    <t>SET PIZARRA NIÑO LICENCIAS</t>
  </si>
  <si>
    <t>TRISMASA688695</t>
  </si>
  <si>
    <t>688695</t>
  </si>
  <si>
    <t>PLASTILINA SET 12 COLORES</t>
  </si>
  <si>
    <t>PLASTICINAS</t>
  </si>
  <si>
    <t>TRISSSET672946</t>
  </si>
  <si>
    <t>672946</t>
  </si>
  <si>
    <t>PLASTICINA 12 COL.TRIS</t>
  </si>
  <si>
    <t>TRISMASA688459</t>
  </si>
  <si>
    <t>688459</t>
  </si>
  <si>
    <t>PLASTICINA POTE 150GR NARANJA SUPER SOFT TRIS</t>
  </si>
  <si>
    <t>TRISMASA688442</t>
  </si>
  <si>
    <t>688442</t>
  </si>
  <si>
    <t>PLASTICINA POTE 150GR ROSADA SUPER SOFT TRIS</t>
  </si>
  <si>
    <t>FROZSSET677903</t>
  </si>
  <si>
    <t>677903</t>
  </si>
  <si>
    <t>PLASTICINA 12 COL FROZEN</t>
  </si>
  <si>
    <t>BARBSSET672953</t>
  </si>
  <si>
    <t>672953</t>
  </si>
  <si>
    <t>PLASTICINA 12 COL.BARB</t>
  </si>
  <si>
    <t>MARISSET672960</t>
  </si>
  <si>
    <t>672960</t>
  </si>
  <si>
    <t>PLASTICINA 12 COL.MARI</t>
  </si>
  <si>
    <t>MINNSSET674810</t>
  </si>
  <si>
    <t>674810</t>
  </si>
  <si>
    <t>PLASTICINA 12 COL.MINNIE</t>
  </si>
  <si>
    <t>PLANSSET672984</t>
  </si>
  <si>
    <t>672984</t>
  </si>
  <si>
    <t>PLASTICINA 12 COL.PLANES</t>
  </si>
  <si>
    <t>PRINSSET672991</t>
  </si>
  <si>
    <t>672991</t>
  </si>
  <si>
    <t>PLASTICINA 12 COL.PRIN</t>
  </si>
  <si>
    <t>TRISEMBA691008</t>
  </si>
  <si>
    <t>TRISPORT688336</t>
  </si>
  <si>
    <t>688336</t>
  </si>
  <si>
    <t>PORTAMINA 0.7MM NEON C/GRIP DSP 24 UN COL. SURTID TRIS</t>
  </si>
  <si>
    <t>TRISPORT686929</t>
  </si>
  <si>
    <t>686929</t>
  </si>
  <si>
    <t>PORTAMINA 0.7MM TECH PUNTA METAL +RPTO. BLISTER 1 UNIDAD</t>
  </si>
  <si>
    <t>TRISPORT688343</t>
  </si>
  <si>
    <t>688343</t>
  </si>
  <si>
    <t>PORTAMINA 0.7MM NEON C/GRIP +RPTO BLISTER 1 UNIDAD</t>
  </si>
  <si>
    <t>TRISPORT681139</t>
  </si>
  <si>
    <t>681139</t>
  </si>
  <si>
    <t>PORTAMINA 0.7MM POP DISPLAY 24 UNIDADES</t>
  </si>
  <si>
    <t>TRISMINA686493</t>
  </si>
  <si>
    <t>686493</t>
  </si>
  <si>
    <t>REPUESTO MINA 0.7MM 2B DISPLAY 12 TUBOS C/24 MINAS</t>
  </si>
  <si>
    <t>TRISPORT681153</t>
  </si>
  <si>
    <t>681153</t>
  </si>
  <si>
    <t>PORTAMINA 0.7MM POP +RPTO BLISTER 1 UNIDAD</t>
  </si>
  <si>
    <t>TRISSSET690384</t>
  </si>
  <si>
    <t>690384</t>
  </si>
  <si>
    <t>DESTACADOR LIQEO PASTEL COLORES SET 3 UNIDADES</t>
  </si>
  <si>
    <t>TRISPORT660127</t>
  </si>
  <si>
    <t>660127</t>
  </si>
  <si>
    <t>PORTAMINA 0,7 MM CITRUS</t>
  </si>
  <si>
    <t>TRISPORT611297</t>
  </si>
  <si>
    <t>611297</t>
  </si>
  <si>
    <t>PORTAMINA 0.5MM DSP.24UN OFFICE TRIS</t>
  </si>
  <si>
    <t>TRISPORT649597</t>
  </si>
  <si>
    <t>649597</t>
  </si>
  <si>
    <t>PORTAMINA 0.7MM DSP.12UN DARLING TRIS</t>
  </si>
  <si>
    <t>TRISPORT623214</t>
  </si>
  <si>
    <t>623214</t>
  </si>
  <si>
    <t>PORTAMINA 0.7MM DSP.24UN GLITTER TRIS</t>
  </si>
  <si>
    <t>TRISPORT659756</t>
  </si>
  <si>
    <t>659756</t>
  </si>
  <si>
    <t>TRISPORT648750</t>
  </si>
  <si>
    <t>648750</t>
  </si>
  <si>
    <t>PORTAMINA 0.7MM DSP.30UN MINI TRIS</t>
  </si>
  <si>
    <t>TRISPORT681054</t>
  </si>
  <si>
    <t>681054</t>
  </si>
  <si>
    <t>PORTAMINA 0.7MM TECH BLS 2 UN TRIS</t>
  </si>
  <si>
    <t>TRISLAPG688350</t>
  </si>
  <si>
    <t>688350</t>
  </si>
  <si>
    <t>PORTAMINA 0.7MM TRIS SIGNATURE DSP18 UN</t>
  </si>
  <si>
    <t>TRISPORT681184</t>
  </si>
  <si>
    <t>681184</t>
  </si>
  <si>
    <t>PORTAMINA 2MM SUPER DSP 12UN TRIS</t>
  </si>
  <si>
    <t>TRISPORT634067</t>
  </si>
  <si>
    <t>634067</t>
  </si>
  <si>
    <t>PORTAMINA CHARM  0.7 MM TRIS</t>
  </si>
  <si>
    <t>TRISPORT686677</t>
  </si>
  <si>
    <t>686677</t>
  </si>
  <si>
    <t>PORTAMINA SLIM 0.7MM COLORES DSP 24 UN TRIS</t>
  </si>
  <si>
    <t>TRISPORT611303</t>
  </si>
  <si>
    <t>611303</t>
  </si>
  <si>
    <t>PORTAMINAS 0.7MM DSP 24UN ANTIDESLIZANTE TRIS</t>
  </si>
  <si>
    <t>TRISPORT621876</t>
  </si>
  <si>
    <t>621876</t>
  </si>
  <si>
    <t>PORTAMINAS 0.7MM DSP.12UN SCHOOL COLORES TRANSP TRIS</t>
  </si>
  <si>
    <t>TRISPORT649030</t>
  </si>
  <si>
    <t>649030</t>
  </si>
  <si>
    <t>PORTAMINAS 0.7MM DSP.24UN TOUCH TRIS</t>
  </si>
  <si>
    <t>PRINSSET633275</t>
  </si>
  <si>
    <t>633275</t>
  </si>
  <si>
    <t>PORTAMINA + BOLIGRAFO +GOMA BLIS. PRIN</t>
  </si>
  <si>
    <t>MAXSSSET638546</t>
  </si>
  <si>
    <t>638546</t>
  </si>
  <si>
    <t>PORTAMINA + BOLIGRAFO BLIS. MAXS</t>
  </si>
  <si>
    <t>SPIDSSET653167</t>
  </si>
  <si>
    <t>653167</t>
  </si>
  <si>
    <t>PORTAMINA + BOLIGRAFO BLIST.SPID</t>
  </si>
  <si>
    <t>MARISSET635422</t>
  </si>
  <si>
    <t>635422</t>
  </si>
  <si>
    <t>PORTAMINA + BOLIGRAFO TOP BLIS MARIE</t>
  </si>
  <si>
    <t>HADAPORT627847</t>
  </si>
  <si>
    <t>627847</t>
  </si>
  <si>
    <t>PORTAMINA 0,7 MM SET 2 UN HADS</t>
  </si>
  <si>
    <t>MARISSET616766</t>
  </si>
  <si>
    <t>616766</t>
  </si>
  <si>
    <t>PORTAMINA 0,7 MM SET 2 UN MARIE</t>
  </si>
  <si>
    <t>MARIPORT631912</t>
  </si>
  <si>
    <t>631912</t>
  </si>
  <si>
    <t>PORTAMINA 0.5MM DSP.12UN TOP MARIE</t>
  </si>
  <si>
    <t>HOTWPORT644097</t>
  </si>
  <si>
    <t>644097</t>
  </si>
  <si>
    <t>PORTAMINA 0.7 MM BLISTER - HOTW</t>
  </si>
  <si>
    <t>BARBPORT643755</t>
  </si>
  <si>
    <t>643755</t>
  </si>
  <si>
    <t>PORTAMINA 0.7MM DSP.24UN BARB</t>
  </si>
  <si>
    <t>HOTWPORT644103</t>
  </si>
  <si>
    <t>644103</t>
  </si>
  <si>
    <t>PORTAMINA 0.7MM DSP.24UN HOTW</t>
  </si>
  <si>
    <t>BARBPORT648293</t>
  </si>
  <si>
    <t>648293</t>
  </si>
  <si>
    <t>PORTAMINA 0.7MM DSP.24UN SHAKE BARBIE</t>
  </si>
  <si>
    <t>HADAPORT648125</t>
  </si>
  <si>
    <t>648125</t>
  </si>
  <si>
    <t>PORTAMINA 0.7MM DSP.24UN SHAKE HADAS</t>
  </si>
  <si>
    <t>HOTWPORT648330</t>
  </si>
  <si>
    <t>648330</t>
  </si>
  <si>
    <t>PORTAMINA 0.7MM DSP.24UN SHAKE HOTW</t>
  </si>
  <si>
    <t>MARIPORT648163</t>
  </si>
  <si>
    <t>648163</t>
  </si>
  <si>
    <t>PORTAMINA 0.7MM DSP.24UN SHAKE MARIE</t>
  </si>
  <si>
    <t>BARBPORT648323</t>
  </si>
  <si>
    <t>648323</t>
  </si>
  <si>
    <t>PORTAMINA SHAKE 0.7 MM BLIS.BARB</t>
  </si>
  <si>
    <t>HADAPORT648156</t>
  </si>
  <si>
    <t>648156</t>
  </si>
  <si>
    <t>PORTAMINA SHAKE 0.7MM BLIS HADA</t>
  </si>
  <si>
    <t>HOTWPORT648361</t>
  </si>
  <si>
    <t>648361</t>
  </si>
  <si>
    <t>PORTAMINA SHAKE 0.7MM BLIS.HOTW</t>
  </si>
  <si>
    <t>MARIPORT648194</t>
  </si>
  <si>
    <t>648194</t>
  </si>
  <si>
    <t>PORTAMINA SHAKE 0.7MM BLIS.MARIE</t>
  </si>
  <si>
    <t>BARBPORT643748</t>
  </si>
  <si>
    <t>643748</t>
  </si>
  <si>
    <t>PORTAMINAS 0,7 MM BARBIE</t>
  </si>
  <si>
    <t>TRISPROM999999</t>
  </si>
  <si>
    <t>999999</t>
  </si>
  <si>
    <t>ARTICULOS PROMOCIONALES</t>
  </si>
  <si>
    <t>PROMOCIONES</t>
  </si>
  <si>
    <t>TRISREGL686615</t>
  </si>
  <si>
    <t>686615</t>
  </si>
  <si>
    <t>REGLA SET GEOMETRICO 30CM FLOPPY 04 UNIDADES</t>
  </si>
  <si>
    <t>TRISREGL621615</t>
  </si>
  <si>
    <t>621615</t>
  </si>
  <si>
    <t>ESCALIMETRO 30CM TRIS</t>
  </si>
  <si>
    <t>TRISREGL635378</t>
  </si>
  <si>
    <t>635378</t>
  </si>
  <si>
    <t>JUEGO DE ESCUADRAS TRIS LINE 20 CM</t>
  </si>
  <si>
    <t>TRISREGL635408</t>
  </si>
  <si>
    <t>635408</t>
  </si>
  <si>
    <t>JUEGO DE ESCUADRAS TRIS LINE 25 CM</t>
  </si>
  <si>
    <t>TRISREGL676586</t>
  </si>
  <si>
    <t>676586</t>
  </si>
  <si>
    <t>REGLA 30 CM. METAL FLEX TRIS</t>
  </si>
  <si>
    <t>JUDYREGL659848</t>
  </si>
  <si>
    <t>659848</t>
  </si>
  <si>
    <t>REGLA 30 CMS JUDY BRZ</t>
  </si>
  <si>
    <t>TRISREGL643502</t>
  </si>
  <si>
    <t>643502</t>
  </si>
  <si>
    <t>REGLA 30 CMS. JELLY FLEXIBLE TRIS</t>
  </si>
  <si>
    <t>TRISREGL648422</t>
  </si>
  <si>
    <t>648422</t>
  </si>
  <si>
    <t>REGLA 30 CMS. SPLASH TRIS</t>
  </si>
  <si>
    <t>SUMMLICE682839</t>
  </si>
  <si>
    <t>682839</t>
  </si>
  <si>
    <t>SET GEOMET DISEÑOS</t>
  </si>
  <si>
    <t>TRISREGL648446</t>
  </si>
  <si>
    <t>648446</t>
  </si>
  <si>
    <t>SET GEOMETRICO  20 CMS TRIS</t>
  </si>
  <si>
    <t>TRISREGL648460</t>
  </si>
  <si>
    <t>648460</t>
  </si>
  <si>
    <t>SET GEOMETRICO  30 CMS TRIS</t>
  </si>
  <si>
    <t>MINNREGL632605</t>
  </si>
  <si>
    <t>632605</t>
  </si>
  <si>
    <t>REGLA 15CMS DSP.36 UN MINN</t>
  </si>
  <si>
    <t>AVENREGL675459</t>
  </si>
  <si>
    <t>675459</t>
  </si>
  <si>
    <t>REGLA 30 CMS.</t>
  </si>
  <si>
    <t>SPIDREGL675589</t>
  </si>
  <si>
    <t>675589</t>
  </si>
  <si>
    <t>CARSREGL627731</t>
  </si>
  <si>
    <t>627731</t>
  </si>
  <si>
    <t>REGLA 30 CMS. CARS</t>
  </si>
  <si>
    <t>HADAREGL660059</t>
  </si>
  <si>
    <t>660059</t>
  </si>
  <si>
    <t>REGLA 30 CMS. HADAS</t>
  </si>
  <si>
    <t>HOTWREGL648118</t>
  </si>
  <si>
    <t>648118</t>
  </si>
  <si>
    <t>REGLA 30 CMS. HOTW</t>
  </si>
  <si>
    <t>MUNIREGL670355</t>
  </si>
  <si>
    <t>670355</t>
  </si>
  <si>
    <t>REGLA 30 CMS. M.UNIV</t>
  </si>
  <si>
    <t>MARIREGL628592</t>
  </si>
  <si>
    <t>628592</t>
  </si>
  <si>
    <t>REGLA 30 CMS. MARIE</t>
  </si>
  <si>
    <t>PLANREGL670522</t>
  </si>
  <si>
    <t>670522</t>
  </si>
  <si>
    <t>REGLA 30 CMS. PLANES</t>
  </si>
  <si>
    <t>CARSREGL631363</t>
  </si>
  <si>
    <t>631363</t>
  </si>
  <si>
    <t>REGLA 30 CMS. PLEGABLE DSP.24UN CARS</t>
  </si>
  <si>
    <t>HOTWREGL644066</t>
  </si>
  <si>
    <t>644066</t>
  </si>
  <si>
    <t>REGLA 30 CMS. PLEGABLE DSP.24UN HOTW</t>
  </si>
  <si>
    <t>TOYSREGL637648</t>
  </si>
  <si>
    <t>637648</t>
  </si>
  <si>
    <t>REGLA 30 CMS. PLEGABLE DSP.24UN TOYS</t>
  </si>
  <si>
    <t>PRINREGL628578</t>
  </si>
  <si>
    <t>628578</t>
  </si>
  <si>
    <t>REGLA 30 CMS. PRIN</t>
  </si>
  <si>
    <t>SPIDREGL663111</t>
  </si>
  <si>
    <t>663111</t>
  </si>
  <si>
    <t>REGLA 30 CMS. SPIDER A.</t>
  </si>
  <si>
    <t>HADAREGL632254</t>
  </si>
  <si>
    <t>632254</t>
  </si>
  <si>
    <t>REGLA ESPEJO DSP.24UN HADA</t>
  </si>
  <si>
    <t>PRINREGL633442</t>
  </si>
  <si>
    <t>633442</t>
  </si>
  <si>
    <t>REGLA ESPEJO DSP.24UN PRIN</t>
  </si>
  <si>
    <t>BARBREGL648095</t>
  </si>
  <si>
    <t>648095</t>
  </si>
  <si>
    <t>REGLA UND</t>
  </si>
  <si>
    <t>BARBREGL643717</t>
  </si>
  <si>
    <t>643717</t>
  </si>
  <si>
    <t>REGLAS DSP 24 UN SURTIDO</t>
  </si>
  <si>
    <t>MONSSSET690308</t>
  </si>
  <si>
    <t>690308</t>
  </si>
  <si>
    <t>SET GEOMETRICO  30 CMS M.HIGH</t>
  </si>
  <si>
    <t>MINNSSET672779</t>
  </si>
  <si>
    <t>672779</t>
  </si>
  <si>
    <t>SET GEOMETRICO  30 CMS MINNI</t>
  </si>
  <si>
    <t>PRINSSET672755</t>
  </si>
  <si>
    <t>672755</t>
  </si>
  <si>
    <t>SET GEOMETRICO  30 CMS PRINCESS</t>
  </si>
  <si>
    <t>SPIDSSET690315</t>
  </si>
  <si>
    <t>690315</t>
  </si>
  <si>
    <t>SET GEOMETRICO  30 CMS SPIDER</t>
  </si>
  <si>
    <t>TRISSACA676494</t>
  </si>
  <si>
    <t>676494</t>
  </si>
  <si>
    <t>SACAPUNTAS C/DEPOSITO SU106 POTE 24 UNIDADES</t>
  </si>
  <si>
    <t>TRISSACA686905</t>
  </si>
  <si>
    <t>686905</t>
  </si>
  <si>
    <t>SACAP. C/DEP. DOBLE TRIANGULAR SU260 BLS 1 UN TRIS</t>
  </si>
  <si>
    <t>TRISSACA676517</t>
  </si>
  <si>
    <t>676517</t>
  </si>
  <si>
    <t>SACAPUNTAS SOBRE MESA SMART 1 UNIDAD</t>
  </si>
  <si>
    <t>SOBREMESA</t>
  </si>
  <si>
    <t>TRISSACA664378</t>
  </si>
  <si>
    <t>664378</t>
  </si>
  <si>
    <t>SACAPUNTAS C/DEPOSITO EMOTICON POTE 16 UNIDADES</t>
  </si>
  <si>
    <t>TRISSACA659329</t>
  </si>
  <si>
    <t>659329</t>
  </si>
  <si>
    <t>SACAPUNTAS SOBRE MESA CERDITO 1 UNIDAD</t>
  </si>
  <si>
    <t>TRISSACA644868</t>
  </si>
  <si>
    <t>644868</t>
  </si>
  <si>
    <t>SACAPUNTAS C/DEPOSITO ELIPTICO SU448 DISPLAY 24 UNIDADES</t>
  </si>
  <si>
    <t>TRISSACA660417</t>
  </si>
  <si>
    <t>660417</t>
  </si>
  <si>
    <t>SACAPUNTAS DISEÑO ESPEJO POTE 24 UNIDADES</t>
  </si>
  <si>
    <t>DISEÑOS SIN DEPOSITO</t>
  </si>
  <si>
    <t>TRISSACA626239</t>
  </si>
  <si>
    <t>626239</t>
  </si>
  <si>
    <t>SACAPUNTAS METALICO DOBLE SU577 DISPLAY 12 UNIDADES</t>
  </si>
  <si>
    <t>METALICOS</t>
  </si>
  <si>
    <t>TRISSSET690353</t>
  </si>
  <si>
    <t>690353</t>
  </si>
  <si>
    <t>DESTACADOR FLUOR LIQEO COLORES SET 4 UNIDADES</t>
  </si>
  <si>
    <t>TRISSSET690391</t>
  </si>
  <si>
    <t>690391</t>
  </si>
  <si>
    <t>LAPIZ GRAFITO HB C/GOMA GRUESO MINI SET 6 UNIDADES</t>
  </si>
  <si>
    <t>TRISSACA685281</t>
  </si>
  <si>
    <t>685281</t>
  </si>
  <si>
    <t>SACAP. S/DEP SU607 PLASTIC DSP 36 UN TRIS</t>
  </si>
  <si>
    <t>PLASTICOS S/DEPOSITO</t>
  </si>
  <si>
    <t>TRISSACA602714</t>
  </si>
  <si>
    <t>602714</t>
  </si>
  <si>
    <t>SACAP. BASICO COLORES DSP.24UN. SU-641 TRIS</t>
  </si>
  <si>
    <t>TRISSACA685236</t>
  </si>
  <si>
    <t>685236</t>
  </si>
  <si>
    <t>SACAP. C/DEP SU110 PLAST BLS 1 UN TRIS</t>
  </si>
  <si>
    <t>TRISSACA688077</t>
  </si>
  <si>
    <t>688077</t>
  </si>
  <si>
    <t>SACAP. C/DEP SU263 TRIANGULAR PLAST DSP 24UN TRIS</t>
  </si>
  <si>
    <t>TRISSACA688121</t>
  </si>
  <si>
    <t>688121</t>
  </si>
  <si>
    <t>SACAP. S/DEP SU605 PLASTIC BLS 3 UN TRIS</t>
  </si>
  <si>
    <t>TRISSACA634401</t>
  </si>
  <si>
    <t>634401</t>
  </si>
  <si>
    <t>SACAP. S/DEP SU983A METAL POTE 24UN TRIS</t>
  </si>
  <si>
    <t>TRISSACA674292</t>
  </si>
  <si>
    <t>674292</t>
  </si>
  <si>
    <t>SACAP. SOBRE MESA GALAXY TRIS</t>
  </si>
  <si>
    <t>TRISSACA658964</t>
  </si>
  <si>
    <t>658964</t>
  </si>
  <si>
    <t>SACAP. TIGRITO DSP.12 UN TRIS</t>
  </si>
  <si>
    <t>TRISSACA659558</t>
  </si>
  <si>
    <t>659558</t>
  </si>
  <si>
    <t>SACAP.C/DEP. DISEÑOS C/GOMA INTERIOR SU-30 TRIS(ESTRELLA Y CPRAZON)</t>
  </si>
  <si>
    <t>TRISSACA648521</t>
  </si>
  <si>
    <t>648521</t>
  </si>
  <si>
    <t>SACAP.C/DEP. ELIPTICO BLIS. SU-448 TRIS</t>
  </si>
  <si>
    <t>TRISSACA605555</t>
  </si>
  <si>
    <t>605555</t>
  </si>
  <si>
    <t>SACAP.C/DEP. RECTANG. DSP.24UN. SU-660 TRIS</t>
  </si>
  <si>
    <t>TRISSACA608044</t>
  </si>
  <si>
    <t>608044</t>
  </si>
  <si>
    <t>SACAP.C/DEP. RECTANG. DSP.24UN. SU-6887 TRIS</t>
  </si>
  <si>
    <t>TRISSACA614953</t>
  </si>
  <si>
    <t>614953</t>
  </si>
  <si>
    <t>SACAP.C/DEP. REDONDO DSP.24UN. SU-101 TRIS</t>
  </si>
  <si>
    <t>TRISSACA617756</t>
  </si>
  <si>
    <t>617756</t>
  </si>
  <si>
    <t>SACAP.C/DEP. Y TAPA RECTANG. DSP.24UN. SU-063 TRIS</t>
  </si>
  <si>
    <t>TRISSACA664576</t>
  </si>
  <si>
    <t>664576</t>
  </si>
  <si>
    <t>SACAP.CONEJITO DSP. 16 UN TRIS</t>
  </si>
  <si>
    <t>TRISSACA634395</t>
  </si>
  <si>
    <t>634395</t>
  </si>
  <si>
    <t>SACAP.METALICO COLORES DSP.24UN.SU-982A TRIS</t>
  </si>
  <si>
    <t>TRISSACA634388</t>
  </si>
  <si>
    <t>634388</t>
  </si>
  <si>
    <t>SACAP.METALICO SIMPLE DSP.36UN.SU-981A TRIS</t>
  </si>
  <si>
    <t>TRISSACA649641</t>
  </si>
  <si>
    <t>649641</t>
  </si>
  <si>
    <t>SACAP.MONITO DSP.18 UN TRIS</t>
  </si>
  <si>
    <t>TRISSACA664354</t>
  </si>
  <si>
    <t>664354</t>
  </si>
  <si>
    <t>SACAP.PEL FUTBOL DSP.12 UN TRIS</t>
  </si>
  <si>
    <t>TRISSACA626215</t>
  </si>
  <si>
    <t>626215</t>
  </si>
  <si>
    <t>SACAP.PESCADITO DSP.12 UN TRIS</t>
  </si>
  <si>
    <t>TRISSACA649733</t>
  </si>
  <si>
    <t>649733</t>
  </si>
  <si>
    <t>SACAP.RATONCITO DSP.12 UN TRIS</t>
  </si>
  <si>
    <t>TRISSACA649689</t>
  </si>
  <si>
    <t>649689</t>
  </si>
  <si>
    <t>SACAP.SAPITO DSP.12 UN TRIS</t>
  </si>
  <si>
    <t>TRISSACA659985</t>
  </si>
  <si>
    <t>659985</t>
  </si>
  <si>
    <t>SACAPUNTA MANZANA BLIS TRIS</t>
  </si>
  <si>
    <t>TRISSACA658988</t>
  </si>
  <si>
    <t>658988</t>
  </si>
  <si>
    <t>SACAPUNTA MANZANA DSP.16 TRIS</t>
  </si>
  <si>
    <t>TRISSACA649672</t>
  </si>
  <si>
    <t>649672</t>
  </si>
  <si>
    <t>SACAPUNTA MONITO BLIS TRIS</t>
  </si>
  <si>
    <t>TRISBLIS626222</t>
  </si>
  <si>
    <t>626222</t>
  </si>
  <si>
    <t>SACAPUNTA PESCADITO BLIS TRIS</t>
  </si>
  <si>
    <t>TRISBLIS661384</t>
  </si>
  <si>
    <t>661384</t>
  </si>
  <si>
    <t>SACAPUNTA PINGUINO BLIS TRIS</t>
  </si>
  <si>
    <t>TRISSACA685274</t>
  </si>
  <si>
    <t>685274</t>
  </si>
  <si>
    <t>SACAPUNTA PLAST S/DEP SU607 BLS 3UN TRIS BRZ</t>
  </si>
  <si>
    <t>TRISBLIS649832</t>
  </si>
  <si>
    <t>649832</t>
  </si>
  <si>
    <t>SACAPUNTA VAQUITA BLIS TRIS</t>
  </si>
  <si>
    <t>MOANSACA685342</t>
  </si>
  <si>
    <t>685342</t>
  </si>
  <si>
    <t>SACAPUNTA PLAST REDONDO C/DEP POTE 18 UN MOANA BRZ</t>
  </si>
  <si>
    <t>FROZSACA679167</t>
  </si>
  <si>
    <t>679167</t>
  </si>
  <si>
    <t>SACAP.C/DEP DSP.18UN FROZ</t>
  </si>
  <si>
    <t>MINNSACA632278</t>
  </si>
  <si>
    <t>632278</t>
  </si>
  <si>
    <t>SACAPUNTA C/DEP.DSP.12UN DOBLE MINN</t>
  </si>
  <si>
    <t>TOYSSACA637303</t>
  </si>
  <si>
    <t>637303</t>
  </si>
  <si>
    <t>SACAPUNTA C/DEP.DSP.12UN DOBLE T.STORY</t>
  </si>
  <si>
    <t>BARBSACA657868</t>
  </si>
  <si>
    <t>657868</t>
  </si>
  <si>
    <t>SACAPUNTA C/DEP.DSP.18UN BARB</t>
  </si>
  <si>
    <t>MONSSACA663340</t>
  </si>
  <si>
    <t>663340</t>
  </si>
  <si>
    <t>SACAPUNTA C/DEP.DSP.18UN M.HIGH</t>
  </si>
  <si>
    <t>POLLSACA659879</t>
  </si>
  <si>
    <t>659879</t>
  </si>
  <si>
    <t>SACAPUNTA C/DEP.DSP.18UN POLLY</t>
  </si>
  <si>
    <t>CARSSACA631141</t>
  </si>
  <si>
    <t>631141</t>
  </si>
  <si>
    <t>SACAPUNTA C/DEP.DSP.24UN CARS</t>
  </si>
  <si>
    <t>HADASSET631981</t>
  </si>
  <si>
    <t>631981</t>
  </si>
  <si>
    <t>SACAPUNTA C/DEP.DSP.24UN HADA</t>
  </si>
  <si>
    <t>HOTWSACA643984</t>
  </si>
  <si>
    <t>643984</t>
  </si>
  <si>
    <t>SACAPUNTA C/DEP.DSP.24UN HOTW</t>
  </si>
  <si>
    <t>MARISACA631592</t>
  </si>
  <si>
    <t>631592</t>
  </si>
  <si>
    <t>SACAPUNTA C/DEP.DSP.24UN MARIE</t>
  </si>
  <si>
    <t>MAXSSACA638386</t>
  </si>
  <si>
    <t>638386</t>
  </si>
  <si>
    <t>SACAPUNTA C/DEP.DSP.24UN MAXS</t>
  </si>
  <si>
    <t>PRINSACA633091</t>
  </si>
  <si>
    <t>633091</t>
  </si>
  <si>
    <t>SACAPUNTA C/DEP.DSP.24UN PRIN</t>
  </si>
  <si>
    <t>SPIDSACA644295</t>
  </si>
  <si>
    <t>644295</t>
  </si>
  <si>
    <t>SACAPUNTA C/DEP.DSP.24UN SPID</t>
  </si>
  <si>
    <t>BARBSACA643632</t>
  </si>
  <si>
    <t>643632</t>
  </si>
  <si>
    <t>SACAPUNTA CORAZON C/DEPOSITO DISP.24 BARBIE</t>
  </si>
  <si>
    <t>SPIDSSET620893</t>
  </si>
  <si>
    <t>620893</t>
  </si>
  <si>
    <t>SUPER DESK SPIDERMAN</t>
  </si>
  <si>
    <t>TRISSSET691060</t>
  </si>
  <si>
    <t>691060</t>
  </si>
  <si>
    <t>SET MEGA (LAP COLOR-PLUMON-GRAFITO) 26 UN TRIS</t>
  </si>
  <si>
    <t>LAPICES COLOR</t>
  </si>
  <si>
    <t>TRISCLIP677477</t>
  </si>
  <si>
    <t>677477</t>
  </si>
  <si>
    <t>SET OFICINA POP OFFICE 185 UN COL. SURTIDOS TRIS</t>
  </si>
  <si>
    <t>TRISSSET679099</t>
  </si>
  <si>
    <t>679099</t>
  </si>
  <si>
    <t>SET TRIS ART&amp;CRAFT SURTIDOS EN DISEÑOS</t>
  </si>
  <si>
    <t>HOTWSSET653891</t>
  </si>
  <si>
    <t>653891</t>
  </si>
  <si>
    <t>ACTION SET HOT WHEELS</t>
  </si>
  <si>
    <t>MAXSSSET638508</t>
  </si>
  <si>
    <t>638508</t>
  </si>
  <si>
    <t>ACTION SET MAX STEEL</t>
  </si>
  <si>
    <t>SPIDSSET653150</t>
  </si>
  <si>
    <t>653150</t>
  </si>
  <si>
    <t>ACTION SET SPIDERMAN</t>
  </si>
  <si>
    <t>HOTWSSET671109</t>
  </si>
  <si>
    <t>671109</t>
  </si>
  <si>
    <t>AUTO INCREIBLE</t>
  </si>
  <si>
    <t>HOTWSSET671130</t>
  </si>
  <si>
    <t>671130</t>
  </si>
  <si>
    <t>AVENTURA COMPACTA HOTW</t>
  </si>
  <si>
    <t>BARBSSET653693</t>
  </si>
  <si>
    <t>653693</t>
  </si>
  <si>
    <t>BAG SET 8 PZAS BARBIE BRZ</t>
  </si>
  <si>
    <t>BARBSSET671086</t>
  </si>
  <si>
    <t>671086</t>
  </si>
  <si>
    <t>BARBIE ARQUITECTA</t>
  </si>
  <si>
    <t>BARBSSET671123</t>
  </si>
  <si>
    <t>671123</t>
  </si>
  <si>
    <t>BARBIE DISEÑADORA DE MODAS</t>
  </si>
  <si>
    <t>BARBSSET670508</t>
  </si>
  <si>
    <t>670508</t>
  </si>
  <si>
    <t>BARBIE MAQUILLADORA</t>
  </si>
  <si>
    <t>BARBSSET653778</t>
  </si>
  <si>
    <t>653778</t>
  </si>
  <si>
    <t>BEAUTY SET BARBIE</t>
  </si>
  <si>
    <t>FISHSSET672724</t>
  </si>
  <si>
    <t>672724</t>
  </si>
  <si>
    <t>BIG RAINBOW CHALK (4 TIZAS) FISHER PRICE</t>
  </si>
  <si>
    <t>FISH</t>
  </si>
  <si>
    <t>FISHSSET672847</t>
  </si>
  <si>
    <t>672847</t>
  </si>
  <si>
    <t>BOOK PARA COLOREAR FISHER PRICE</t>
  </si>
  <si>
    <t>MONSSSET674865</t>
  </si>
  <si>
    <t>674865</t>
  </si>
  <si>
    <t>CAJA ARTISTICA M.HIGH</t>
  </si>
  <si>
    <t>MAXSSSET690643</t>
  </si>
  <si>
    <t>690643</t>
  </si>
  <si>
    <t>CAJA CREATIVE MAX STEEL</t>
  </si>
  <si>
    <t>SPIDSSET690674</t>
  </si>
  <si>
    <t>690674</t>
  </si>
  <si>
    <t>CAJA CREATIVE SPIDERMAN</t>
  </si>
  <si>
    <t>BARBSSET690445</t>
  </si>
  <si>
    <t>690445</t>
  </si>
  <si>
    <t>CAJA GLAM BARBIE</t>
  </si>
  <si>
    <t>MARISSET690438</t>
  </si>
  <si>
    <t>690438</t>
  </si>
  <si>
    <t>CAJA SWEET MARIE</t>
  </si>
  <si>
    <t>HOTWSSET690292</t>
  </si>
  <si>
    <t>690292</t>
  </si>
  <si>
    <t>CAJA TUERCA HOT WHEELS</t>
  </si>
  <si>
    <t>BARBSSET690650</t>
  </si>
  <si>
    <t>690650</t>
  </si>
  <si>
    <t>CAJAS CREATIVE BARBIE</t>
  </si>
  <si>
    <t>HADASSET690667</t>
  </si>
  <si>
    <t>690667</t>
  </si>
  <si>
    <t>CAJAS CREATIVE HADAS</t>
  </si>
  <si>
    <t>MARISSET636641</t>
  </si>
  <si>
    <t>636641</t>
  </si>
  <si>
    <t>CANDIE SET DSP.12UN MARIE</t>
  </si>
  <si>
    <t>FISHSSET672885</t>
  </si>
  <si>
    <t>672885</t>
  </si>
  <si>
    <t>CARRY ARTISTIC DESK (BOB) FISHER PRICE</t>
  </si>
  <si>
    <t>BARBSSET660363</t>
  </si>
  <si>
    <t>660363</t>
  </si>
  <si>
    <t>CARTERA CON ACCESORIO BARBIE</t>
  </si>
  <si>
    <t>HADASSET673141</t>
  </si>
  <si>
    <t>673141</t>
  </si>
  <si>
    <t>CARTERA FASHION HADAS</t>
  </si>
  <si>
    <t>HADASSET660226</t>
  </si>
  <si>
    <t>660226</t>
  </si>
  <si>
    <t>CARTERA FLOWER SET 15 PZAS HADAS</t>
  </si>
  <si>
    <t>PRINSSET673202</t>
  </si>
  <si>
    <t>673202</t>
  </si>
  <si>
    <t>CASTILLO DE PRINCESAS</t>
  </si>
  <si>
    <t>MONSSSET673615</t>
  </si>
  <si>
    <t>673615</t>
  </si>
  <si>
    <t>CHARM SET 3 PZAS. M.HIGH</t>
  </si>
  <si>
    <t>MARISSET636627</t>
  </si>
  <si>
    <t>636627</t>
  </si>
  <si>
    <t>CHARM SET 3 PZAS. MARIE</t>
  </si>
  <si>
    <t>MINNSSET673646</t>
  </si>
  <si>
    <t>673646</t>
  </si>
  <si>
    <t>CHARM SET 3 PZAS. MINNIE</t>
  </si>
  <si>
    <t>PRINSSET636801</t>
  </si>
  <si>
    <t>636801</t>
  </si>
  <si>
    <t>CHARM SET 3 PZAS. PRIN</t>
  </si>
  <si>
    <t>FROZSSET682709</t>
  </si>
  <si>
    <t>682709</t>
  </si>
  <si>
    <t>CHARM SET FROZEN</t>
  </si>
  <si>
    <t>HADASSET659688</t>
  </si>
  <si>
    <t>659688</t>
  </si>
  <si>
    <t>CHIC SET 8 PZAS HADAS</t>
  </si>
  <si>
    <t>HADASSET660189</t>
  </si>
  <si>
    <t>660189</t>
  </si>
  <si>
    <t>CRAFT SET 8 PZAS HADA</t>
  </si>
  <si>
    <t>HOTWSSET658797</t>
  </si>
  <si>
    <t>658797</t>
  </si>
  <si>
    <t>CRAFT SET 8 PZAS HOTW</t>
  </si>
  <si>
    <t>POLLSSET650258</t>
  </si>
  <si>
    <t>650258</t>
  </si>
  <si>
    <t>CRAFT SET 8 PZAS POLLY</t>
  </si>
  <si>
    <t>PRINSSET673226</t>
  </si>
  <si>
    <t>673226</t>
  </si>
  <si>
    <t>CREATIVE ERASE UNA VEZ PRINCESAS</t>
  </si>
  <si>
    <t>AVENSSET671345</t>
  </si>
  <si>
    <t>671345</t>
  </si>
  <si>
    <t>CREATIVE TOWER AVENGERS</t>
  </si>
  <si>
    <t>COLOSSET673233</t>
  </si>
  <si>
    <t>673233</t>
  </si>
  <si>
    <t>CREATIVE TOWER COLO COLO</t>
  </si>
  <si>
    <t>ANGRSSET674148</t>
  </si>
  <si>
    <t>674148</t>
  </si>
  <si>
    <t>CREATIVE YELLOW BIRD A.BIRDS</t>
  </si>
  <si>
    <t>MARISSET667126</t>
  </si>
  <si>
    <t>667126</t>
  </si>
  <si>
    <t>CUTE PAINTING SET MARIE</t>
  </si>
  <si>
    <t>BARBSSET653716</t>
  </si>
  <si>
    <t>653716</t>
  </si>
  <si>
    <t>DOLL SET BARBIE</t>
  </si>
  <si>
    <t>MARISSET667140</t>
  </si>
  <si>
    <t>667140</t>
  </si>
  <si>
    <t>DREAM BLOCK SET MARIE</t>
  </si>
  <si>
    <t>STARSSET682662</t>
  </si>
  <si>
    <t>682662</t>
  </si>
  <si>
    <t>ELITE SQUAD STAR WARS</t>
  </si>
  <si>
    <t>STARSSET682669</t>
  </si>
  <si>
    <t>682669</t>
  </si>
  <si>
    <t>FROZSSET678894</t>
  </si>
  <si>
    <t>678894</t>
  </si>
  <si>
    <t>ESTUCHE FORMA LAPIZ CON ACC FROZEN</t>
  </si>
  <si>
    <t>MARISSET636689</t>
  </si>
  <si>
    <t>636689</t>
  </si>
  <si>
    <t>FASHION SET MARIE</t>
  </si>
  <si>
    <t>BARBSSET674940</t>
  </si>
  <si>
    <t>674940</t>
  </si>
  <si>
    <t>FOIL ARTISTIC  BOOK BARBIE</t>
  </si>
  <si>
    <t>HOTWSSET673103</t>
  </si>
  <si>
    <t>673103</t>
  </si>
  <si>
    <t>GARAGE PORTA CARROS HOTW</t>
  </si>
  <si>
    <t>BARBSSET653679</t>
  </si>
  <si>
    <t>653679</t>
  </si>
  <si>
    <t>GLAMOUR SET BARBIE BRZ</t>
  </si>
  <si>
    <t>POLLSSET670263</t>
  </si>
  <si>
    <t>670263</t>
  </si>
  <si>
    <t>GLITZ SET POLLY BRZ</t>
  </si>
  <si>
    <t>BARBSSET653730</t>
  </si>
  <si>
    <t>653730</t>
  </si>
  <si>
    <t>GORGEOUS SET 13 PZAS BARBIE</t>
  </si>
  <si>
    <t>BARBSSET653877</t>
  </si>
  <si>
    <t>653877</t>
  </si>
  <si>
    <t>JOYERO CON ACCESORIOS 6 PZAS BARBIE</t>
  </si>
  <si>
    <t>STARSSET682652</t>
  </si>
  <si>
    <t>682652</t>
  </si>
  <si>
    <t>KIT FIGHTER SET STAR WARS</t>
  </si>
  <si>
    <t>STARSSET682655</t>
  </si>
  <si>
    <t>682655</t>
  </si>
  <si>
    <t>PRINSSET673196</t>
  </si>
  <si>
    <t>673196</t>
  </si>
  <si>
    <t>LIBRO ERASE UNA VEZ</t>
  </si>
  <si>
    <t>HOTWSSET653839</t>
  </si>
  <si>
    <t>653839</t>
  </si>
  <si>
    <t>LINE SET HOTW</t>
  </si>
  <si>
    <t>MAXSSSET638485</t>
  </si>
  <si>
    <t>638485</t>
  </si>
  <si>
    <t>LINE SET MAXS</t>
  </si>
  <si>
    <t>SPIDSSET644509</t>
  </si>
  <si>
    <t>644509</t>
  </si>
  <si>
    <t>LINE SET SPID</t>
  </si>
  <si>
    <t>BARBSSET653945</t>
  </si>
  <si>
    <t>653945</t>
  </si>
  <si>
    <t>MECH SET 3PZAS. BARB</t>
  </si>
  <si>
    <t>CARSSSET637242</t>
  </si>
  <si>
    <t>637242</t>
  </si>
  <si>
    <t>MECH SET 3PZAS. CARS</t>
  </si>
  <si>
    <t>HOTWSSET653969</t>
  </si>
  <si>
    <t>653969</t>
  </si>
  <si>
    <t>MECH SET 3PZAS. HOTW</t>
  </si>
  <si>
    <t>MARISSET636696</t>
  </si>
  <si>
    <t>636696</t>
  </si>
  <si>
    <t>MECH SET 3PZAS. MARIE</t>
  </si>
  <si>
    <t>PRINSSET650319</t>
  </si>
  <si>
    <t>650319</t>
  </si>
  <si>
    <t>MECH SET 3PZAS. PRIN</t>
  </si>
  <si>
    <t>MUNISSET673134</t>
  </si>
  <si>
    <t>673134</t>
  </si>
  <si>
    <t>MI MINSTRUO M.UNIV</t>
  </si>
  <si>
    <t>BARBSSET690780</t>
  </si>
  <si>
    <t>690780</t>
  </si>
  <si>
    <t>MINI GLAMOUR SET BARBIE</t>
  </si>
  <si>
    <t>FISHSSET672908</t>
  </si>
  <si>
    <t>672908</t>
  </si>
  <si>
    <t>MOCHILA ARTISTICA FISHER PRICE</t>
  </si>
  <si>
    <t>MONSSSET674858</t>
  </si>
  <si>
    <t>674858</t>
  </si>
  <si>
    <t>MONSTER DELUXE SET M.HIGH</t>
  </si>
  <si>
    <t>MONSSSET674841</t>
  </si>
  <si>
    <t>674841</t>
  </si>
  <si>
    <t>MONSTER FRAME SET ART M.HIGH</t>
  </si>
  <si>
    <t>MARISSET636658</t>
  </si>
  <si>
    <t>636658</t>
  </si>
  <si>
    <t>MULTISET MARIE</t>
  </si>
  <si>
    <t>AVENSSET671369</t>
  </si>
  <si>
    <t>671369</t>
  </si>
  <si>
    <t>PAINTING ACTIVITY SET AVENGERS</t>
  </si>
  <si>
    <t>ANGRSSET671246</t>
  </si>
  <si>
    <t>671246</t>
  </si>
  <si>
    <t>PAINTING SET ANGRY BIRDS</t>
  </si>
  <si>
    <t>BARBSSET653792</t>
  </si>
  <si>
    <t>653792</t>
  </si>
  <si>
    <t>PEARL SET BARBIE</t>
  </si>
  <si>
    <t>POLLSSET642109</t>
  </si>
  <si>
    <t>642109</t>
  </si>
  <si>
    <t>PLAY SET 5 PZS POLLY</t>
  </si>
  <si>
    <t>BARBSSET666501</t>
  </si>
  <si>
    <t>666501</t>
  </si>
  <si>
    <t>POP SET BARBIE</t>
  </si>
  <si>
    <t>MARISSET667188</t>
  </si>
  <si>
    <t>667188</t>
  </si>
  <si>
    <t>POSTER ART SET MARIE</t>
  </si>
  <si>
    <t>HOTWSSET690797</t>
  </si>
  <si>
    <t>690797</t>
  </si>
  <si>
    <t>RACE SPEEDY SET</t>
  </si>
  <si>
    <t>ANGRSSET671253</t>
  </si>
  <si>
    <t>671253</t>
  </si>
  <si>
    <t>ROLL SET  ANGRY BIRDS</t>
  </si>
  <si>
    <t>MARISSET667201</t>
  </si>
  <si>
    <t>667201</t>
  </si>
  <si>
    <t>ROMANTIC ART SET MARIE</t>
  </si>
  <si>
    <t>MONSSSET674872</t>
  </si>
  <si>
    <t>674872</t>
  </si>
  <si>
    <t>SCARY MANUAL SET M.HIGH</t>
  </si>
  <si>
    <t>FROZSSET682716</t>
  </si>
  <si>
    <t>682716</t>
  </si>
  <si>
    <t>SET 9 PZS FROZEN</t>
  </si>
  <si>
    <t>PRINSSET682723</t>
  </si>
  <si>
    <t>682723</t>
  </si>
  <si>
    <t>SET 9 PZS PRINCESAS</t>
  </si>
  <si>
    <t>BARBSSET690230</t>
  </si>
  <si>
    <t>690230</t>
  </si>
  <si>
    <t>SET ECONOMICO N°3 BARBIE</t>
  </si>
  <si>
    <t>MONSSSET666969</t>
  </si>
  <si>
    <t>666969</t>
  </si>
  <si>
    <t>SET MONSTER ARTISTIC MONS</t>
  </si>
  <si>
    <t>MONSSSET666983</t>
  </si>
  <si>
    <t>666983</t>
  </si>
  <si>
    <t>SET MONSTER PAINTING MONS</t>
  </si>
  <si>
    <t>AVENSSET668284</t>
  </si>
  <si>
    <t>668284</t>
  </si>
  <si>
    <t>SET STATIONERY FIVE CLIP AVENGERS</t>
  </si>
  <si>
    <t>RIO2SSET667386</t>
  </si>
  <si>
    <t>667386</t>
  </si>
  <si>
    <t>SET STATIONERY FIVE CLIP RIO</t>
  </si>
  <si>
    <t>SPIDSSET672939</t>
  </si>
  <si>
    <t>672939</t>
  </si>
  <si>
    <t>SET STATIONERY FIVE CLIP SPIDER</t>
  </si>
  <si>
    <t>AVENSSET673639</t>
  </si>
  <si>
    <t>673639</t>
  </si>
  <si>
    <t>SET STATIONERY TEN PCS AVENGERS</t>
  </si>
  <si>
    <t>BARBSETS682891</t>
  </si>
  <si>
    <t>682891</t>
  </si>
  <si>
    <t>SET STATIONERY TEN PCS BARB</t>
  </si>
  <si>
    <t>RIO2SSET667065</t>
  </si>
  <si>
    <t>667065</t>
  </si>
  <si>
    <t>SET STATIONERY TEN PCS RIO</t>
  </si>
  <si>
    <t>BARBSSET674018</t>
  </si>
  <si>
    <t>674018</t>
  </si>
  <si>
    <t>SHINNY BAG - CARTERA CON ACCESORIOS BARBIE</t>
  </si>
  <si>
    <t>MARISSET667225</t>
  </si>
  <si>
    <t>667225</t>
  </si>
  <si>
    <t>SUPER ARTISTIC SET MARIE</t>
  </si>
  <si>
    <t>MARISSET667263</t>
  </si>
  <si>
    <t>667263</t>
  </si>
  <si>
    <t>SUPER DESK SET MARIE</t>
  </si>
  <si>
    <t>MARISSET667249</t>
  </si>
  <si>
    <t>667249</t>
  </si>
  <si>
    <t>SUPER FANCY SET MARIE</t>
  </si>
  <si>
    <t>ANGRSSET671260</t>
  </si>
  <si>
    <t>671260</t>
  </si>
  <si>
    <t>SUPER GIFT SET  A.BIRDS</t>
  </si>
  <si>
    <t>HOTWSSET653754</t>
  </si>
  <si>
    <t>653754</t>
  </si>
  <si>
    <t>SUPER GIFT SET HOTW</t>
  </si>
  <si>
    <t>MARISSET631950</t>
  </si>
  <si>
    <t>631950</t>
  </si>
  <si>
    <t>SUPER GIFT SET MARIE</t>
  </si>
  <si>
    <t>MAXSSSET650197</t>
  </si>
  <si>
    <t>650197</t>
  </si>
  <si>
    <t>SUPER GIFT SET MAXS</t>
  </si>
  <si>
    <t>MAXSSSET660240</t>
  </si>
  <si>
    <t>660240</t>
  </si>
  <si>
    <t>SUPER GIFT SET PLUS MAXS</t>
  </si>
  <si>
    <t>SPIDSSET660936</t>
  </si>
  <si>
    <t>660936</t>
  </si>
  <si>
    <t>SUPER GIFT SET SPIDER</t>
  </si>
  <si>
    <t>MONSSSET667003</t>
  </si>
  <si>
    <t>667003</t>
  </si>
  <si>
    <t>SUPER MONSTER DESK MONS</t>
  </si>
  <si>
    <t>MARISSET650067</t>
  </si>
  <si>
    <t>650067</t>
  </si>
  <si>
    <t>SWEET SET MARIE</t>
  </si>
  <si>
    <t>MARISSET673912</t>
  </si>
  <si>
    <t>673912</t>
  </si>
  <si>
    <t>TOP SET MARIE (LOVE GIFT)</t>
  </si>
  <si>
    <t>TRISTIMB664637</t>
  </si>
  <si>
    <t>664637</t>
  </si>
  <si>
    <t>TAMPON TIMBRE T160 10,6X6,8 CM NEGRO 1 UN TRIS</t>
  </si>
  <si>
    <t>TAMPONES</t>
  </si>
  <si>
    <t>FROZSSET678092</t>
  </si>
  <si>
    <t>678092</t>
  </si>
  <si>
    <t>TEMPERAS 12 COL. FROZEN</t>
  </si>
  <si>
    <t>TEMPERAS</t>
  </si>
  <si>
    <t>MONSSSET673042</t>
  </si>
  <si>
    <t>673042</t>
  </si>
  <si>
    <t>TEMPERAS 12 COL. MONS</t>
  </si>
  <si>
    <t>PRINSSET690209</t>
  </si>
  <si>
    <t>690209</t>
  </si>
  <si>
    <t>TEMPERAS 12 COL. PRIN</t>
  </si>
  <si>
    <t>TRISTIJE667546</t>
  </si>
  <si>
    <t>667546</t>
  </si>
  <si>
    <t>TIJERA PROFESIONAL T200 MAX 215MM AZUL/NEGRO 1 UNIDAD</t>
  </si>
  <si>
    <t>TRISTIJE601571</t>
  </si>
  <si>
    <t>601571</t>
  </si>
  <si>
    <t>TIJERA ESCOLAR CLASS BLISTER 1 UNIDAD</t>
  </si>
  <si>
    <t>TRISTIJE667522</t>
  </si>
  <si>
    <t>667522</t>
  </si>
  <si>
    <t>TIJERA PROFESIONAL T206S 203MM BLACK 1 UNIDAD</t>
  </si>
  <si>
    <t>TRISTIJE665467</t>
  </si>
  <si>
    <t>665467</t>
  </si>
  <si>
    <t>TIJERA PROFESIONAL T201 170MM BLACK 1 UNIDAD</t>
  </si>
  <si>
    <t>TRISTIJE667508</t>
  </si>
  <si>
    <t>667508</t>
  </si>
  <si>
    <t>TIJERA PROFESIONAL T208S 210MM BLACK 1 UNIDAD</t>
  </si>
  <si>
    <t>TRISTIJE667560</t>
  </si>
  <si>
    <t>667560</t>
  </si>
  <si>
    <t>TIJERA PROFESIONAL T205 ERGONOMETRICA 216MM 1 UNIDAD</t>
  </si>
  <si>
    <t>TRISTIJE619996</t>
  </si>
  <si>
    <t>619996</t>
  </si>
  <si>
    <t>TIJERA ESC. BLIS. CRAFT TRIS</t>
  </si>
  <si>
    <t>TRISTIJE650517</t>
  </si>
  <si>
    <t>650517</t>
  </si>
  <si>
    <t>TIJERA ESC. BLIS. TOP CUT TRIS</t>
  </si>
  <si>
    <t>TRISTIJE664538</t>
  </si>
  <si>
    <t>664538</t>
  </si>
  <si>
    <t>TIJERA ESC. C/ESTUCHE DSP 24UN TRIS BRZ</t>
  </si>
  <si>
    <t>JUDYTIJE659824</t>
  </si>
  <si>
    <t>659824</t>
  </si>
  <si>
    <t>TIJERA ESC. LAM DEC 13CM BLS JUDY BRZ</t>
  </si>
  <si>
    <t>TRISTIJE667461</t>
  </si>
  <si>
    <t>667461</t>
  </si>
  <si>
    <t>TIJERA PROF T204 SUPER ERGONOMIC 178MM ROJ/NEG TRIS</t>
  </si>
  <si>
    <t>UFFITIJE622170</t>
  </si>
  <si>
    <t>622170</t>
  </si>
  <si>
    <t>TIJERA PROFESIONAL T800 BLIS. UFFIZI</t>
  </si>
  <si>
    <t>UFFITIJE622194</t>
  </si>
  <si>
    <t>622194</t>
  </si>
  <si>
    <t>TIJERA PROFESIONAL T810 BLIS. UFFIZI</t>
  </si>
  <si>
    <t>PRINTIJE649009</t>
  </si>
  <si>
    <t>649009</t>
  </si>
  <si>
    <t>TIJERA ESC.CORAZON DSP.18UN PRIN</t>
  </si>
  <si>
    <t>AVENTIJE675442</t>
  </si>
  <si>
    <t>675442</t>
  </si>
  <si>
    <t>TIJERA AVEN</t>
  </si>
  <si>
    <t>BARBTIJE675800</t>
  </si>
  <si>
    <t>675800</t>
  </si>
  <si>
    <t>TIJERA BARB CA</t>
  </si>
  <si>
    <t>BARBTIJE654256</t>
  </si>
  <si>
    <t>654256</t>
  </si>
  <si>
    <t>TIJERA CORAZON BLIS. BARB</t>
  </si>
  <si>
    <t>MARITIJE648965</t>
  </si>
  <si>
    <t>648965</t>
  </si>
  <si>
    <t>TIJERA CORAZON BLIS. MARIE</t>
  </si>
  <si>
    <t>PRINTIJE648996</t>
  </si>
  <si>
    <t>648996</t>
  </si>
  <si>
    <t>TIJERA CORAZON BLIS. PRINCESAS</t>
  </si>
  <si>
    <t>MINNTIJE662725</t>
  </si>
  <si>
    <t>662725</t>
  </si>
  <si>
    <t>TIJERA ESC S/EST. MINNIE</t>
  </si>
  <si>
    <t>MINNTIJE632643</t>
  </si>
  <si>
    <t>632643</t>
  </si>
  <si>
    <t>TIJERA ESC.  MINNIE</t>
  </si>
  <si>
    <t>CARSTIJE627717</t>
  </si>
  <si>
    <t>627717</t>
  </si>
  <si>
    <t>TIJERA ESC. BLIS. CARS</t>
  </si>
  <si>
    <t>HADATIJE627977</t>
  </si>
  <si>
    <t>627977</t>
  </si>
  <si>
    <t>TIJERA ESC. BLIS. HADA</t>
  </si>
  <si>
    <t>HOTWTIJE643977</t>
  </si>
  <si>
    <t>643977</t>
  </si>
  <si>
    <t>TIJERA ESC. BLIS. HOTW</t>
  </si>
  <si>
    <t>MARITIJE623641</t>
  </si>
  <si>
    <t>623641</t>
  </si>
  <si>
    <t>TIJERA ESC. BLIS. MARIE</t>
  </si>
  <si>
    <t>MAXSTIJE638300</t>
  </si>
  <si>
    <t>638300</t>
  </si>
  <si>
    <t>TIJERA ESC. BLIS. MAXS</t>
  </si>
  <si>
    <t>POLLTIJE645209</t>
  </si>
  <si>
    <t>645209</t>
  </si>
  <si>
    <t>TIJERA ESC. BLIS. POLL</t>
  </si>
  <si>
    <t>STARTIJE677941</t>
  </si>
  <si>
    <t>677941</t>
  </si>
  <si>
    <t>TIJERA ESC. BLIS. STAR WARS</t>
  </si>
  <si>
    <t>TOYSTIJE637679</t>
  </si>
  <si>
    <t>637679</t>
  </si>
  <si>
    <t>TIJERA ESC. BLIS. TOYS</t>
  </si>
  <si>
    <t>BARBTIJE643618</t>
  </si>
  <si>
    <t>643618</t>
  </si>
  <si>
    <t>TIJERA ESC. BLIS.BARBIE</t>
  </si>
  <si>
    <t>PRINTIJE623627</t>
  </si>
  <si>
    <t>623627</t>
  </si>
  <si>
    <t>TIJERA ESC. BLIS.PRINCESAS</t>
  </si>
  <si>
    <t>SIMPTIJE673035</t>
  </si>
  <si>
    <t>673035</t>
  </si>
  <si>
    <t>TIJERA ESC. C/ESTUCHE SIMPSON</t>
  </si>
  <si>
    <t>ANGRTIJE670904</t>
  </si>
  <si>
    <t>670904</t>
  </si>
  <si>
    <t>TIJERA ESC.C/ESTUCHE  ANGRY BIRD</t>
  </si>
  <si>
    <t>CARSTIJE657363</t>
  </si>
  <si>
    <t>657363</t>
  </si>
  <si>
    <t>TIJERA ESC.C/ESTUCHE  CARS</t>
  </si>
  <si>
    <t>COLOTIJE673400</t>
  </si>
  <si>
    <t>673400</t>
  </si>
  <si>
    <t>TIJERA ESC.C/ESTUCHE  COLO COLO</t>
  </si>
  <si>
    <t>CARSTIJE657370</t>
  </si>
  <si>
    <t>657370</t>
  </si>
  <si>
    <t>TIJERA ESC.C/ESTUCHE  DSP.12UN CARS</t>
  </si>
  <si>
    <t>MUNITIJE670379</t>
  </si>
  <si>
    <t>670379</t>
  </si>
  <si>
    <t>TIJERA ESC.C/ESTUCHE  M.UNIV</t>
  </si>
  <si>
    <t>MINNTIJE667362</t>
  </si>
  <si>
    <t>667362</t>
  </si>
  <si>
    <t>TIJERA ESC.C/ESTUCHE  MINNIE B</t>
  </si>
  <si>
    <t>PLANTIJE670591</t>
  </si>
  <si>
    <t>670591</t>
  </si>
  <si>
    <t>TIJERA ESC.C/ESTUCHE  PLANES</t>
  </si>
  <si>
    <t>SPIDSSET663135</t>
  </si>
  <si>
    <t>663135</t>
  </si>
  <si>
    <t>TIJERA ESC.C/ESTUCHE  SPIDER A</t>
  </si>
  <si>
    <t>UCHITIJE673417</t>
  </si>
  <si>
    <t>673417</t>
  </si>
  <si>
    <t>TIJERA ESC.C/ESTUCHE  UNIV.CHILE</t>
  </si>
  <si>
    <t>FROZTIJE678887</t>
  </si>
  <si>
    <t>678887</t>
  </si>
  <si>
    <t>TIJERA ESC.C/ESTUCHE FROZEN</t>
  </si>
  <si>
    <t>BARBTIJE643625</t>
  </si>
  <si>
    <t>643625</t>
  </si>
  <si>
    <t>TIJERA ESC.CORAZON DSP.18UN BARB</t>
  </si>
  <si>
    <t>MARITIJE648972</t>
  </si>
  <si>
    <t>648972</t>
  </si>
  <si>
    <t>TIJERA ESC.CORAZON DSP.18UN MARI</t>
  </si>
  <si>
    <t>MARITIJE636788</t>
  </si>
  <si>
    <t>636788</t>
  </si>
  <si>
    <t>TIJERA ESC.DSP.18UN MARIE</t>
  </si>
  <si>
    <t>MAXSTIJE650203</t>
  </si>
  <si>
    <t>650203</t>
  </si>
  <si>
    <t>TIJERA ESC.DSP.18UN MAXS</t>
  </si>
  <si>
    <t>TOYSTIJE637693</t>
  </si>
  <si>
    <t>637693</t>
  </si>
  <si>
    <t>TIJERA ESC.DSP.18UN TOYS</t>
  </si>
  <si>
    <t>MONSTIJE663395</t>
  </si>
  <si>
    <t>663395</t>
  </si>
  <si>
    <t>TIJERA ESC.MONSTER HIGH BLIS</t>
  </si>
  <si>
    <t>BARBTIJE683812</t>
  </si>
  <si>
    <t>683812</t>
  </si>
  <si>
    <t>TIJERA ESCOLAR  BLS 1 UN BARBIE</t>
  </si>
  <si>
    <t>STARTIJE675084</t>
  </si>
  <si>
    <t>675084</t>
  </si>
  <si>
    <t>TIJERA ESCOLAR 13 CM STAR WARS</t>
  </si>
  <si>
    <t>AVENTIJE671307</t>
  </si>
  <si>
    <t>671307</t>
  </si>
  <si>
    <t>TIJERA ESCOLAR BLS C/EST AV</t>
  </si>
  <si>
    <t>FROZTIJE679235</t>
  </si>
  <si>
    <t>679235</t>
  </si>
  <si>
    <t>TIJERA ESCOLAR LICENCIAS FR</t>
  </si>
  <si>
    <t>FROZTIJE680309</t>
  </si>
  <si>
    <t>680309</t>
  </si>
  <si>
    <t>TIJERA FROZEN</t>
  </si>
  <si>
    <t>PRINTIJE680699</t>
  </si>
  <si>
    <t>680699</t>
  </si>
  <si>
    <t>TIJERA PRIN</t>
  </si>
  <si>
    <t>SPIDTIJE675596</t>
  </si>
  <si>
    <t>675596</t>
  </si>
  <si>
    <t>TIJERA SPID</t>
  </si>
  <si>
    <t>BARBTIMB675893</t>
  </si>
  <si>
    <t>675893</t>
  </si>
  <si>
    <t>TIMBRE BARBIE</t>
  </si>
  <si>
    <t>TIMBRES</t>
  </si>
  <si>
    <t>MARITIMB677316</t>
  </si>
  <si>
    <t>677316</t>
  </si>
  <si>
    <t>TIMBRE MARIE</t>
  </si>
  <si>
    <t>BARBTIMB673424</t>
  </si>
  <si>
    <t>673424</t>
  </si>
  <si>
    <t>TIMBRES DISEÑO 3UN BLIS. BARB</t>
  </si>
  <si>
    <t>HADATIMB632124</t>
  </si>
  <si>
    <t>632124</t>
  </si>
  <si>
    <t>TIMBRES DISEÑO 3UN BLIS. HADA</t>
  </si>
  <si>
    <t>HOTWTIMB673431</t>
  </si>
  <si>
    <t>673431</t>
  </si>
  <si>
    <t>TIMBRES DISEÑO 3UN BLIS. HOTW</t>
  </si>
  <si>
    <t>MARITIMB631783</t>
  </si>
  <si>
    <t>631783</t>
  </si>
  <si>
    <t>TIMBRES DISEÑO 3UN BLIS. MARIE</t>
  </si>
  <si>
    <t>BARBTIMB653952</t>
  </si>
  <si>
    <t>653952</t>
  </si>
  <si>
    <t>TIMBRES DISEÑO DSP. 12UN BARB</t>
  </si>
  <si>
    <t>HADATIMB632131</t>
  </si>
  <si>
    <t>632131</t>
  </si>
  <si>
    <t>TIMBRES DISEÑO DSP. 12UN HADAS</t>
  </si>
  <si>
    <t>HOTWTIMB654102</t>
  </si>
  <si>
    <t>654102</t>
  </si>
  <si>
    <t>TIMBRES DISEÑO DSP. 12UN HOT W</t>
  </si>
  <si>
    <t>MARITIMB631790</t>
  </si>
  <si>
    <t>631790</t>
  </si>
  <si>
    <t>TIMBRES DISEÑO DSP. 12UN MARIE</t>
  </si>
  <si>
    <t>TRISTINT665504</t>
  </si>
  <si>
    <t>665504</t>
  </si>
  <si>
    <t>TINTA TAMPON T325 40ML AZUL 1 UNIDAD</t>
  </si>
  <si>
    <t>TRISTINT668086</t>
  </si>
  <si>
    <t>668086</t>
  </si>
  <si>
    <t>TINTA TAMPON T325 40ML NEGRO 1 UNIDAD</t>
  </si>
  <si>
    <t>TRISEMBA692098</t>
  </si>
  <si>
    <t>692098</t>
  </si>
  <si>
    <t>Pack 03 cinta embalaje transparente 48x100 mt</t>
  </si>
  <si>
    <t>TRISEMBA692371</t>
  </si>
  <si>
    <t>TRISBOLI685458</t>
  </si>
  <si>
    <t>685458</t>
  </si>
  <si>
    <t>BOLIGRAFO FINELINER LIQEO SET 10 COLORES</t>
  </si>
  <si>
    <t>TRISLAPC687247</t>
  </si>
  <si>
    <t>687247</t>
  </si>
  <si>
    <t>LAPICES DE COLOR MEGA SOFT 72 COLORES ESTUCHE METAL</t>
  </si>
  <si>
    <t>TRISCORC665085</t>
  </si>
  <si>
    <t>665085</t>
  </si>
  <si>
    <t>CORCHETERA METALICA T510 26/6 BLACK 25HJS 1 UNIDAD</t>
  </si>
  <si>
    <t>TRISCORC680774</t>
  </si>
  <si>
    <t>680774</t>
  </si>
  <si>
    <t>CORCHETERA METALICA T571 26/6 SILVER 25HJS 1 UNIDAD</t>
  </si>
  <si>
    <t>TRISCORC665924</t>
  </si>
  <si>
    <t>665924</t>
  </si>
  <si>
    <t>CORCHETERA ROSADA T304  26/6 1 UNIDAD</t>
  </si>
  <si>
    <t>TRISCORC665931</t>
  </si>
  <si>
    <t>665931</t>
  </si>
  <si>
    <t>CORCHETERA 26/6 T327 13CM 20HJS BCO/NEG 1 UNIDAD</t>
  </si>
  <si>
    <t>TRISCORC665146</t>
  </si>
  <si>
    <t>665146</t>
  </si>
  <si>
    <t>CORCHETERA METALICA 26/6 T945 BLACK 20HJS 1 UNIDAD</t>
  </si>
  <si>
    <t>TRISCORC665184</t>
  </si>
  <si>
    <t>665184</t>
  </si>
  <si>
    <t>CORCHETERA METALICA 26/6 T316 BLACK 25HJS 1 UNIDAD</t>
  </si>
  <si>
    <t>TRISGOMA687827</t>
  </si>
  <si>
    <t>687827</t>
  </si>
  <si>
    <t>GOMA DE BORRAR SUMMER BLISTER 2 UNIDADES</t>
  </si>
  <si>
    <t>TRISACUA682365</t>
  </si>
  <si>
    <t>682365</t>
  </si>
  <si>
    <t>TINTA GUACHE NEON TUBO-PINCEL SET 6 COLORES</t>
  </si>
  <si>
    <t>TRISACUA681306</t>
  </si>
  <si>
    <t>681306</t>
  </si>
  <si>
    <t>TINTA GUACHE GLITTER TUBO-PINCEL SET 6 COLORES</t>
  </si>
  <si>
    <t>TRISBOLI603056</t>
  </si>
  <si>
    <t>603056</t>
  </si>
  <si>
    <t>BOLIGRAFO GEL PASTEL/GLITTER/NEON SET 12 COLORES</t>
  </si>
  <si>
    <t>TRISLAPC603506</t>
  </si>
  <si>
    <t>603506</t>
  </si>
  <si>
    <t>LAPICES DE COLOR MEGA 12 COLORES + 3 GRAFITOS GALAXY</t>
  </si>
  <si>
    <t>TRISLAPC603490</t>
  </si>
  <si>
    <t>603490</t>
  </si>
  <si>
    <t>LAPICES DE COLOR MEGA 12 COLORES + 3 GRAFITOS STAR</t>
  </si>
  <si>
    <t>TRISSSET688503</t>
  </si>
  <si>
    <t>688503</t>
  </si>
  <si>
    <t>BASIC SET (SACAP+GOMA) EMOTICON</t>
  </si>
  <si>
    <t>TRISBLGL651422</t>
  </si>
  <si>
    <t>651422</t>
  </si>
  <si>
    <t>BOLIGRAFO GEL EFECTO GLITTER SET 6 COLORES</t>
  </si>
  <si>
    <t>TRISBOLI603049</t>
  </si>
  <si>
    <t>603049</t>
  </si>
  <si>
    <t>BOLIGRAFO GEL PASTEL SET 6 COLORES</t>
  </si>
  <si>
    <t>TRISCERA684321</t>
  </si>
  <si>
    <t>684321</t>
  </si>
  <si>
    <t>LAPICES DE CERA GRUESOS 12 COLORES</t>
  </si>
  <si>
    <t>GRUESOS</t>
  </si>
  <si>
    <t>TRISLAPC684116</t>
  </si>
  <si>
    <t>684116</t>
  </si>
  <si>
    <t>LAPICES DE COLOR MEGA SOFT 12 COLORES</t>
  </si>
  <si>
    <t>TRISDEST648927</t>
  </si>
  <si>
    <t>648927</t>
  </si>
  <si>
    <t>DESTACADOR LITTLE LIGHT SET 6 COLORES</t>
  </si>
  <si>
    <t>TRISPLUM657714</t>
  </si>
  <si>
    <t>657714</t>
  </si>
  <si>
    <t>MARCADOR PUNTA FINA CLASSIC PLUS 12 COLORES</t>
  </si>
  <si>
    <t>691985</t>
  </si>
  <si>
    <t>SET LONCHERA PROMOCIONAL</t>
  </si>
  <si>
    <t>ISOFIT</t>
  </si>
  <si>
    <t>aqui</t>
  </si>
  <si>
    <t>PRODUCTO TERMIANADO</t>
  </si>
  <si>
    <t>DESCRIPCIÓN</t>
  </si>
  <si>
    <t>CANTIDAD TOTAL</t>
  </si>
  <si>
    <t>STC</t>
  </si>
  <si>
    <t>FECHA</t>
  </si>
  <si>
    <t>ANTIGUA UBICACION</t>
  </si>
  <si>
    <t>CANTIDAD EN UBICACION</t>
  </si>
  <si>
    <t>CANTIDAD MOVIDA</t>
  </si>
  <si>
    <t>NUEVA UBICACION</t>
  </si>
  <si>
    <t>T-1-1</t>
  </si>
  <si>
    <t>3-NV-4</t>
  </si>
  <si>
    <t>ANDEN-1-17</t>
  </si>
  <si>
    <t>692029S</t>
  </si>
  <si>
    <t>CAJA CARTON CORRUGADO 60x40x40</t>
  </si>
  <si>
    <t>3-5-1A</t>
  </si>
  <si>
    <t>T-1-31</t>
  </si>
  <si>
    <t>ROLLO CARTON CORRUGADO 0.80X100 MT</t>
  </si>
  <si>
    <t>3-NV-2</t>
  </si>
  <si>
    <t>3-3-5A</t>
  </si>
  <si>
    <t>600903P</t>
  </si>
  <si>
    <t>CAJA CARTON CON ASAS 70X30X30 CM EASY</t>
  </si>
  <si>
    <t>3-2-5A</t>
  </si>
  <si>
    <t>3-2-4A</t>
  </si>
  <si>
    <t>ZOUT-1-30</t>
  </si>
  <si>
    <t>PATIO-1-6</t>
  </si>
  <si>
    <t>600902P</t>
  </si>
  <si>
    <t>CAJA CARTON CON ASAS 50X30X30 CM EASY</t>
  </si>
  <si>
    <t>3-5-5A</t>
  </si>
  <si>
    <t>3-3-3B</t>
  </si>
  <si>
    <t>ANDEN-1-1</t>
  </si>
  <si>
    <t>ANDEN-1-2</t>
  </si>
  <si>
    <t>3-3-4A</t>
  </si>
  <si>
    <t>3-3-3A</t>
  </si>
  <si>
    <t>3-4-3A</t>
  </si>
  <si>
    <t>ANDEN-1-3</t>
  </si>
  <si>
    <t>PENDIENTE</t>
  </si>
  <si>
    <t>SEPARADOR BOTELLA DOS RANURAS</t>
  </si>
  <si>
    <t>3-1-3A</t>
  </si>
  <si>
    <t>PATIO-1-5</t>
  </si>
  <si>
    <t>PATIO-1-4</t>
  </si>
  <si>
    <t>2-3-2003</t>
  </si>
  <si>
    <t>PATIO-1-3</t>
  </si>
  <si>
    <t>2-4-2003</t>
  </si>
  <si>
    <t>PATIO-1-1</t>
  </si>
  <si>
    <t>3-5-3A</t>
  </si>
  <si>
    <t>PATIO-1-2</t>
  </si>
  <si>
    <t>2-5-2003</t>
  </si>
  <si>
    <t>3-5-4A</t>
  </si>
  <si>
    <t>3-4-5A</t>
  </si>
  <si>
    <t>3-6-4A</t>
  </si>
  <si>
    <t>ROLLO PAPEL KRAFT 35GR 25 MT</t>
  </si>
  <si>
    <t>3-6-5A</t>
  </si>
  <si>
    <t>3-4-4A</t>
  </si>
  <si>
    <t>600901P</t>
  </si>
  <si>
    <t>CAJA CARTON CON ASAS 40X30X30 CM  EASY</t>
  </si>
  <si>
    <t>3-4-2B</t>
  </si>
  <si>
    <t>3-4-2A</t>
  </si>
  <si>
    <t>ANDEN-1-11</t>
  </si>
  <si>
    <t>ANDEN-1-10</t>
  </si>
  <si>
    <t>ANDEN-1-13</t>
  </si>
  <si>
    <t>ANDEN-1-14</t>
  </si>
  <si>
    <t>ANDEN-1-16</t>
  </si>
  <si>
    <t>ANDEN-1-15</t>
  </si>
  <si>
    <t>2-4-2002</t>
  </si>
  <si>
    <t>3-2-4B</t>
  </si>
  <si>
    <t>3-2-3A</t>
  </si>
  <si>
    <t>T-1-9</t>
  </si>
  <si>
    <t>T-1-12</t>
  </si>
  <si>
    <t>3-NV-3</t>
  </si>
  <si>
    <t>CAJA PLUMAVIT 35 LITROS</t>
  </si>
  <si>
    <t>3-7-5A</t>
  </si>
  <si>
    <t>692036X</t>
  </si>
  <si>
    <t>ANDEN-1-4</t>
  </si>
  <si>
    <t>ANDEN-1-5</t>
  </si>
  <si>
    <t>ANDEN-1-6</t>
  </si>
  <si>
    <t>3-2-2A</t>
  </si>
  <si>
    <t>T-1-16</t>
  </si>
  <si>
    <t>T-1-17</t>
  </si>
  <si>
    <t>3-7-2A</t>
  </si>
  <si>
    <t>ROLLO ESPUMA EMBALAJE 1 MM 0,70X5 MT</t>
  </si>
  <si>
    <t>3-7-4A</t>
  </si>
  <si>
    <t>3-7-3B</t>
  </si>
  <si>
    <t>ROLLO PAPEL PANAL 0,50 X 25MTS</t>
  </si>
  <si>
    <t>3-7-2B</t>
  </si>
  <si>
    <t>3-NV-1</t>
  </si>
  <si>
    <t>600900P</t>
  </si>
  <si>
    <t>ROLLO ESPUMA EMBALAJE 1 MM 1.40X125 MT</t>
  </si>
  <si>
    <t>CASINO-1-1</t>
  </si>
  <si>
    <t>3-7-1A</t>
  </si>
  <si>
    <t>3-7-1B</t>
  </si>
  <si>
    <t>ROLLO ESPUMA EMBALAJE 1 MM 0,70X10 MT</t>
  </si>
  <si>
    <t>T-1-8</t>
  </si>
  <si>
    <t>ANDEN-1-18</t>
  </si>
  <si>
    <t>PATIO-1-12</t>
  </si>
  <si>
    <t>PATIO-1-13</t>
  </si>
  <si>
    <t>PATIO-1-14</t>
  </si>
  <si>
    <t>PATIO-1-15</t>
  </si>
  <si>
    <t>PATIO-1-16</t>
  </si>
  <si>
    <t>PATIO-1-17</t>
  </si>
  <si>
    <t>PATIO-1-19</t>
  </si>
  <si>
    <t>PATIO-1-20</t>
  </si>
  <si>
    <t>PATIO-1-22</t>
  </si>
  <si>
    <t>PATIO-1-23</t>
  </si>
  <si>
    <t>PATIO-1-24</t>
  </si>
  <si>
    <t>PATIO-1-21</t>
  </si>
  <si>
    <t>692029X</t>
  </si>
  <si>
    <t>PATIO-1-25</t>
  </si>
  <si>
    <t>T-1-20</t>
  </si>
  <si>
    <t>CAJA CARTON S/IMP 32x23x32 CM</t>
  </si>
  <si>
    <t>2-5-3</t>
  </si>
  <si>
    <t>692012X</t>
  </si>
  <si>
    <t>3-5-2A</t>
  </si>
  <si>
    <t>4-21-B</t>
  </si>
  <si>
    <t>1-1-4</t>
  </si>
  <si>
    <t>ANDEN-1-8</t>
  </si>
  <si>
    <t>ANDEN-1-9</t>
  </si>
  <si>
    <t>T-1-19</t>
  </si>
  <si>
    <t>T-1-28</t>
  </si>
  <si>
    <t>T-1-24</t>
  </si>
  <si>
    <t>T-1-33</t>
  </si>
  <si>
    <t>T-1-32</t>
  </si>
  <si>
    <t>T-1-30</t>
  </si>
  <si>
    <t>PATIO-1-10</t>
  </si>
  <si>
    <t>PATIO-1-11</t>
  </si>
  <si>
    <t>2-3-3</t>
  </si>
  <si>
    <t>600499X</t>
  </si>
  <si>
    <t>2-4-3</t>
  </si>
  <si>
    <t>ROLLO PAPEL KRAFT 35GR 57X20 MT</t>
  </si>
  <si>
    <t>2-6-1</t>
  </si>
  <si>
    <t>FILM STRECH MANUAL 20MIC X 500MM 2,0KG</t>
  </si>
  <si>
    <t>3-1-1A</t>
  </si>
  <si>
    <t>3-6-3A</t>
  </si>
  <si>
    <t>ROLLO PAPEL KRAFT 35GR 57X25 MT</t>
  </si>
  <si>
    <t>2-5-1</t>
  </si>
  <si>
    <t>T-1-4</t>
  </si>
  <si>
    <t>2-1-1</t>
  </si>
  <si>
    <t>SEPARADOR VASOS BOTELLAS 32X23X32</t>
  </si>
  <si>
    <t>2-1-3</t>
  </si>
  <si>
    <t>2-2-3</t>
  </si>
  <si>
    <t>4-21-D</t>
  </si>
  <si>
    <t>4-21-C</t>
  </si>
  <si>
    <t>ESTADO</t>
  </si>
  <si>
    <t>ING</t>
  </si>
  <si>
    <t>UND X PACK</t>
  </si>
  <si>
    <t>M/D</t>
  </si>
  <si>
    <t>PLAZO COMPRA</t>
  </si>
  <si>
    <t>STOCK CRITICO</t>
  </si>
  <si>
    <t>INACTIVO</t>
  </si>
  <si>
    <t>Si</t>
  </si>
  <si>
    <t>EMBALAJE</t>
  </si>
  <si>
    <t>D</t>
  </si>
  <si>
    <t>CAJA</t>
  </si>
  <si>
    <t>P</t>
  </si>
  <si>
    <t>PALLET 1,20X1,00</t>
  </si>
  <si>
    <t>ACTIVO</t>
  </si>
  <si>
    <t>600482X</t>
  </si>
  <si>
    <t>600482</t>
  </si>
  <si>
    <t>CAJA CARTON CON ASAS 40X30X30 CM 5UN EASY</t>
  </si>
  <si>
    <t>600499</t>
  </si>
  <si>
    <t>CAJA CARTON CON ASAS 50X30X30 CM 5UN EASY</t>
  </si>
  <si>
    <t>ZUNCHO PLASTICO BLANCO 1/2X0,5X2500MT</t>
  </si>
  <si>
    <t>600505</t>
  </si>
  <si>
    <t>CAJA CARTON CON ASAS 70X30X30 CM 5UN EASY</t>
  </si>
  <si>
    <t>600505X</t>
  </si>
  <si>
    <t>699999P</t>
  </si>
  <si>
    <t>CAJA CARTON CORRUGADO 50x30x30 CM</t>
  </si>
  <si>
    <t>CAJA CARTON CORRUGADO 60x40x40 S/IMPRESION</t>
  </si>
  <si>
    <t>691410</t>
  </si>
  <si>
    <t>691411X</t>
  </si>
  <si>
    <t>600666</t>
  </si>
  <si>
    <t>684840X</t>
  </si>
  <si>
    <t>CAJA CARTON STOREBOX 38x29.5x24.5 CM.</t>
  </si>
  <si>
    <t>CAJA MULTI TV 50-55</t>
  </si>
  <si>
    <t>600697</t>
  </si>
  <si>
    <t>CAJA PLUMAVIT</t>
  </si>
  <si>
    <t>600523X</t>
  </si>
  <si>
    <t>FUNDA PAPEL PANAL 40X10CM</t>
  </si>
  <si>
    <t>PAPEL KTAFT</t>
  </si>
  <si>
    <t>600523</t>
  </si>
  <si>
    <t>FUNDA PAPEL PANAL SET 3 UN 40X10CM</t>
  </si>
  <si>
    <t>ROLLO CARTON</t>
  </si>
  <si>
    <t>692265</t>
  </si>
  <si>
    <t>M</t>
  </si>
  <si>
    <t>600512</t>
  </si>
  <si>
    <t>ROLLO ESPUMA</t>
  </si>
  <si>
    <t>600659</t>
  </si>
  <si>
    <t>ROLLO ESPUMA EMBALAJE 1 MM 1.40X220 MT</t>
  </si>
  <si>
    <t>600772</t>
  </si>
  <si>
    <t>ROLLO PAPEL KRAFT 35G 57X230MT</t>
  </si>
  <si>
    <t>600536</t>
  </si>
  <si>
    <t>600673</t>
  </si>
  <si>
    <t>600550</t>
  </si>
  <si>
    <t>600574</t>
  </si>
  <si>
    <t>SEPARADOR</t>
  </si>
  <si>
    <t>600567</t>
  </si>
  <si>
    <t>SEPARADORES PLATOS 32X23X32</t>
  </si>
  <si>
    <t>RECETA BOTELLA</t>
  </si>
  <si>
    <t>RECETA LONCHERA</t>
  </si>
  <si>
    <t>ROLLO CARTON ACOLCHADO 40CMx5MT</t>
  </si>
  <si>
    <t>55555555</t>
  </si>
  <si>
    <t>ROLLO PAPEL PANAL 100MT</t>
  </si>
  <si>
    <t>600567XX</t>
  </si>
  <si>
    <t>PDQ SEPARADOR PLATO</t>
  </si>
  <si>
    <t>PDQ</t>
  </si>
  <si>
    <t>600523XX</t>
  </si>
  <si>
    <t>PDQ FUNDA PANAL</t>
  </si>
  <si>
    <t>600574XX</t>
  </si>
  <si>
    <t>PDQ BOTELLAS VASOS</t>
  </si>
  <si>
    <t>ROLLO PLASTICO BURBUJA 1X10MT</t>
  </si>
  <si>
    <t>690469X</t>
  </si>
  <si>
    <t>ROLLO BURBUJA</t>
  </si>
  <si>
    <t>ROLLO PLASTICO BURBUJA BOBINA</t>
  </si>
  <si>
    <t>600758</t>
  </si>
  <si>
    <t>ROLLO PAPEL KRAFT 35G 20X230MTS</t>
  </si>
  <si>
    <t>600765</t>
  </si>
  <si>
    <t>ROLLO PAPEL KRAFT 35G 40X230MTS</t>
  </si>
  <si>
    <t>1500 UN ETIQUETA ADHESIVA 100X50 BLANCA</t>
  </si>
  <si>
    <t>ETIQUETA ADESIVA</t>
  </si>
  <si>
    <t>CINTA EMBALAJE 48X100</t>
  </si>
  <si>
    <t>CINTA EMBALAJE</t>
  </si>
  <si>
    <t>CINTA EMBALAJE 48X40</t>
  </si>
  <si>
    <t>FILM STRECH MANUAL 20MIC X 500MM 1,7KG</t>
  </si>
  <si>
    <t>STRETCH FILM</t>
  </si>
  <si>
    <t>GUIA</t>
  </si>
  <si>
    <t>SKU PROVEEDOR</t>
  </si>
  <si>
    <t>Ajuste</t>
  </si>
  <si>
    <t>ASIGANAR_0</t>
  </si>
  <si>
    <t>TFF1000048</t>
  </si>
  <si>
    <t>FILM STRECH MANUAL 20MIC X 500MM 2KG</t>
  </si>
  <si>
    <t>PLTSTDSMT120X100</t>
  </si>
  <si>
    <t>TFF1000050</t>
  </si>
  <si>
    <t>TEE1500185</t>
  </si>
  <si>
    <t>TEE1500179</t>
  </si>
  <si>
    <t>600567ETI</t>
  </si>
  <si>
    <t>ETIQUETA SEPARADOR PLATO</t>
  </si>
  <si>
    <t>600523ETI</t>
  </si>
  <si>
    <t>ETIQUETA FUNDA PANAL</t>
  </si>
  <si>
    <t>600574ETI</t>
  </si>
  <si>
    <t>ETIQUETA BOTELLAS VASOS</t>
  </si>
  <si>
    <t>ETITOPEX1,20X25</t>
  </si>
  <si>
    <t>ETIQUETA TOPEX 1,20X25MTS</t>
  </si>
  <si>
    <t>ETITOPEX0,80X10</t>
  </si>
  <si>
    <t>ETIQUETA TOPEX 0,80X10MTS</t>
  </si>
  <si>
    <t>ETIEASY</t>
  </si>
  <si>
    <t>ETIQUETA EASY</t>
  </si>
  <si>
    <t>FECHA RECEPCION</t>
  </si>
  <si>
    <t>DOCUMENTO INGRESO</t>
  </si>
  <si>
    <t>UNIDADES TOTALES</t>
  </si>
  <si>
    <t>CANTIDAD PALLET</t>
  </si>
  <si>
    <t>UBICACION</t>
  </si>
  <si>
    <t>CAJA TV</t>
  </si>
  <si>
    <t>1-1-1</t>
  </si>
  <si>
    <t>CAJA CATON ENVIOS PACK</t>
  </si>
  <si>
    <t>1-1-2</t>
  </si>
  <si>
    <t>2-2-1</t>
  </si>
  <si>
    <t>2-3-1</t>
  </si>
  <si>
    <t>2-4-1</t>
  </si>
  <si>
    <t>2-4-2</t>
  </si>
  <si>
    <t>2-5-2</t>
  </si>
  <si>
    <t>3-1-2A</t>
  </si>
  <si>
    <t>3-1-2B</t>
  </si>
  <si>
    <t>3-2-1A</t>
  </si>
  <si>
    <t>3-2-1B</t>
  </si>
  <si>
    <t>3-2-2B</t>
  </si>
  <si>
    <t>3-2-3B</t>
  </si>
  <si>
    <t>3-3-1A</t>
  </si>
  <si>
    <t>3-3-1B</t>
  </si>
  <si>
    <t>3-3-2A</t>
  </si>
  <si>
    <t>3-3-2B</t>
  </si>
  <si>
    <t>3-3-4B</t>
  </si>
  <si>
    <t>3-4-1A</t>
  </si>
  <si>
    <t>3-4-1B</t>
  </si>
  <si>
    <t>3-5-1B</t>
  </si>
  <si>
    <t>3-5-2B</t>
  </si>
  <si>
    <t>3-5-3B</t>
  </si>
  <si>
    <t>3-5-4B</t>
  </si>
  <si>
    <t>3-5-5B</t>
  </si>
  <si>
    <t>3-6-1A</t>
  </si>
  <si>
    <t>3-6-1B</t>
  </si>
  <si>
    <t>3-6-2A</t>
  </si>
  <si>
    <t>3-6-2B</t>
  </si>
  <si>
    <t>3-7-3A</t>
  </si>
  <si>
    <t>ROLLO PAPEL KRAFT 35GR 230 MT</t>
  </si>
  <si>
    <t>ROLLO PAPEL PANAL 25 MT</t>
  </si>
  <si>
    <t>600904P</t>
  </si>
  <si>
    <t>3-7-4B</t>
  </si>
  <si>
    <t>3-PROD-1</t>
  </si>
  <si>
    <t>3-PROD-2</t>
  </si>
  <si>
    <t>3-R-1A</t>
  </si>
  <si>
    <t>3-R-2B</t>
  </si>
  <si>
    <t>ANDEN-1-12</t>
  </si>
  <si>
    <t>ANDEN-1-19</t>
  </si>
  <si>
    <t>ANDEN-1-20</t>
  </si>
  <si>
    <t>ANDEN-1-21</t>
  </si>
  <si>
    <t>ANDEN-1-7</t>
  </si>
  <si>
    <t>CASINO-1-10</t>
  </si>
  <si>
    <t>CASINO-1-2</t>
  </si>
  <si>
    <t>CASINO-1-3</t>
  </si>
  <si>
    <t>CASINO-1-4</t>
  </si>
  <si>
    <t>CASINO-1-5</t>
  </si>
  <si>
    <t>CASINO-1-6</t>
  </si>
  <si>
    <t>CASINO-1-7</t>
  </si>
  <si>
    <t>CASINO-1-8</t>
  </si>
  <si>
    <t>CASINO-1-9</t>
  </si>
  <si>
    <t>DEV-1-1</t>
  </si>
  <si>
    <t>DEV-1-2</t>
  </si>
  <si>
    <t>SEPARADOR  VASOS 3 RANURAS</t>
  </si>
  <si>
    <t>PATIO-1-7</t>
  </si>
  <si>
    <t>PATIO-1-8</t>
  </si>
  <si>
    <t>PATIO-1-9</t>
  </si>
  <si>
    <t>ROLLO PAPEL KRAFT 35GR 20 MT</t>
  </si>
  <si>
    <t>T-1-40</t>
  </si>
  <si>
    <t>T-1-39</t>
  </si>
  <si>
    <t>T-1-38</t>
  </si>
  <si>
    <t>T-1-37</t>
  </si>
  <si>
    <t>T-1-36</t>
  </si>
  <si>
    <t>T-1-35</t>
  </si>
  <si>
    <t>T-1-34</t>
  </si>
  <si>
    <t>18311/1238</t>
  </si>
  <si>
    <t>T-1-10</t>
  </si>
  <si>
    <t>T-1-13</t>
  </si>
  <si>
    <t>T-1-14</t>
  </si>
  <si>
    <t>T-1-15</t>
  </si>
  <si>
    <t>T-1-18</t>
  </si>
  <si>
    <t>T-1-21</t>
  </si>
  <si>
    <t>T-1-22</t>
  </si>
  <si>
    <t>T-1-23</t>
  </si>
  <si>
    <t>T-1-25</t>
  </si>
  <si>
    <t>STOCK 22-04</t>
  </si>
  <si>
    <t xml:space="preserve">Stock 2304 Easy </t>
  </si>
  <si>
    <t>T-1-26</t>
  </si>
  <si>
    <t>T-1-27</t>
  </si>
  <si>
    <t>WEN</t>
  </si>
  <si>
    <t xml:space="preserve">PRODUCCION </t>
  </si>
  <si>
    <t>PATIO-1-26</t>
  </si>
  <si>
    <t>Wen 12/05</t>
  </si>
  <si>
    <t>T-1-29</t>
  </si>
  <si>
    <t>T-1-2</t>
  </si>
  <si>
    <t>2-5-2002</t>
  </si>
  <si>
    <t>PATIO-1-18</t>
  </si>
  <si>
    <t>2-1-2001</t>
  </si>
  <si>
    <t>T-1-11</t>
  </si>
  <si>
    <t>T-1-6</t>
  </si>
  <si>
    <t>OC</t>
  </si>
  <si>
    <t>CLIENTE</t>
  </si>
  <si>
    <t>MAXIMO A PROD</t>
  </si>
  <si>
    <t>CANTIDAD UTILIZADA</t>
  </si>
  <si>
    <t>AjusteEasy1</t>
  </si>
  <si>
    <t>Easy</t>
  </si>
  <si>
    <t>DESPACHADO</t>
  </si>
  <si>
    <t>AjusteSodimac01</t>
  </si>
  <si>
    <t>Sodimac</t>
  </si>
  <si>
    <t>250325S-1</t>
  </si>
  <si>
    <t>260325S-1</t>
  </si>
  <si>
    <t>270325S-2</t>
  </si>
  <si>
    <t>SODIMAC</t>
  </si>
  <si>
    <t>280325S-1</t>
  </si>
  <si>
    <t>010325S</t>
  </si>
  <si>
    <t>020425</t>
  </si>
  <si>
    <t>310325-1</t>
  </si>
  <si>
    <t>MX</t>
  </si>
  <si>
    <t>030425</t>
  </si>
  <si>
    <t xml:space="preserve">Sodimac </t>
  </si>
  <si>
    <t>070425</t>
  </si>
  <si>
    <t>CASINO-1-11</t>
  </si>
  <si>
    <t>sodimac</t>
  </si>
  <si>
    <t>FECHA MOVIMIENTO</t>
  </si>
  <si>
    <t>DOCUMENTO SALIDA</t>
  </si>
  <si>
    <t>CANTIDAD UNID PICKEADAS</t>
  </si>
  <si>
    <t>UBICACION SALIDA</t>
  </si>
  <si>
    <t>28080</t>
  </si>
  <si>
    <t>KW</t>
  </si>
  <si>
    <t>BODEGAPULMON</t>
  </si>
  <si>
    <t>IRONMOUNTAIN</t>
  </si>
  <si>
    <t>SALIDAF60X40??</t>
  </si>
  <si>
    <t>PP</t>
  </si>
  <si>
    <t>MUESTRASELOISA</t>
  </si>
  <si>
    <t>CAJA CARTON ENVIOS PACK</t>
  </si>
  <si>
    <t>MUESTRAS</t>
  </si>
  <si>
    <t>030425S-1</t>
  </si>
  <si>
    <t>028094</t>
  </si>
  <si>
    <t>1-1-3</t>
  </si>
  <si>
    <t>080425E</t>
  </si>
  <si>
    <t>EASY</t>
  </si>
  <si>
    <t>2-4-2001</t>
  </si>
  <si>
    <t>1453319</t>
  </si>
  <si>
    <t>3-PRD1-1</t>
  </si>
  <si>
    <t>3-PRD1-2</t>
  </si>
  <si>
    <t>3-PRD1-3</t>
  </si>
  <si>
    <t>2-6-2001</t>
  </si>
  <si>
    <t>600904</t>
  </si>
  <si>
    <t>ZEST-PPH-002</t>
  </si>
  <si>
    <t>28098</t>
  </si>
  <si>
    <t>28099</t>
  </si>
  <si>
    <t>28096</t>
  </si>
  <si>
    <t>28097</t>
  </si>
  <si>
    <t>090425SMT</t>
  </si>
  <si>
    <t>100425E</t>
  </si>
  <si>
    <t>110425S</t>
  </si>
  <si>
    <t>140425SMT</t>
  </si>
  <si>
    <t>SMT</t>
  </si>
  <si>
    <t>110425s</t>
  </si>
  <si>
    <t>150425S</t>
  </si>
  <si>
    <t>2304</t>
  </si>
  <si>
    <t>2-2-2001</t>
  </si>
  <si>
    <t>28116</t>
  </si>
  <si>
    <t>1-1-2003</t>
  </si>
  <si>
    <t>1-1-2004</t>
  </si>
  <si>
    <t>3020</t>
  </si>
  <si>
    <t xml:space="preserve">Muestra Salustio </t>
  </si>
  <si>
    <t>OT Stock 21/04</t>
  </si>
  <si>
    <t>Stock CD</t>
  </si>
  <si>
    <t>23042025</t>
  </si>
  <si>
    <t>Easy XD</t>
  </si>
  <si>
    <t>3-2-5B</t>
  </si>
  <si>
    <t>OT Stock 22/04</t>
  </si>
  <si>
    <t>280425</t>
  </si>
  <si>
    <t xml:space="preserve">Easy </t>
  </si>
  <si>
    <t>3-PRD-F1-1</t>
  </si>
  <si>
    <t>3-PRD-F1-2</t>
  </si>
  <si>
    <t>Stock 2304</t>
  </si>
  <si>
    <t>250425</t>
  </si>
  <si>
    <t>1-1-2005</t>
  </si>
  <si>
    <t xml:space="preserve">Libreria Offimania </t>
  </si>
  <si>
    <t>29042025</t>
  </si>
  <si>
    <t>28042025</t>
  </si>
  <si>
    <t>28123</t>
  </si>
  <si>
    <t>28122</t>
  </si>
  <si>
    <t>28124</t>
  </si>
  <si>
    <t>28125</t>
  </si>
  <si>
    <t>20525</t>
  </si>
  <si>
    <t>ZEST-2-1</t>
  </si>
  <si>
    <t>ZEST-3-2</t>
  </si>
  <si>
    <t>ZEST-4-2</t>
  </si>
  <si>
    <t>Sodimac XD</t>
  </si>
  <si>
    <t>3-PRD-F1-3</t>
  </si>
  <si>
    <t>50525</t>
  </si>
  <si>
    <t>05-05-25</t>
  </si>
  <si>
    <t>2-3-2002</t>
  </si>
  <si>
    <t xml:space="preserve">LOCAL EASY </t>
  </si>
  <si>
    <t>ZEST-1-4</t>
  </si>
  <si>
    <t>02-02-25</t>
  </si>
  <si>
    <t>28136</t>
  </si>
  <si>
    <t>Sodimac locales</t>
  </si>
  <si>
    <t>28135</t>
  </si>
  <si>
    <t>28134</t>
  </si>
  <si>
    <t>28137</t>
  </si>
  <si>
    <t>60525</t>
  </si>
  <si>
    <t>28143</t>
  </si>
  <si>
    <t xml:space="preserve">Summit </t>
  </si>
  <si>
    <t>OC KW 76052637-1</t>
  </si>
  <si>
    <t>4-21-A</t>
  </si>
  <si>
    <t>70525</t>
  </si>
  <si>
    <t>120525</t>
  </si>
  <si>
    <t>2-3-2001</t>
  </si>
  <si>
    <t>28147</t>
  </si>
  <si>
    <t>28148</t>
  </si>
  <si>
    <t>28150</t>
  </si>
  <si>
    <t>28144</t>
  </si>
  <si>
    <t>28145</t>
  </si>
  <si>
    <t>28146</t>
  </si>
  <si>
    <t>150525</t>
  </si>
  <si>
    <t>130525</t>
  </si>
  <si>
    <t xml:space="preserve">Sodimac Stock </t>
  </si>
  <si>
    <t>OC KW 76052637-1 14/05</t>
  </si>
  <si>
    <t>28157</t>
  </si>
  <si>
    <t>28154</t>
  </si>
  <si>
    <t>28155</t>
  </si>
  <si>
    <t>Produccion</t>
  </si>
  <si>
    <t>.</t>
  </si>
  <si>
    <t>0</t>
  </si>
  <si>
    <t>producción easy</t>
  </si>
  <si>
    <t>28160</t>
  </si>
  <si>
    <t>28161</t>
  </si>
  <si>
    <t>EASY 26-05</t>
  </si>
  <si>
    <t>28163</t>
  </si>
  <si>
    <t>28166</t>
  </si>
  <si>
    <t>28162</t>
  </si>
  <si>
    <t>28164</t>
  </si>
  <si>
    <t xml:space="preserve">APLUS </t>
  </si>
  <si>
    <t>230525</t>
  </si>
  <si>
    <t>EASY 27-05</t>
  </si>
  <si>
    <t>Easy LOCAL</t>
  </si>
  <si>
    <t>28168</t>
  </si>
  <si>
    <t>sodimac 28-05</t>
  </si>
  <si>
    <t>290525</t>
  </si>
  <si>
    <t>28174</t>
  </si>
  <si>
    <t>28173</t>
  </si>
  <si>
    <t>28175</t>
  </si>
  <si>
    <t>28176</t>
  </si>
  <si>
    <t>APLUS LOGISTICS</t>
  </si>
  <si>
    <t>30625</t>
  </si>
  <si>
    <t>ZEST-1-3</t>
  </si>
  <si>
    <t>ZEST-2-2</t>
  </si>
  <si>
    <t>ZEST-2-3</t>
  </si>
  <si>
    <t>ZEST-2-4</t>
  </si>
  <si>
    <t>ZEST-3-3</t>
  </si>
  <si>
    <t>2-5-2001</t>
  </si>
  <si>
    <t>20625</t>
  </si>
  <si>
    <t>sodimac 030625</t>
  </si>
  <si>
    <t>3-PRD-F4-2</t>
  </si>
  <si>
    <t>28186</t>
  </si>
  <si>
    <t>50625</t>
  </si>
  <si>
    <t>stock 050625 la farfana CD</t>
  </si>
  <si>
    <t>Stock  CD SODIMAC</t>
  </si>
  <si>
    <t>60625</t>
  </si>
  <si>
    <t>28192</t>
  </si>
  <si>
    <t>28194</t>
  </si>
  <si>
    <t>28193</t>
  </si>
  <si>
    <t>Sodimac Locales</t>
  </si>
  <si>
    <t>28195</t>
  </si>
  <si>
    <t>28196</t>
  </si>
  <si>
    <t>90625</t>
  </si>
  <si>
    <t>100625</t>
  </si>
  <si>
    <t>N/A</t>
  </si>
  <si>
    <t>1-1-5</t>
  </si>
  <si>
    <t>2-3-2</t>
  </si>
  <si>
    <t>CAJA CARTON CORRUGADO 50x40x30</t>
  </si>
  <si>
    <t>CAJA CARTON CORRUGADO 60x60x50 CM</t>
  </si>
  <si>
    <t>130625-28204</t>
  </si>
  <si>
    <t>CANTIDAD UNID</t>
  </si>
  <si>
    <t>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</si>
</sst>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/MM/yyyy"/>
    <numFmt numFmtId="165" formatCode="dd&quot;/&quot;mm&quot;/&quot;yyyy"/>
  </numFmts>
  <fonts count="22">
    <font>
      <sz val="10.0"/>
      <color rgb="FF000000"/>
      <name val="Arial"/>
      <scheme val="minor"/>
    </font>
    <font>
      <color theme="1"/>
      <name val="Arial"/>
      <scheme val="minor"/>
    </font>
    <font>
      <sz val="8.0"/>
      <color theme="1"/>
      <name val="Verdana"/>
    </font>
    <font>
      <color rgb="FFBF9000"/>
      <name val="Arial"/>
      <scheme val="minor"/>
    </font>
    <font>
      <b/>
      <sz val="8.0"/>
      <color theme="1"/>
      <name val="Verdana"/>
    </font>
    <font>
      <b/>
      <sz val="8.0"/>
      <color rgb="FFFFFFFF"/>
      <name val="Verdana"/>
    </font>
    <font>
      <sz val="8.0"/>
      <color theme="1"/>
      <name val="Arial"/>
      <scheme val="minor"/>
    </font>
    <font>
      <sz val="8.0"/>
      <color rgb="FF222222"/>
      <name val="Verdana"/>
    </font>
    <font>
      <b/>
      <sz val="8.0"/>
      <color rgb="FF000000"/>
      <name val="Arial"/>
      <scheme val="minor"/>
    </font>
    <font>
      <sz val="8.0"/>
      <color rgb="FFFFFFFF"/>
      <name val="Arial"/>
      <scheme val="minor"/>
    </font>
    <font>
      <sz val="8.0"/>
      <color rgb="FF000000"/>
      <name val="Arial"/>
      <scheme val="minor"/>
    </font>
    <font>
      <sz val="8.0"/>
      <color rgb="FF434343"/>
      <name val="Arial"/>
      <scheme val="minor"/>
    </font>
    <font>
      <sz val="8.0"/>
      <color rgb="FFCCCCCC"/>
      <name val="Arial"/>
      <scheme val="minor"/>
    </font>
    <font>
      <sz val="9.0"/>
      <color theme="1"/>
      <name val="Roboto"/>
    </font>
    <font>
      <color rgb="FF434343"/>
      <name val="Roboto"/>
    </font>
    <font>
      <sz val="9.0"/>
      <color rgb="FF434343"/>
      <name val="Roboto"/>
    </font>
    <font>
      <color theme="1"/>
      <name val="Arial"/>
    </font>
    <font>
      <sz val="10.0"/>
      <color theme="1"/>
      <name val="Arial"/>
      <scheme val="minor"/>
    </font>
    <font>
      <sz val="10.0"/>
      <color rgb="FF666666"/>
      <name val="Roboto"/>
    </font>
    <font>
      <b/>
      <sz val="10.0"/>
      <color rgb="FF666666"/>
      <name val="Roboto"/>
    </font>
    <font>
      <sz val="10.0"/>
      <color theme="1"/>
      <name val="Roboto"/>
    </font>
    <font>
      <color rgb="FF666666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535FC1"/>
        <bgColor rgb="FF535FC1"/>
      </patternFill>
    </fill>
    <fill>
      <patternFill patternType="solid">
        <fgColor rgb="FFC9DAF8"/>
        <bgColor rgb="FFC9DAF8"/>
      </patternFill>
    </fill>
    <fill>
      <patternFill patternType="solid">
        <fgColor rgb="FFFFFFFF"/>
        <bgColor rgb="FFFFFFFF"/>
      </patternFill>
    </fill>
    <fill>
      <patternFill patternType="solid">
        <fgColor rgb="FFF6F8F9"/>
        <bgColor rgb="FFF6F8F9"/>
      </patternFill>
    </fill>
    <fill>
      <patternFill patternType="solid">
        <fgColor rgb="FF93C47D"/>
        <bgColor rgb="FF93C47D"/>
      </patternFill>
    </fill>
  </fills>
  <borders count="38">
    <border/>
    <border>
      <left style="thin">
        <color rgb="FF4A535C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626E7A"/>
      </right>
      <top style="thin">
        <color rgb="FF4A535C"/>
      </top>
      <bottom style="thin">
        <color rgb="FF4A535C"/>
      </bottom>
    </border>
    <border>
      <left style="thin">
        <color rgb="FF626E7A"/>
      </left>
      <right style="thin">
        <color rgb="FF4A535C"/>
      </right>
      <top style="thin">
        <color rgb="FF4A535C"/>
      </top>
      <bottom style="thin">
        <color rgb="FF4A535C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FFFFFF"/>
      </bottom>
    </border>
    <border>
      <left style="thin">
        <color rgb="FF4A535C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4A535C"/>
      </right>
      <top style="thin">
        <color rgb="FFF6F8F9"/>
      </top>
      <bottom style="thin">
        <color rgb="FFF6F8F9"/>
      </bottom>
    </border>
    <border>
      <left style="thin">
        <color rgb="FF4A535C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4A535C"/>
      </bottom>
    </border>
    <border>
      <left style="thin">
        <color rgb="FFFFFFFF"/>
      </left>
      <right style="thin">
        <color rgb="FF4A535C"/>
      </right>
      <top style="thin">
        <color rgb="FFFFFFFF"/>
      </top>
      <bottom style="thin">
        <color rgb="FF4A535C"/>
      </bottom>
    </border>
    <border>
      <left style="thin">
        <color rgb="FF3E479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535FC1"/>
      </right>
      <top style="thin">
        <color rgb="FF3E4791"/>
      </top>
      <bottom style="thin">
        <color rgb="FF3E4791"/>
      </bottom>
    </border>
    <border>
      <left style="thin">
        <color rgb="FF535FC1"/>
      </left>
      <right style="thin">
        <color rgb="FF3E4791"/>
      </right>
      <top style="thin">
        <color rgb="FF3E4791"/>
      </top>
      <bottom style="thin">
        <color rgb="FF3E4791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FFFFFF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F6F8F9"/>
      </bottom>
    </border>
    <border>
      <left style="thin">
        <color rgb="FF3E4791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3E4791"/>
      </bottom>
    </border>
    <border>
      <left style="thin">
        <color rgb="FFFFFFFF"/>
      </left>
      <right style="thin">
        <color rgb="FF3E4791"/>
      </right>
      <top style="thin">
        <color rgb="FFFFFFFF"/>
      </top>
      <bottom style="thin">
        <color rgb="FF3E4791"/>
      </bottom>
    </border>
    <border>
      <left style="thin">
        <color rgb="FF3E4791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3E4791"/>
      </bottom>
    </border>
    <border>
      <left style="thin">
        <color rgb="FFF6F8F9"/>
      </left>
      <right style="thin">
        <color rgb="FF3E4791"/>
      </right>
      <top style="thin">
        <color rgb="FFF6F8F9"/>
      </top>
      <bottom style="thin">
        <color rgb="FF3E4791"/>
      </bottom>
    </border>
    <border>
      <left style="thin">
        <color rgb="FFB6D7A8"/>
      </left>
      <right style="thin">
        <color rgb="FFB6D7A8"/>
      </right>
      <top style="thin">
        <color rgb="FFB6D7A8"/>
      </top>
      <bottom style="thin">
        <color rgb="FFB6D7A8"/>
      </bottom>
    </border>
    <border>
      <left style="thin">
        <color rgb="FF93C47D"/>
      </left>
      <right style="thin">
        <color rgb="FF93C47D"/>
      </right>
      <top style="thin">
        <color rgb="FF93C47D"/>
      </top>
      <bottom style="thin">
        <color rgb="FF93C47D"/>
      </bottom>
    </border>
    <border>
      <left style="thin">
        <color rgb="FF74293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9B3642"/>
      </right>
      <top style="thin">
        <color rgb="FF742932"/>
      </top>
      <bottom style="thin">
        <color rgb="FF742932"/>
      </bottom>
    </border>
    <border>
      <left style="thin">
        <color rgb="FF9B3642"/>
      </left>
      <right style="thin">
        <color rgb="FF742932"/>
      </right>
      <top style="thin">
        <color rgb="FF742932"/>
      </top>
      <bottom style="thin">
        <color rgb="FF742932"/>
      </bottom>
    </border>
    <border>
      <left style="thin">
        <color rgb="FF742932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742932"/>
      </right>
      <top style="thin">
        <color rgb="FFFFFFFF"/>
      </top>
      <bottom style="thin">
        <color rgb="FFFFFFFF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F6F8F9"/>
      </bottom>
    </border>
    <border>
      <left style="thin">
        <color rgb="FF742932"/>
      </left>
      <right style="thin">
        <color rgb="FFF6F8F9"/>
      </right>
      <top style="thin">
        <color rgb="FFF6F8F9"/>
      </top>
      <bottom style="thin">
        <color rgb="FF742932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742932"/>
      </bottom>
    </border>
    <border>
      <left style="thin">
        <color rgb="FFF6F8F9"/>
      </left>
      <right style="thin">
        <color rgb="FF742932"/>
      </right>
      <top style="thin">
        <color rgb="FFF6F8F9"/>
      </top>
      <bottom style="thin">
        <color rgb="FF742932"/>
      </bottom>
    </border>
  </borders>
  <cellStyleXfs count="1">
    <xf borderId="0" fillId="0" fontId="0" numFmtId="0" applyAlignment="1" applyFont="1"/>
  </cellStyleXfs>
  <cellXfs count="22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3" fontId="1" numFmtId="0" xfId="0" applyFont="1"/>
    <xf borderId="0" fillId="4" fontId="1" numFmtId="0" xfId="0" applyFill="1" applyFont="1"/>
    <xf borderId="0" fillId="5" fontId="1" numFmtId="0" xfId="0" applyAlignment="1" applyFill="1" applyFont="1">
      <alignment readingOrder="0"/>
    </xf>
    <xf borderId="0" fillId="4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horizontal="left" readingOrder="0" vertical="bottom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left" readingOrder="0"/>
    </xf>
    <xf borderId="0" fillId="0" fontId="1" numFmtId="49" xfId="0" applyAlignment="1" applyFont="1" applyNumberFormat="1">
      <alignment readingOrder="0"/>
    </xf>
    <xf borderId="0" fillId="0" fontId="1" numFmtId="49" xfId="0" applyFont="1" applyNumberFormat="1"/>
    <xf borderId="0" fillId="0" fontId="1" numFmtId="49" xfId="0" applyFont="1" applyNumberFormat="1"/>
    <xf borderId="0" fillId="0" fontId="3" numFmtId="49" xfId="0" applyAlignment="1" applyFont="1" applyNumberFormat="1">
      <alignment readingOrder="0"/>
    </xf>
    <xf borderId="0" fillId="0" fontId="3" numFmtId="49" xfId="0" applyFont="1" applyNumberFormat="1"/>
    <xf borderId="0" fillId="0" fontId="3" numFmtId="0" xfId="0" applyAlignment="1" applyFont="1">
      <alignment readingOrder="0"/>
    </xf>
    <xf borderId="0" fillId="0" fontId="2" numFmtId="49" xfId="0" applyAlignment="1" applyFont="1" applyNumberFormat="1">
      <alignment vertical="bottom"/>
    </xf>
    <xf borderId="0" fillId="0" fontId="4" numFmtId="49" xfId="0" applyAlignment="1" applyFont="1" applyNumberFormat="1">
      <alignment horizontal="center"/>
    </xf>
    <xf borderId="0" fillId="6" fontId="5" numFmtId="49" xfId="0" applyAlignment="1" applyFill="1" applyFont="1" applyNumberFormat="1">
      <alignment horizontal="center" readingOrder="0"/>
    </xf>
    <xf borderId="0" fillId="0" fontId="4" numFmtId="49" xfId="0" applyAlignment="1" applyFont="1" applyNumberFormat="1">
      <alignment horizontal="left" readingOrder="0"/>
    </xf>
    <xf borderId="0" fillId="0" fontId="4" numFmtId="49" xfId="0" applyAlignment="1" applyFont="1" applyNumberFormat="1">
      <alignment horizontal="center" readingOrder="0"/>
    </xf>
    <xf borderId="0" fillId="6" fontId="4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horizontal="left" readingOrder="0" vertical="bottom"/>
    </xf>
    <xf borderId="0" fillId="0" fontId="2" numFmtId="1" xfId="0" applyAlignment="1" applyFont="1" applyNumberFormat="1">
      <alignment horizontal="left" readingOrder="0" vertical="bottom"/>
    </xf>
    <xf borderId="0" fillId="0" fontId="2" numFmtId="49" xfId="0" applyAlignment="1" applyFont="1" applyNumberFormat="1">
      <alignment readingOrder="0" vertical="bottom"/>
    </xf>
    <xf borderId="0" fillId="0" fontId="2" numFmtId="49" xfId="0" applyAlignment="1" applyFont="1" applyNumberFormat="1">
      <alignment horizontal="left" readingOrder="0"/>
    </xf>
    <xf borderId="0" fillId="0" fontId="6" numFmtId="0" xfId="0" applyAlignment="1" applyFont="1">
      <alignment horizontal="left" readingOrder="0"/>
    </xf>
    <xf borderId="0" fillId="0" fontId="6" numFmtId="0" xfId="0" applyAlignment="1" applyFont="1">
      <alignment readingOrder="0"/>
    </xf>
    <xf borderId="0" fillId="0" fontId="6" numFmtId="49" xfId="0" applyAlignment="1" applyFont="1" applyNumberFormat="1">
      <alignment readingOrder="0"/>
    </xf>
    <xf borderId="0" fillId="0" fontId="2" numFmtId="49" xfId="0" applyAlignment="1" applyFont="1" applyNumberFormat="1">
      <alignment horizontal="left" readingOrder="0"/>
    </xf>
    <xf borderId="0" fillId="0" fontId="2" numFmtId="49" xfId="0" applyAlignment="1" applyFont="1" applyNumberFormat="1">
      <alignment horizontal="left" vertical="bottom"/>
    </xf>
    <xf borderId="0" fillId="0" fontId="7" numFmtId="0" xfId="0" applyAlignment="1" applyFont="1">
      <alignment horizontal="left" readingOrder="0" shrinkToFit="0" wrapText="1"/>
    </xf>
    <xf borderId="0" fillId="0" fontId="6" numFmtId="49" xfId="0" applyAlignment="1" applyFont="1" applyNumberFormat="1">
      <alignment horizontal="left" readingOrder="0"/>
    </xf>
    <xf borderId="0" fillId="0" fontId="6" numFmtId="49" xfId="0" applyAlignment="1" applyFont="1" applyNumberFormat="1">
      <alignment horizontal="left" readingOrder="0"/>
    </xf>
    <xf borderId="0" fillId="0" fontId="6" numFmtId="0" xfId="0" applyAlignment="1" applyFont="1">
      <alignment horizontal="left"/>
    </xf>
    <xf borderId="0" fillId="0" fontId="6" numFmtId="0" xfId="0" applyFont="1"/>
    <xf borderId="0" fillId="7" fontId="8" numFmtId="0" xfId="0" applyAlignment="1" applyFill="1" applyFont="1">
      <alignment horizontal="center" readingOrder="0"/>
    </xf>
    <xf borderId="0" fillId="7" fontId="9" numFmtId="0" xfId="0" applyFont="1"/>
    <xf borderId="0" fillId="5" fontId="8" numFmtId="0" xfId="0" applyAlignment="1" applyFont="1">
      <alignment horizontal="center"/>
    </xf>
    <xf borderId="0" fillId="5" fontId="10" numFmtId="0" xfId="0" applyFont="1"/>
    <xf borderId="0" fillId="0" fontId="6" numFmtId="0" xfId="0" applyFont="1"/>
    <xf borderId="0" fillId="0" fontId="6" numFmtId="0" xfId="0" applyAlignment="1" applyFont="1">
      <alignment readingOrder="0"/>
    </xf>
    <xf borderId="0" fillId="7" fontId="8" numFmtId="0" xfId="0" applyFont="1"/>
    <xf borderId="0" fillId="7" fontId="8" numFmtId="49" xfId="0" applyFont="1" applyNumberFormat="1"/>
    <xf borderId="0" fillId="7" fontId="8" numFmtId="0" xfId="0" applyAlignment="1" applyFont="1">
      <alignment readingOrder="0"/>
    </xf>
    <xf borderId="0" fillId="5" fontId="8" numFmtId="0" xfId="0" applyFont="1"/>
    <xf borderId="0" fillId="5" fontId="8" numFmtId="0" xfId="0" applyAlignment="1" applyFont="1">
      <alignment readingOrder="0"/>
    </xf>
    <xf borderId="0" fillId="8" fontId="11" numFmtId="0" xfId="0" applyAlignment="1" applyFill="1" applyFont="1">
      <alignment horizontal="left"/>
    </xf>
    <xf borderId="0" fillId="0" fontId="11" numFmtId="0" xfId="0" applyAlignment="1" applyFont="1">
      <alignment horizontal="left"/>
    </xf>
    <xf borderId="0" fillId="8" fontId="11" numFmtId="0" xfId="0" applyAlignment="1" applyFont="1">
      <alignment horizontal="left" readingOrder="0"/>
    </xf>
    <xf borderId="0" fillId="8" fontId="12" numFmtId="0" xfId="0" applyAlignment="1" applyFont="1">
      <alignment horizontal="left"/>
    </xf>
    <xf borderId="0" fillId="0" fontId="6" numFmtId="49" xfId="0" applyFont="1" applyNumberFormat="1"/>
    <xf borderId="0" fillId="8" fontId="9" numFmtId="0" xfId="0" applyAlignment="1" applyFont="1">
      <alignment horizontal="left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49" xfId="0" applyAlignment="1" applyBorder="1" applyFont="1" applyNumberForma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1"/>
    </xf>
    <xf borderId="3" fillId="0" fontId="1" numFmtId="49" xfId="0" applyAlignment="1" applyBorder="1" applyFont="1" applyNumberFormat="1">
      <alignment horizontal="left" readingOrder="0" shrinkToFit="0" vertical="center" wrapText="0"/>
    </xf>
    <xf borderId="4" fillId="0" fontId="1" numFmtId="164" xfId="0" applyAlignment="1" applyBorder="1" applyFont="1" applyNumberForma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49" xfId="0" applyAlignment="1" applyBorder="1" applyFont="1" applyNumberFormat="1">
      <alignment readingOrder="0" shrinkToFit="0" vertical="center" wrapText="0"/>
    </xf>
    <xf borderId="7" fillId="0" fontId="1" numFmtId="164" xfId="0" applyAlignment="1" applyBorder="1" applyFont="1" applyNumberFormat="1">
      <alignment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horizontal="left"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49" xfId="0" applyAlignment="1" applyBorder="1" applyFont="1" applyNumberFormat="1">
      <alignment readingOrder="0" shrinkToFit="0" vertical="center" wrapText="0"/>
    </xf>
    <xf borderId="10" fillId="0" fontId="1" numFmtId="164" xfId="0" applyAlignment="1" applyBorder="1" applyFont="1" applyNumberFormat="1">
      <alignment readingOrder="0" shrinkToFit="0" vertical="center" wrapText="0"/>
    </xf>
    <xf borderId="11" fillId="0" fontId="1" numFmtId="49" xfId="0" applyAlignment="1" applyBorder="1" applyFont="1" applyNumberFormat="1">
      <alignment readingOrder="0" shrinkToFit="0" vertical="center" wrapText="0"/>
    </xf>
    <xf borderId="11" fillId="0" fontId="1" numFmtId="0" xfId="0" applyAlignment="1" applyBorder="1" applyFont="1">
      <alignment horizontal="left"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49" xfId="0" applyAlignment="1" applyBorder="1" applyFont="1" applyNumberFormat="1">
      <alignment readingOrder="0" shrinkToFit="0" vertical="center" wrapText="0"/>
    </xf>
    <xf borderId="0" fillId="0" fontId="1" numFmtId="0" xfId="0" applyAlignment="1" applyFont="1">
      <alignment horizontal="left"/>
    </xf>
    <xf borderId="13" fillId="0" fontId="1" numFmtId="0" xfId="0" applyAlignment="1" applyBorder="1" applyFon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0"/>
    </xf>
    <xf borderId="14" fillId="0" fontId="1" numFmtId="49" xfId="0" applyAlignment="1" applyBorder="1" applyFont="1" applyNumberForma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16" fillId="0" fontId="13" numFmtId="0" xfId="0" applyAlignment="1" applyBorder="1" applyFont="1">
      <alignment readingOrder="0" shrinkToFit="0" vertical="center" wrapText="0"/>
    </xf>
    <xf borderId="5" fillId="0" fontId="13" numFmtId="0" xfId="0" applyAlignment="1" applyBorder="1" applyFont="1">
      <alignment readingOrder="0" shrinkToFit="0" vertical="center" wrapText="0"/>
    </xf>
    <xf borderId="5" fillId="0" fontId="13" numFmtId="49" xfId="0" applyAlignment="1" applyBorder="1" applyFont="1" applyNumberFormat="1">
      <alignment readingOrder="0" shrinkToFit="0" vertical="center" wrapText="0"/>
    </xf>
    <xf borderId="5" fillId="0" fontId="13" numFmtId="49" xfId="0" applyAlignment="1" applyBorder="1" applyFont="1" applyNumberFormat="1">
      <alignment readingOrder="0" shrinkToFit="0" vertical="center" wrapText="0"/>
    </xf>
    <xf borderId="5" fillId="0" fontId="1" numFmtId="0" xfId="0" applyAlignment="1" applyBorder="1" applyFont="1">
      <alignment shrinkToFit="0" vertical="center" wrapText="0"/>
    </xf>
    <xf borderId="17" fillId="0" fontId="1" numFmtId="0" xfId="0" applyAlignment="1" applyBorder="1" applyFont="1">
      <alignment readingOrder="0" shrinkToFit="0" vertical="center" wrapText="0"/>
    </xf>
    <xf borderId="0" fillId="0" fontId="13" numFmtId="0" xfId="0" applyFont="1"/>
    <xf borderId="18" fillId="0" fontId="13" numFmtId="0" xfId="0" applyAlignment="1" applyBorder="1" applyFont="1">
      <alignment readingOrder="0" shrinkToFit="0" vertical="center" wrapText="0"/>
    </xf>
    <xf borderId="8" fillId="0" fontId="13" numFmtId="0" xfId="0" applyAlignment="1" applyBorder="1" applyFont="1">
      <alignment readingOrder="0" shrinkToFit="0" vertical="center" wrapText="0"/>
    </xf>
    <xf borderId="8" fillId="0" fontId="13" numFmtId="49" xfId="0" applyAlignment="1" applyBorder="1" applyFont="1" applyNumberFormat="1">
      <alignment readingOrder="0" shrinkToFit="0" vertical="center" wrapText="0"/>
    </xf>
    <xf borderId="8" fillId="0" fontId="13" numFmtId="49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shrinkToFit="0" vertical="center" wrapText="0"/>
    </xf>
    <xf borderId="19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3" numFmtId="0" xfId="0" applyAlignment="1" applyBorder="1" applyFont="1">
      <alignment horizontal="left" readingOrder="0" shrinkToFit="0" vertical="center" wrapText="0"/>
    </xf>
    <xf borderId="5" fillId="0" fontId="13" numFmtId="49" xfId="0" applyAlignment="1" applyBorder="1" applyFont="1" applyNumberFormat="1">
      <alignment readingOrder="0" shrinkToFit="0" vertical="center" wrapText="0"/>
    </xf>
    <xf borderId="8" fillId="0" fontId="13" numFmtId="0" xfId="0" applyAlignment="1" applyBorder="1" applyFont="1">
      <alignment horizontal="left" readingOrder="0" shrinkToFit="0" vertical="center" wrapText="0"/>
    </xf>
    <xf borderId="8" fillId="0" fontId="13" numFmtId="49" xfId="0" applyAlignment="1" applyBorder="1" applyFont="1" applyNumberFormat="1">
      <alignment readingOrder="0" shrinkToFit="0" vertical="center" wrapText="0"/>
    </xf>
    <xf borderId="8" fillId="0" fontId="13" numFmtId="49" xfId="0" applyAlignment="1" applyBorder="1" applyFont="1" applyNumberFormat="1">
      <alignment readingOrder="0" shrinkToFit="0" vertical="center" wrapText="0"/>
    </xf>
    <xf borderId="5" fillId="0" fontId="13" numFmtId="49" xfId="0" applyAlignment="1" applyBorder="1" applyFont="1" applyNumberFormat="1">
      <alignment readingOrder="0" shrinkToFit="0" vertical="center" wrapText="0"/>
    </xf>
    <xf borderId="5" fillId="0" fontId="13" numFmtId="0" xfId="0" applyAlignment="1" applyBorder="1" applyFont="1">
      <alignment readingOrder="0" shrinkToFit="0" vertical="center" wrapText="0"/>
    </xf>
    <xf borderId="5" fillId="0" fontId="13" numFmtId="49" xfId="0" applyAlignment="1" applyBorder="1" applyFont="1" applyNumberFormat="1">
      <alignment horizontal="left" readingOrder="0" shrinkToFit="0" vertical="center" wrapText="0"/>
    </xf>
    <xf borderId="8" fillId="0" fontId="13" numFmtId="0" xfId="0" applyAlignment="1" applyBorder="1" applyFont="1">
      <alignment readingOrder="0" shrinkToFit="0" vertical="center" wrapText="0"/>
    </xf>
    <xf borderId="8" fillId="0" fontId="13" numFmtId="49" xfId="0" applyAlignment="1" applyBorder="1" applyFont="1" applyNumberFormat="1">
      <alignment horizontal="left" readingOrder="0" shrinkToFit="0" vertical="center" wrapText="0"/>
    </xf>
    <xf borderId="5" fillId="0" fontId="13" numFmtId="0" xfId="0" applyAlignment="1" applyBorder="1" applyFont="1">
      <alignment horizontal="left" readingOrder="0" shrinkToFit="0" vertical="center" wrapText="0"/>
    </xf>
    <xf borderId="8" fillId="0" fontId="13" numFmtId="0" xfId="0" applyAlignment="1" applyBorder="1" applyFont="1">
      <alignment horizontal="left" readingOrder="0" shrinkToFit="0" vertical="center" wrapText="0"/>
    </xf>
    <xf borderId="8" fillId="0" fontId="13" numFmtId="49" xfId="0" applyAlignment="1" applyBorder="1" applyFont="1" applyNumberFormat="1">
      <alignment horizontal="left" readingOrder="0" shrinkToFit="0" vertical="center" wrapText="0"/>
    </xf>
    <xf borderId="8" fillId="0" fontId="1" numFmtId="49" xfId="0" applyAlignment="1" applyBorder="1" applyFont="1" applyNumberFormat="1">
      <alignment readingOrder="0" shrinkToFit="0" vertical="center" wrapText="0"/>
    </xf>
    <xf borderId="18" fillId="0" fontId="1" numFmtId="0" xfId="0" applyAlignment="1" applyBorder="1" applyFont="1">
      <alignment readingOrder="0" shrinkToFit="0" vertical="center" wrapText="0"/>
    </xf>
    <xf borderId="16" fillId="0" fontId="1" numFmtId="0" xfId="0" applyAlignment="1" applyBorder="1" applyFont="1">
      <alignment readingOrder="0" shrinkToFit="0" vertical="center" wrapText="0"/>
    </xf>
    <xf borderId="18" fillId="9" fontId="14" numFmtId="0" xfId="0" applyAlignment="1" applyBorder="1" applyFill="1" applyFont="1">
      <alignment shrinkToFit="0" vertical="center" wrapText="0"/>
    </xf>
    <xf borderId="8" fillId="9" fontId="15" numFmtId="0" xfId="0" applyAlignment="1" applyBorder="1" applyFont="1">
      <alignment shrinkToFit="0" vertical="center" wrapText="0"/>
    </xf>
    <xf borderId="8" fillId="9" fontId="14" numFmtId="0" xfId="0" applyAlignment="1" applyBorder="1" applyFont="1">
      <alignment readingOrder="0" shrinkToFit="0" vertical="center" wrapText="0"/>
    </xf>
    <xf borderId="8" fillId="9" fontId="14" numFmtId="0" xfId="0" applyAlignment="1" applyBorder="1" applyFont="1">
      <alignment shrinkToFit="0" vertical="center" wrapText="0"/>
    </xf>
    <xf borderId="8" fillId="9" fontId="14" numFmtId="0" xfId="0" applyAlignment="1" applyBorder="1" applyFont="1">
      <alignment horizontal="right" shrinkToFit="0" vertical="center" wrapText="0"/>
    </xf>
    <xf borderId="8" fillId="9" fontId="16" numFmtId="0" xfId="0" applyAlignment="1" applyBorder="1" applyFont="1">
      <alignment shrinkToFit="0" vertical="center" wrapText="0"/>
    </xf>
    <xf borderId="19" fillId="9" fontId="14" numFmtId="0" xfId="0" applyAlignment="1" applyBorder="1" applyFont="1">
      <alignment horizontal="right" readingOrder="0" shrinkToFit="0" vertical="center" wrapText="0"/>
    </xf>
    <xf borderId="16" fillId="9" fontId="14" numFmtId="0" xfId="0" applyAlignment="1" applyBorder="1" applyFont="1">
      <alignment shrinkToFit="0" vertical="center" wrapText="0"/>
    </xf>
    <xf borderId="5" fillId="9" fontId="15" numFmtId="0" xfId="0" applyAlignment="1" applyBorder="1" applyFont="1">
      <alignment readingOrder="0" shrinkToFit="0" vertical="center" wrapText="0"/>
    </xf>
    <xf borderId="5" fillId="0" fontId="1" numFmtId="49" xfId="0" applyAlignment="1" applyBorder="1" applyFont="1" applyNumberFormat="1">
      <alignment readingOrder="0" shrinkToFit="0" vertical="center" wrapText="0"/>
    </xf>
    <xf borderId="5" fillId="9" fontId="14" numFmtId="0" xfId="0" applyAlignment="1" applyBorder="1" applyFont="1">
      <alignment readingOrder="0" shrinkToFit="0" vertical="center" wrapText="0"/>
    </xf>
    <xf borderId="5" fillId="9" fontId="14" numFmtId="0" xfId="0" applyAlignment="1" applyBorder="1" applyFont="1">
      <alignment horizontal="right" readingOrder="0" shrinkToFit="0" vertical="center" wrapText="0"/>
    </xf>
    <xf borderId="5" fillId="9" fontId="14" numFmtId="0" xfId="0" applyAlignment="1" applyBorder="1" applyFont="1">
      <alignment shrinkToFit="0" vertical="center" wrapText="0"/>
    </xf>
    <xf borderId="5" fillId="9" fontId="16" numFmtId="0" xfId="0" applyAlignment="1" applyBorder="1" applyFont="1">
      <alignment shrinkToFit="0" vertical="center" wrapText="0"/>
    </xf>
    <xf borderId="17" fillId="9" fontId="14" numFmtId="0" xfId="0" applyAlignment="1" applyBorder="1" applyFont="1">
      <alignment horizontal="right" readingOrder="0" shrinkToFit="0" vertical="center" wrapText="0"/>
    </xf>
    <xf borderId="8" fillId="9" fontId="14" numFmtId="0" xfId="0" applyAlignment="1" applyBorder="1" applyFont="1">
      <alignment horizontal="right" readingOrder="0" shrinkToFit="0" vertical="center" wrapText="0"/>
    </xf>
    <xf borderId="5" fillId="9" fontId="15" numFmtId="0" xfId="0" applyAlignment="1" applyBorder="1" applyFont="1">
      <alignment shrinkToFit="0" vertical="center" wrapText="0"/>
    </xf>
    <xf borderId="8" fillId="9" fontId="14" numFmtId="49" xfId="0" applyAlignment="1" applyBorder="1" applyFont="1" applyNumberFormat="1">
      <alignment readingOrder="0" shrinkToFit="0" vertical="center" wrapText="0"/>
    </xf>
    <xf borderId="20" fillId="9" fontId="14" numFmtId="0" xfId="0" applyAlignment="1" applyBorder="1" applyFont="1">
      <alignment shrinkToFit="0" vertical="center" wrapText="0"/>
    </xf>
    <xf borderId="21" fillId="9" fontId="15" numFmtId="0" xfId="0" applyAlignment="1" applyBorder="1" applyFont="1">
      <alignment shrinkToFit="0" vertical="center" wrapText="0"/>
    </xf>
    <xf borderId="21" fillId="0" fontId="1" numFmtId="49" xfId="0" applyAlignment="1" applyBorder="1" applyFont="1" applyNumberFormat="1">
      <alignment readingOrder="0" shrinkToFit="0" vertical="center" wrapText="0"/>
    </xf>
    <xf borderId="21" fillId="9" fontId="14" numFmtId="49" xfId="0" applyAlignment="1" applyBorder="1" applyFont="1" applyNumberFormat="1">
      <alignment readingOrder="0" shrinkToFit="0" vertical="center" wrapText="0"/>
    </xf>
    <xf borderId="21" fillId="0" fontId="13" numFmtId="49" xfId="0" applyAlignment="1" applyBorder="1" applyFont="1" applyNumberFormat="1">
      <alignment readingOrder="0" shrinkToFit="0" vertical="center" wrapText="0"/>
    </xf>
    <xf borderId="21" fillId="0" fontId="1" numFmtId="0" xfId="0" applyAlignment="1" applyBorder="1" applyFont="1">
      <alignment readingOrder="0" shrinkToFit="0" vertical="center" wrapText="0"/>
    </xf>
    <xf borderId="21" fillId="9" fontId="14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shrinkToFit="0" vertical="center" wrapText="0"/>
    </xf>
    <xf borderId="22" fillId="0" fontId="1" numFmtId="0" xfId="0" applyAlignment="1" applyBorder="1" applyFont="1">
      <alignment shrinkToFit="0" vertical="center" wrapText="0"/>
    </xf>
    <xf borderId="0" fillId="0" fontId="13" numFmtId="49" xfId="0" applyFont="1" applyNumberFormat="1"/>
    <xf borderId="14" fillId="0" fontId="1" numFmtId="49" xfId="0" applyAlignment="1" applyBorder="1" applyFont="1" applyNumberFormat="1">
      <alignment horizontal="left" readingOrder="0" shrinkToFit="0" vertical="center" wrapText="0"/>
    </xf>
    <xf borderId="15" fillId="0" fontId="1" numFmtId="0" xfId="0" applyAlignment="1" applyBorder="1" applyFont="1">
      <alignment horizontal="left" readingOrder="0" shrinkToFit="0" vertical="center" wrapText="0"/>
    </xf>
    <xf borderId="16" fillId="0" fontId="1" numFmtId="164" xfId="0" applyAlignment="1" applyBorder="1" applyFont="1" applyNumberFormat="1">
      <alignment readingOrder="0" shrinkToFit="0" vertical="center" wrapText="0"/>
    </xf>
    <xf borderId="5" fillId="0" fontId="2" numFmtId="49" xfId="0" applyAlignment="1" applyBorder="1" applyFont="1" applyNumberFormat="1">
      <alignment readingOrder="0" shrinkToFit="0" vertical="bottom" wrapText="0"/>
    </xf>
    <xf borderId="18" fillId="0" fontId="1" numFmtId="164" xfId="0" applyAlignment="1" applyBorder="1" applyFont="1" applyNumberFormat="1">
      <alignment readingOrder="0" shrinkToFit="0" vertical="center" wrapText="0"/>
    </xf>
    <xf borderId="8" fillId="0" fontId="2" numFmtId="49" xfId="0" applyAlignment="1" applyBorder="1" applyFont="1" applyNumberFormat="1">
      <alignment readingOrder="0" shrinkToFit="0" vertical="bottom" wrapText="0"/>
    </xf>
    <xf borderId="8" fillId="0" fontId="2" numFmtId="49" xfId="0" applyAlignment="1" applyBorder="1" applyFont="1" applyNumberFormat="1">
      <alignment readingOrder="0" shrinkToFit="0" vertical="bottom" wrapText="0"/>
    </xf>
    <xf borderId="5" fillId="0" fontId="2" numFmtId="49" xfId="0" applyAlignment="1" applyBorder="1" applyFont="1" applyNumberFormat="1">
      <alignment readingOrder="0" shrinkToFit="0" vertical="bottom" wrapText="0"/>
    </xf>
    <xf borderId="5" fillId="0" fontId="2" numFmtId="0" xfId="0" applyAlignment="1" applyBorder="1" applyFont="1">
      <alignment readingOrder="0" shrinkToFit="0" vertical="bottom" wrapText="0"/>
    </xf>
    <xf borderId="8" fillId="0" fontId="2" numFmtId="0" xfId="0" applyAlignment="1" applyBorder="1" applyFont="1">
      <alignment readingOrder="0" shrinkToFit="0" vertical="bottom" wrapText="0"/>
    </xf>
    <xf borderId="23" fillId="0" fontId="1" numFmtId="164" xfId="0" applyAlignment="1" applyBorder="1" applyFont="1" applyNumberFormat="1">
      <alignment readingOrder="0" shrinkToFit="0" vertical="center" wrapText="0"/>
    </xf>
    <xf borderId="24" fillId="0" fontId="1" numFmtId="0" xfId="0" applyAlignment="1" applyBorder="1" applyFont="1">
      <alignment readingOrder="0" shrinkToFit="0" vertical="center" wrapText="0"/>
    </xf>
    <xf borderId="24" fillId="0" fontId="2" numFmtId="0" xfId="0" applyAlignment="1" applyBorder="1" applyFont="1">
      <alignment readingOrder="0" shrinkToFit="0" vertical="bottom" wrapText="0"/>
    </xf>
    <xf borderId="25" fillId="0" fontId="1" numFmtId="0" xfId="0" applyAlignment="1" applyBorder="1" applyFont="1">
      <alignment readingOrder="0" shrinkToFit="0" vertical="center" wrapText="0"/>
    </xf>
    <xf borderId="13" fillId="0" fontId="17" numFmtId="0" xfId="0" applyAlignment="1" applyBorder="1" applyFont="1">
      <alignment horizontal="left" readingOrder="0" shrinkToFit="0" vertical="center" wrapText="1"/>
    </xf>
    <xf borderId="14" fillId="0" fontId="17" numFmtId="49" xfId="0" applyAlignment="1" applyBorder="1" applyFont="1" applyNumberFormat="1">
      <alignment horizontal="center" readingOrder="0" shrinkToFit="0" vertical="center" wrapText="1"/>
    </xf>
    <xf borderId="14" fillId="0" fontId="17" numFmtId="0" xfId="0" applyAlignment="1" applyBorder="1" applyFont="1">
      <alignment horizontal="center" readingOrder="0" shrinkToFit="0" vertical="center" wrapText="1"/>
    </xf>
    <xf borderId="14" fillId="0" fontId="17" numFmtId="0" xfId="0" applyAlignment="1" applyBorder="1" applyFont="1">
      <alignment horizontal="left" readingOrder="0" shrinkToFit="0" vertical="center" wrapText="1"/>
    </xf>
    <xf borderId="14" fillId="0" fontId="1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1"/>
    </xf>
    <xf borderId="0" fillId="0" fontId="17" numFmtId="0" xfId="0" applyAlignment="1" applyFont="1">
      <alignment shrinkToFit="0" wrapText="1"/>
    </xf>
    <xf borderId="16" fillId="0" fontId="18" numFmtId="165" xfId="0" applyAlignment="1" applyBorder="1" applyFont="1" applyNumberFormat="1">
      <alignment readingOrder="0" shrinkToFit="0" vertical="center" wrapText="0"/>
    </xf>
    <xf borderId="5" fillId="0" fontId="19" numFmtId="0" xfId="0" applyAlignment="1" applyBorder="1" applyFont="1">
      <alignment horizontal="center" readingOrder="0" shrinkToFit="0" vertical="center" wrapText="0"/>
    </xf>
    <xf borderId="5" fillId="0" fontId="19" numFmtId="0" xfId="0" applyAlignment="1" applyBorder="1" applyFont="1">
      <alignment horizontal="left" readingOrder="0" shrinkToFit="0" vertical="center" wrapText="0"/>
    </xf>
    <xf borderId="5" fillId="0" fontId="18" numFmtId="0" xfId="0" applyAlignment="1" applyBorder="1" applyFont="1">
      <alignment readingOrder="0" shrinkToFit="0" vertical="center" wrapText="0"/>
    </xf>
    <xf borderId="17" fillId="0" fontId="1" numFmtId="49" xfId="0" applyAlignment="1" applyBorder="1" applyFont="1" applyNumberFormat="1">
      <alignment readingOrder="0" shrinkToFit="0" vertical="center" wrapText="0"/>
    </xf>
    <xf borderId="0" fillId="0" fontId="20" numFmtId="0" xfId="0" applyFont="1"/>
    <xf borderId="18" fillId="0" fontId="18" numFmtId="165" xfId="0" applyAlignment="1" applyBorder="1" applyFont="1" applyNumberFormat="1">
      <alignment readingOrder="0" shrinkToFit="0" vertical="center" wrapText="0"/>
    </xf>
    <xf borderId="8" fillId="0" fontId="19" numFmtId="0" xfId="0" applyAlignment="1" applyBorder="1" applyFont="1">
      <alignment horizontal="center" readingOrder="0" shrinkToFit="0" vertical="center" wrapText="0"/>
    </xf>
    <xf borderId="8" fillId="0" fontId="19" numFmtId="0" xfId="0" applyAlignment="1" applyBorder="1" applyFont="1">
      <alignment horizontal="left" readingOrder="0" shrinkToFit="0" vertical="center" wrapText="0"/>
    </xf>
    <xf borderId="8" fillId="0" fontId="18" numFmtId="0" xfId="0" applyAlignment="1" applyBorder="1" applyFont="1">
      <alignment readingOrder="0" shrinkToFit="0" vertical="center" wrapText="0"/>
    </xf>
    <xf borderId="19" fillId="0" fontId="1" numFmtId="49" xfId="0" applyAlignment="1" applyBorder="1" applyFont="1" applyNumberFormat="1">
      <alignment readingOrder="0" shrinkToFit="0" vertical="center" wrapText="0"/>
    </xf>
    <xf borderId="8" fillId="0" fontId="19" numFmtId="49" xfId="0" applyAlignment="1" applyBorder="1" applyFont="1" applyNumberFormat="1">
      <alignment horizontal="left" readingOrder="0" shrinkToFit="0" vertical="center" wrapText="0"/>
    </xf>
    <xf borderId="5" fillId="0" fontId="19" numFmtId="49" xfId="0" applyAlignment="1" applyBorder="1" applyFont="1" applyNumberFormat="1">
      <alignment horizontal="left" readingOrder="0" shrinkToFit="0" vertical="center" wrapText="0"/>
    </xf>
    <xf borderId="20" fillId="0" fontId="18" numFmtId="165" xfId="0" applyAlignment="1" applyBorder="1" applyFont="1" applyNumberFormat="1">
      <alignment readingOrder="0" shrinkToFit="0" vertical="center" wrapText="0"/>
    </xf>
    <xf borderId="21" fillId="0" fontId="19" numFmtId="0" xfId="0" applyAlignment="1" applyBorder="1" applyFont="1">
      <alignment horizontal="center" readingOrder="0" shrinkToFit="0" vertical="center" wrapText="0"/>
    </xf>
    <xf borderId="21" fillId="0" fontId="19" numFmtId="0" xfId="0" applyAlignment="1" applyBorder="1" applyFont="1">
      <alignment horizontal="left" readingOrder="0" shrinkToFit="0" vertical="center" wrapText="0"/>
    </xf>
    <xf borderId="21" fillId="0" fontId="18" numFmtId="0" xfId="0" applyAlignment="1" applyBorder="1" applyFont="1">
      <alignment readingOrder="0" shrinkToFit="0" vertical="center" wrapText="0"/>
    </xf>
    <xf borderId="22" fillId="0" fontId="1" numFmtId="0" xfId="0" applyAlignment="1" applyBorder="1" applyFont="1">
      <alignment readingOrder="0" shrinkToFit="0" vertical="center" wrapText="0"/>
    </xf>
    <xf borderId="15" fillId="0" fontId="17" numFmtId="0" xfId="0" applyAlignment="1" applyBorder="1" applyFont="1">
      <alignment horizontal="left" readingOrder="0" shrinkToFit="0" vertical="center" wrapText="1"/>
    </xf>
    <xf borderId="13" fillId="0" fontId="1" numFmtId="164" xfId="0" applyAlignment="1" applyBorder="1" applyFont="1" applyNumberFormat="1">
      <alignment horizontal="left" readingOrder="0" shrinkToFit="0" vertical="center" wrapText="0"/>
    </xf>
    <xf borderId="14" fillId="0" fontId="1" numFmtId="0" xfId="0" applyAlignment="1" applyBorder="1" applyFont="1">
      <alignment horizontal="left" readingOrder="0" shrinkToFit="0" vertical="center" wrapText="1"/>
    </xf>
    <xf borderId="15" fillId="0" fontId="1" numFmtId="0" xfId="0" applyAlignment="1" applyBorder="1" applyFont="1">
      <alignment horizontal="left" readingOrder="0" shrinkToFit="0" vertical="center" wrapText="0"/>
    </xf>
    <xf borderId="0" fillId="0" fontId="1" numFmtId="0" xfId="0" applyAlignment="1" applyFont="1">
      <alignment readingOrder="0" shrinkToFit="0" wrapText="1"/>
    </xf>
    <xf borderId="0" fillId="0" fontId="1" numFmtId="164" xfId="0" applyFont="1" applyNumberFormat="1"/>
    <xf borderId="16" fillId="0" fontId="1" numFmtId="165" xfId="0" applyAlignment="1" applyBorder="1" applyFont="1" applyNumberFormat="1">
      <alignment readingOrder="0" shrinkToFit="0" vertical="center" wrapText="0"/>
    </xf>
    <xf borderId="0" fillId="0" fontId="1" numFmtId="165" xfId="0" applyFont="1" applyNumberFormat="1"/>
    <xf borderId="18" fillId="0" fontId="1" numFmtId="165" xfId="0" applyAlignment="1" applyBorder="1" applyFont="1" applyNumberFormat="1">
      <alignment readingOrder="0" shrinkToFit="0" vertical="center" wrapText="0"/>
    </xf>
    <xf borderId="0" fillId="0" fontId="1" numFmtId="49" xfId="0" applyFont="1" applyNumberFormat="1"/>
    <xf borderId="26" fillId="4" fontId="1" numFmtId="0" xfId="0" applyAlignment="1" applyBorder="1" applyFont="1">
      <alignment readingOrder="0" shrinkToFit="0" vertical="center" wrapText="0"/>
    </xf>
    <xf borderId="27" fillId="10" fontId="1" numFmtId="0" xfId="0" applyAlignment="1" applyBorder="1" applyFill="1" applyFont="1">
      <alignment readingOrder="0" shrinkToFit="0" vertical="center" wrapText="0"/>
    </xf>
    <xf borderId="26" fillId="4" fontId="1" numFmtId="0" xfId="0" applyAlignment="1" applyBorder="1" applyFont="1">
      <alignment readingOrder="0" shrinkToFit="0" vertical="center" wrapText="0"/>
    </xf>
    <xf borderId="20" fillId="0" fontId="1" numFmtId="165" xfId="0" applyAlignment="1" applyBorder="1" applyFont="1" applyNumberFormat="1">
      <alignment readingOrder="0" shrinkToFit="0" vertical="center" wrapText="0"/>
    </xf>
    <xf borderId="21" fillId="0" fontId="1" numFmtId="49" xfId="0" applyAlignment="1" applyBorder="1" applyFont="1" applyNumberFormat="1">
      <alignment readingOrder="0" shrinkToFit="0" vertical="center" wrapText="0"/>
    </xf>
    <xf borderId="13" fillId="0" fontId="20" numFmtId="0" xfId="0" applyAlignment="1" applyBorder="1" applyFont="1">
      <alignment horizontal="left" readingOrder="0" shrinkToFit="0" vertical="center" wrapText="1"/>
    </xf>
    <xf borderId="14" fillId="0" fontId="20" numFmtId="49" xfId="0" applyAlignment="1" applyBorder="1" applyFont="1" applyNumberFormat="1">
      <alignment horizontal="left" readingOrder="0" shrinkToFit="0" vertical="center" wrapText="1"/>
    </xf>
    <xf borderId="14" fillId="0" fontId="20" numFmtId="0" xfId="0" applyAlignment="1" applyBorder="1" applyFont="1">
      <alignment horizontal="left" readingOrder="0" shrinkToFit="0" vertical="center" wrapText="1"/>
    </xf>
    <xf borderId="16" fillId="8" fontId="21" numFmtId="165" xfId="0" applyAlignment="1" applyBorder="1" applyFont="1" applyNumberFormat="1">
      <alignment readingOrder="0" shrinkToFit="0" vertical="center" wrapText="0"/>
    </xf>
    <xf borderId="5" fillId="8" fontId="21" numFmtId="49" xfId="0" applyAlignment="1" applyBorder="1" applyFont="1" applyNumberFormat="1">
      <alignment readingOrder="0" shrinkToFit="0" vertical="center" wrapText="0"/>
    </xf>
    <xf borderId="5" fillId="8" fontId="21" numFmtId="0" xfId="0" applyAlignment="1" applyBorder="1" applyFont="1">
      <alignment readingOrder="0" shrinkToFit="0" vertical="center" wrapText="0"/>
    </xf>
    <xf borderId="5" fillId="8" fontId="21" numFmtId="0" xfId="0" applyAlignment="1" applyBorder="1" applyFont="1">
      <alignment readingOrder="0" shrinkToFit="0" vertical="center" wrapText="0"/>
    </xf>
    <xf borderId="17" fillId="8" fontId="21" numFmtId="0" xfId="0" applyAlignment="1" applyBorder="1" applyFont="1">
      <alignment readingOrder="0" shrinkToFit="0" vertical="center" wrapText="0"/>
    </xf>
    <xf borderId="5" fillId="8" fontId="21" numFmtId="49" xfId="0" applyAlignment="1" applyBorder="1" applyFont="1" applyNumberFormat="1">
      <alignment readingOrder="0" shrinkToFit="0" vertical="center" wrapText="0"/>
    </xf>
    <xf borderId="5" fillId="0" fontId="6" numFmtId="3" xfId="0" applyAlignment="1" applyBorder="1" applyFont="1" applyNumberFormat="1">
      <alignment readingOrder="0" shrinkToFit="0" vertical="center" wrapText="0"/>
    </xf>
    <xf borderId="5" fillId="0" fontId="6" numFmtId="3" xfId="0" applyAlignment="1" applyBorder="1" applyFont="1" applyNumberFormat="1">
      <alignment readingOrder="0" shrinkToFit="0" vertical="center" wrapText="0"/>
    </xf>
    <xf borderId="20" fillId="8" fontId="21" numFmtId="165" xfId="0" applyAlignment="1" applyBorder="1" applyFont="1" applyNumberFormat="1">
      <alignment readingOrder="0" shrinkToFit="0" vertical="center" wrapText="0"/>
    </xf>
    <xf borderId="21" fillId="8" fontId="21" numFmtId="0" xfId="0" applyAlignment="1" applyBorder="1" applyFont="1">
      <alignment readingOrder="0" shrinkToFit="0" vertical="center" wrapText="0"/>
    </xf>
    <xf borderId="21" fillId="8" fontId="21" numFmtId="49" xfId="0" applyAlignment="1" applyBorder="1" applyFont="1" applyNumberFormat="1">
      <alignment readingOrder="0" shrinkToFit="0" vertical="center" wrapText="0"/>
    </xf>
    <xf borderId="21" fillId="8" fontId="21" numFmtId="0" xfId="0" applyAlignment="1" applyBorder="1" applyFont="1">
      <alignment readingOrder="0" shrinkToFit="0" vertical="center" wrapText="0"/>
    </xf>
    <xf borderId="22" fillId="8" fontId="21" numFmtId="0" xfId="0" applyAlignment="1" applyBorder="1" applyFont="1">
      <alignment readingOrder="0" shrinkToFit="0" vertical="center" wrapText="0"/>
    </xf>
    <xf borderId="28" fillId="0" fontId="1" numFmtId="0" xfId="0" applyAlignment="1" applyBorder="1" applyFont="1">
      <alignment horizontal="left" readingOrder="0" shrinkToFit="0" vertical="center" wrapText="0"/>
    </xf>
    <xf borderId="29" fillId="0" fontId="1" numFmtId="49" xfId="0" applyAlignment="1" applyBorder="1" applyFont="1" applyNumberFormat="1">
      <alignment horizontal="left" readingOrder="0" shrinkToFit="0" vertical="center" wrapText="0"/>
    </xf>
    <xf borderId="29" fillId="0" fontId="1" numFmtId="0" xfId="0" applyAlignment="1" applyBorder="1" applyFont="1">
      <alignment horizontal="left" readingOrder="0" shrinkToFit="0" vertical="center" wrapText="0"/>
    </xf>
    <xf borderId="30" fillId="0" fontId="1" numFmtId="0" xfId="0" applyAlignment="1" applyBorder="1" applyFont="1">
      <alignment horizontal="left" readingOrder="0" shrinkToFit="0" vertical="center" wrapText="0"/>
    </xf>
    <xf borderId="5" fillId="0" fontId="1" numFmtId="0" xfId="0" applyAlignment="1" applyBorder="1" applyFont="1">
      <alignment horizontal="left" shrinkToFit="0" vertical="center" wrapText="0"/>
    </xf>
    <xf borderId="31" fillId="0" fontId="1" numFmtId="165" xfId="0" applyAlignment="1" applyBorder="1" applyFont="1" applyNumberFormat="1">
      <alignment readingOrder="0" shrinkToFit="0" vertical="center" wrapText="0"/>
    </xf>
    <xf borderId="32" fillId="0" fontId="1" numFmtId="0" xfId="0" applyAlignment="1" applyBorder="1" applyFont="1">
      <alignment readingOrder="0" shrinkToFit="0" vertical="center" wrapText="0"/>
    </xf>
    <xf borderId="0" fillId="0" fontId="1" numFmtId="0" xfId="0" applyAlignment="1" applyFont="1">
      <alignment readingOrder="0"/>
    </xf>
    <xf borderId="33" fillId="0" fontId="1" numFmtId="165" xfId="0" applyAlignment="1" applyBorder="1" applyFont="1" applyNumberFormat="1">
      <alignment readingOrder="0" shrinkToFit="0" vertical="center" wrapText="0"/>
    </xf>
    <xf borderId="8" fillId="0" fontId="1" numFmtId="0" xfId="0" applyAlignment="1" applyBorder="1" applyFont="1">
      <alignment horizontal="left" shrinkToFit="0" vertical="center" wrapText="0"/>
    </xf>
    <xf borderId="34" fillId="0" fontId="1" numFmtId="0" xfId="0" applyAlignment="1" applyBorder="1" applyFont="1">
      <alignment readingOrder="0" shrinkToFit="0" vertical="center" wrapText="0"/>
    </xf>
    <xf borderId="35" fillId="0" fontId="1" numFmtId="165" xfId="0" applyAlignment="1" applyBorder="1" applyFont="1" applyNumberFormat="1">
      <alignment readingOrder="0" shrinkToFit="0" vertical="center" wrapText="0"/>
    </xf>
    <xf borderId="36" fillId="0" fontId="1" numFmtId="0" xfId="0" applyAlignment="1" applyBorder="1" applyFont="1">
      <alignment readingOrder="0" shrinkToFit="0" vertical="center" wrapText="0"/>
    </xf>
    <xf borderId="36" fillId="0" fontId="1" numFmtId="0" xfId="0" applyAlignment="1" applyBorder="1" applyFont="1">
      <alignment horizontal="left" shrinkToFit="0" vertical="center" wrapText="0"/>
    </xf>
    <xf borderId="37" fillId="0" fontId="1" numFmtId="0" xfId="0" applyAlignment="1" applyBorder="1" applyFont="1">
      <alignment readingOrder="0" shrinkToFit="0" vertical="center" wrapText="0"/>
    </xf>
    <xf borderId="21" fillId="0" fontId="1" numFmtId="0" xfId="0" applyAlignment="1" applyBorder="1" applyFont="1">
      <alignment horizontal="left" readingOrder="0" shrinkToFit="0" vertical="center" wrapText="0"/>
    </xf>
  </cellXfs>
  <cellStyles count="1">
    <cellStyle xfId="0" name="Normal" builtinId="0"/>
  </cellStyles>
  <dxfs count="19">
    <dxf>
      <font/>
      <fill>
        <patternFill patternType="none"/>
      </fill>
      <border/>
    </dxf>
    <dxf>
      <font/>
      <fill>
        <patternFill patternType="solid">
          <fgColor rgb="FF00FF00"/>
          <bgColor rgb="FF00FF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0000"/>
      </font>
      <fill>
        <patternFill patternType="none"/>
      </fill>
      <border/>
    </dxf>
    <dxf>
      <font>
        <color rgb="FFC27BA0"/>
      </font>
      <fill>
        <patternFill patternType="solid">
          <fgColor rgb="FFFFFF00"/>
          <bgColor rgb="FFFFFF00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8989EB"/>
          <bgColor rgb="FF8989EB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8E7FC"/>
          <bgColor rgb="FFE8E7FC"/>
        </patternFill>
      </fill>
      <border/>
    </dxf>
    <dxf>
      <font/>
      <fill>
        <patternFill patternType="solid">
          <fgColor rgb="FF626E7A"/>
          <bgColor rgb="FF626E7A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  <dxf>
      <font>
        <color rgb="FF000000"/>
      </font>
      <fill>
        <patternFill patternType="none"/>
      </fill>
      <border/>
    </dxf>
    <dxf>
      <font>
        <color rgb="FFFFFFFF"/>
      </font>
      <fill>
        <patternFill patternType="solid">
          <fgColor rgb="FF666666"/>
          <bgColor rgb="FF666666"/>
        </patternFill>
      </fill>
      <border/>
    </dxf>
    <dxf>
      <font/>
      <fill>
        <patternFill patternType="solid">
          <fgColor rgb="FF535FC1"/>
          <bgColor rgb="FF535FC1"/>
        </patternFill>
      </fill>
      <border/>
    </dxf>
    <dxf>
      <font>
        <b/>
        <color rgb="FFCC0000"/>
      </font>
      <fill>
        <patternFill patternType="none"/>
      </fill>
      <border/>
    </dxf>
    <dxf>
      <font>
        <b/>
        <color rgb="FF3C78D8"/>
      </font>
      <fill>
        <patternFill patternType="none"/>
      </fill>
      <border/>
    </dxf>
    <dxf>
      <font>
        <color rgb="FF38761D"/>
      </font>
      <fill>
        <patternFill patternType="none"/>
      </fill>
      <border/>
    </dxf>
    <dxf>
      <font>
        <color rgb="FFA61C00"/>
      </font>
      <fill>
        <patternFill patternType="none"/>
      </fill>
      <border/>
    </dxf>
    <dxf>
      <font/>
      <fill>
        <patternFill patternType="solid">
          <fgColor rgb="FF9B3642"/>
          <bgColor rgb="FF9B3642"/>
        </patternFill>
      </fill>
      <border/>
    </dxf>
  </dxfs>
  <tableStyles count="10">
    <tableStyle count="3" pivot="0" name="DIN-style">
      <tableStyleElement dxfId="6" type="headerRow"/>
      <tableStyleElement dxfId="7" type="firstRowStripe"/>
      <tableStyleElement dxfId="8" type="secondRowStripe"/>
    </tableStyle>
    <tableStyle count="3" pivot="0" name="Reubicaciones-style">
      <tableStyleElement dxfId="9" type="headerRow"/>
      <tableStyleElement dxfId="7" type="firstRowStripe"/>
      <tableStyleElement dxfId="10" type="secondRowStripe"/>
    </tableStyle>
    <tableStyle count="3" pivot="0" name="Maestro-style">
      <tableStyleElement dxfId="13" type="headerRow"/>
      <tableStyleElement dxfId="7" type="firstRowStripe"/>
      <tableStyleElement dxfId="10" type="secondRowStripe"/>
    </tableStyle>
    <tableStyle count="3" pivot="0" name="Insumos-style">
      <tableStyleElement dxfId="13" type="headerRow"/>
      <tableStyleElement dxfId="7" type="firstRowStripe"/>
      <tableStyleElement dxfId="10" type="secondRowStripe"/>
    </tableStyle>
    <tableStyle count="3" pivot="0" name="Recepcion Materia Prima-style">
      <tableStyleElement dxfId="13" type="headerRow"/>
      <tableStyleElement dxfId="7" type="firstRowStripe"/>
      <tableStyleElement dxfId="10" type="secondRowStripe"/>
    </tableStyle>
    <tableStyle count="3" pivot="0" name="Recepcion Insumos-style">
      <tableStyleElement dxfId="13" type="headerRow"/>
      <tableStyleElement dxfId="7" type="firstRowStripe"/>
      <tableStyleElement dxfId="10" type="secondRowStripe"/>
    </tableStyle>
    <tableStyle count="3" pivot="0" name="Ordenes de Produccion-style">
      <tableStyleElement dxfId="13" type="headerRow"/>
      <tableStyleElement dxfId="7" type="firstRowStripe"/>
      <tableStyleElement dxfId="10" type="secondRowStripe"/>
    </tableStyle>
    <tableStyle count="3" pivot="0" name="Salidas-style">
      <tableStyleElement dxfId="13" type="headerRow"/>
      <tableStyleElement dxfId="7" type="firstRowStripe"/>
      <tableStyleElement dxfId="10" type="secondRowStripe"/>
    </tableStyle>
    <tableStyle count="3" pivot="0" name="IRNMTN-style">
      <tableStyleElement dxfId="13" type="headerRow"/>
      <tableStyleElement dxfId="7" type="firstRowStripe"/>
      <tableStyleElement dxfId="7" type="secondRowStripe"/>
    </tableStyle>
    <tableStyle count="3" pivot="0" name="IRNMTN-style 2">
      <tableStyleElement dxfId="18" type="headerRow"/>
      <tableStyleElement dxfId="7" type="firstRowStripe"/>
      <tableStyleElement dxfId="10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pivotCacheDefinition" Target="pivotCache/pivotCacheDefinition4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pivotCacheDefinition" Target="pivotCache/pivotCacheDefinition1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pivotCacheDefinition" Target="pivotCache/pivotCacheDefinition3.xml"/><Relationship Id="rId6" Type="http://schemas.openxmlformats.org/officeDocument/2006/relationships/worksheet" Target="worksheets/sheet3.xml"/><Relationship Id="rId18" Type="http://schemas.openxmlformats.org/officeDocument/2006/relationships/pivotCacheDefinition" Target="pivotCache/pivotCacheDefinition2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2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3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_rels/pivotCacheDefinition4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H2:I28" sheet="INVENTARIO 10-03-2025"/>
  </cacheSource>
  <cacheFields>
    <cacheField name="DESCRIPCION" numFmtId="0">
      <sharedItems>
        <s v="CAJA CARTON CORRUGADO 60x60x50 CM (XL) SODIMAC"/>
        <s v="CAJA CARTON CORRUGADO 60x40x40 CM (L)"/>
        <s v="SEPARADOR 12 PLATOS"/>
        <s v="CAJA PISQUERA"/>
        <s v="CAJA CARTON CORRUGADO 50x40x30 CM (M) SODIMAC"/>
        <s v="CAJA TV "/>
        <s v="ROLLO ESPUMA 1MM"/>
        <s v="PLASTICO BURBUJA ROLLO 1MT X 10MT  1 UNIDAD"/>
        <s v="CAJA CARTON CORRUGADO 60x40x40 CM (L) SODIMAC"/>
        <s v="CAJA 12C S/IMP (10739)"/>
        <s v="CAJA 12C S/IMP (10655)"/>
        <s v="CAJA C/IMP SODIMAC (10655)"/>
        <s v="CAJA 12 C C/IMP SODIMAC"/>
        <s v="CAJA C/IMP EASY CON ASA (10877)"/>
        <s v="CAJA C/IMP EASY CON ASA (10879)"/>
        <s v="CAJA CARTON CORRUGADO 47x31x31 CM (S) SODIMAC"/>
        <s v="CAJA CARTON CORRUGADO 50x40x30 CM (M) EASY"/>
        <s v="CAJA CARTON CORRUGADO 60x40x40 CM (L) EASY"/>
        <s v="SEPARADOR 2 RANURAS"/>
        <s v="ROLLO CARTON CORRUGADO 0.80"/>
        <s v="ROLLO CARTON CORRUGADO 1.20"/>
        <s v="CAJA MINI ENV."/>
        <s v="ROLLO PAPEL KRAFT"/>
      </sharedItems>
    </cacheField>
    <cacheField name="CANTIDAD" numFmtId="0">
      <sharedItems containsSemiMixedTypes="0" containsString="0" containsNumber="1">
        <n v="2234.0"/>
        <n v="1250.0"/>
        <n v="510.0"/>
        <n v="1636.0"/>
        <n v="325.0"/>
        <n v="90.0"/>
        <n v="3.0"/>
        <n v="4.0"/>
        <n v="200.0"/>
        <n v="2000.0"/>
        <n v="700.0"/>
        <n v="1750.0"/>
        <n v="800.0"/>
        <n v="978.0"/>
        <n v="475.0"/>
        <n v="168.0"/>
        <n v="350.0"/>
        <n v="465.0"/>
        <n v="1125.0"/>
        <n v="46.5"/>
        <n v="50.0"/>
        <n v="52.0"/>
        <n v="2125.0"/>
        <n v="60.0"/>
      </sharedItems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D124" sheet="Detalle Pallet Multicodigo"/>
  </cacheSource>
  <cacheFields>
    <cacheField name="N° PALLET" numFmtId="0">
      <sharedItems containsSemiMixedTypes="0" containsString="0" containsNumber="1" containsInteger="1">
        <n v="1.0"/>
        <n v="2.0"/>
        <n v="3.0"/>
        <n v="4.0"/>
        <n v="5.0"/>
        <n v="6.0"/>
        <n v="7.0"/>
        <n v="8.0"/>
        <n v="9.0"/>
        <n v="10.0"/>
        <n v="11.0"/>
        <n v="12.0"/>
        <n v="13.0"/>
        <n v="14.0"/>
      </sharedItems>
    </cacheField>
    <cacheField name="SKU" numFmtId="49">
      <sharedItems>
        <s v="603353"/>
        <s v="686516"/>
        <s v="634692"/>
        <s v="672458"/>
        <s v="688374"/>
        <s v="688312"/>
        <s v="686660"/>
        <s v="686912"/>
        <s v="621043"/>
        <s v="681160"/>
        <s v="688299"/>
        <s v="676456"/>
        <s v="622729"/>
        <s v="676425"/>
        <s v="667584"/>
        <s v="676395"/>
        <s v="681368"/>
        <s v="686981"/>
        <s v="686882"/>
        <s v="635989"/>
        <s v="681375"/>
        <s v="686684"/>
        <s v="687360"/>
        <s v="687377"/>
        <s v="619941"/>
        <s v="601588"/>
        <s v="688473"/>
        <s v="681436"/>
        <s v="625638"/>
        <s v="663425"/>
        <s v="681429"/>
        <s v="681382"/>
        <s v="676548"/>
        <s v="681399"/>
        <s v="681405"/>
        <s v="681412"/>
        <s v="682068"/>
        <s v="680255"/>
        <s v="619972"/>
        <s v="256233"/>
        <s v="672496"/>
        <s v="663616"/>
        <s v="665061"/>
        <s v="664729"/>
        <s v="684529"/>
        <s v="684055"/>
        <s v="676401"/>
        <s v="672502"/>
        <s v="629711"/>
        <s v="676463"/>
        <s v="678047"/>
        <s v="643045"/>
        <s v="664767"/>
        <s v="659497"/>
        <s v="665849"/>
        <s v="665320"/>
        <s v="648385"/>
        <s v="690902"/>
        <s v="685250"/>
        <s v="667874"/>
        <s v="664743"/>
        <s v="651453"/>
        <s v="687124"/>
        <s v="686530"/>
        <s v="603360"/>
        <s v="633695"/>
        <s v="687025"/>
        <s v="672861"/>
      </sharedItems>
    </cacheField>
    <cacheField name="DESCRIPCION" numFmtId="49">
      <sharedItems>
        <s v="PORTAMINA 0.5MM TECH DISPLAY 12 UNIDADES"/>
        <s v="REPUESTO MINA 0.9MM 2B DISPLAY 12 TUBOS C/24 MINAS"/>
        <s v="TIJERA ESCOLAR COMFORT DISPLAY 18 UNIDADES"/>
        <s v="TIJERA ESCOLAR COMFORT 15CM BLISTER 1 UNIDAD"/>
        <s v="PORTAMINA 2.0MM SUPER OFFICE DISPLAY 12 UNIDADES"/>
        <s v="PORTAMINA 0.7MM JELLY DISPLAY 12 UNIDADES"/>
        <s v="PORTAMINA 0.7MM CHIC DISPLAY 24 UNIDADES"/>
        <s v="PORTAMINA 0.7MM TECH PUNTA METAL DISPLAY 12 UNIDADES"/>
        <s v="PORTAMINA 0.9MM TECH DISPLAY 12 UNIDADES"/>
        <s v="PORTAMINA 2.0MM SUPER COLORS DISPLAY 24 UNIDADES"/>
        <s v="PORTAMINA 2.0MM SUPER CUTE DISEÑOS DISPLAY 24 UNIDADES"/>
        <s v="GOMA DE BORRAR BASIC N20 BLISTER 2 UNIDADES"/>
        <s v="GOMA DE BORRAR C/GRIP SCHOOL DISPLAY 24 UNIDADES"/>
        <s v="GOMA DE BORRAR BASIC N20 DISPLAY 2O UNIDADES"/>
        <s v="GOMA DE BORRAR SOFT 2 UNIDADES"/>
        <s v="GOMA DE BORRAR PUNTA LAPIZ BLANCA DISPLAY 50 UNIDADES"/>
        <s v="GOMA DE BORRAR C/PORTAGOMA FIT BLISTER 1 UNIDAD"/>
        <s v="GOMA DE BORRAR TWICE BLISTER 2 UNIDADES"/>
        <s v="GOMA DE BORRAR TWICE SET 4 UNIDADES"/>
        <s v="GOMA DE BORRAR NEON 2 UNIDADES"/>
        <s v="PEGAMENTO GLITTER 23GR. BRILLO AZUL DISPLAY 12 UNIDADES"/>
        <s v="LAPICES DE CERA MEGA OLEO/PASTEL 12 COLORES"/>
        <s v="MARCADOR PIZARRA LIQEO AZUL DISPLAY 12 UNIDADES"/>
        <s v="MARCADOR PIZARRA LIQEO NEGRO DISPLAY 12 UNIDADES"/>
        <s v="TIJERA ESCOLAR CRAFT 15CM 5MM DISEÑOS DISPLAY 24 UNIDADES"/>
        <s v="TIJERA ESCOLAR CLASS DISPLAY 30 UNIDADES"/>
        <s v="TIJERA SOFT PASTEL DISEÑOS DISPLAY 20 UNIDADES"/>
        <s v="PEGAMENTO GLITTER 23GR. SET 6 COLORES"/>
        <s v="DESTACADOR FLASH AMARILLO DISPLAY 12 UNIDADES"/>
        <s v="BOLIGRAFO 1.0 MM EXEC AZUL DISPLAY 50 UNIDADES"/>
        <s v="PEGAMENTO GLITTER 23GR. BRILLO TRANSPARENTE DISPLAY 12 UNIDADES"/>
        <s v="PEGAMENTO GLITTER 23GR. BRILLO ORO DISPLAY 12 UNIDADES"/>
        <s v="LAPIZ CORRECTOR 7ML RETOK BLISTER 1 UNIDAD"/>
        <s v="PEGAMENTO GLITTER 23GR. BRILLO PLATA DISPLAY 12 UNIDADES"/>
        <s v="PEGAMENTO GLITTER 23GR. BRILLO VERDE DISPLAY 12 UNIDADES"/>
        <s v="PEGAMENTO GLITTER 23GR. BRILLO ROJO DISPLAY 12 UNIDADES"/>
        <s v="DISPENSADOR CINTA ADHESIVA T830 BLACK 1 UNIDAD"/>
        <s v="LAPICES DE COLOR MEGA SOFT 36 COLORES 01NEON_01METAL +SACAP"/>
        <s v="TIJERA ESCOLAR ZURDO BLISTER 1 UNIDAD"/>
        <s v="CUCHILLO CARTONERO GRANDE N°70 CON FRENO ISOFIT"/>
        <s v="BOLIGRAFO SLIDE NEGRO 1.0MM DISPLAY 50 UNIDADES"/>
        <s v="BOLIGRAFO 1.0 MM EXEC NEGRO DISPLAY 50 UNIDADES"/>
        <s v="CORCHETERA METALICA 26/6 T509 BLACK 20HJS 1 UNIDAD"/>
        <s v="CLIP BULLDOG METALICO 32MM NEGRO DISPLAY 12 UNIDADES"/>
        <s v="BOLIGRAFO COMFORT COLORES SURTIDOS DISPLAY 12 UNIDADES"/>
        <s v="LAPICES DE COLOR MEGA SOFT 48 COLORES 02METAL +SACAPUNTAS"/>
        <s v="GOMA DE BORRAR PUNTA LAPIZ BLANCA SET 6 UNIDADES"/>
        <s v="BOLIGRAFO SLIDE ROJO 1.0MM DISPLAY 50 UNIDADES"/>
        <s v="GOMA DE BORRAR C/GRIP SCHOOL BLISTER 2 UNIDADES"/>
        <s v="GOMA DE BORRAR BASIC N40 SET 3 UNIDADES"/>
        <s v="LAPICES COLORES 4 UN"/>
        <s v="SACAPUNTAS DISEÑO PINGÜINO DISPLAY 12 UNIDADES"/>
        <s v="CLIP BULLDOG METALICO 51MM NEGRO DISPLAY 12 UNIDADES"/>
        <s v="GOMA DE BORRAR SOFT COLOR DISPLAY 24 UNIDADES"/>
        <s v="SACA CORCHETES PALANCA T064 DISPLAY 24 UNIDADES"/>
        <s v="CORCHETES 23/13 NIQUELADO HEAVY DUTY CAJA 1000 UNIDADES"/>
        <s v="REGLA FLEXIBLE 30 CM. FLOPPY 1 UNIDAD"/>
        <s v="SET ESCOLAR ROSADO (2GRAFITOS +1SACAPUNTA +1GOMA BORAR)"/>
        <s v="SACAPUNTAS C/DEPOSITO SU133 DISPLAY 12 UNIDADES"/>
        <s v="TAMPON PARA TIMBRE DE GOMA T160 NR3 AZUL 1 UNIDAD"/>
        <s v="CLIP BULLDOG METALICO 41MM NEGRO DISPLAY 12 UNIDADES"/>
        <s v="BOLIGRAFO GEL EFECTO GLITTER 10 UNIDADES COLORES VARIOS"/>
        <s v="BOLIGRAFO GEL METALICO DORADO/PLATA DISPLAY 50 UNIDADES"/>
        <s v="REPUESTO MINA 2.0MM 2B DISPLAY 12 TUBOS C/6 MINAS"/>
        <s v="PORTAMINA 0.7MM TECH DISPLAY 12 UNIDADES"/>
        <s v="GOMA DE BORRAR NEON DSP 24 UN TRIS"/>
        <s v="LAPIZ CORRECTOR 4ML RETOK MINI BLISTER 1 UNIDAD"/>
        <s v="LAPICES COLORES 2 UN"/>
      </sharedItems>
    </cacheField>
    <cacheField name="CANTIDAD TOTAL UNIDADES" numFmtId="0">
      <sharedItems containsSemiMixedTypes="0" containsString="0" containsNumber="1" containsInteger="1">
        <n v="1728.0"/>
        <n v="504.0"/>
        <n v="216.0"/>
        <n v="3456.0"/>
        <n v="2520.0"/>
        <n v="480.0"/>
        <n v="4032.0"/>
        <n v="576.0"/>
        <n v="4608.0"/>
        <n v="1260.0"/>
        <n v="288.0"/>
        <n v="384.0"/>
        <n v="300.0"/>
        <n v="1800.0"/>
        <n v="432.0"/>
        <n v="96.0"/>
        <n v="4800.0"/>
        <n v="1152.0"/>
        <n v="360.0"/>
        <n v="1944.0"/>
        <n v="2592.0"/>
        <n v="864.0"/>
        <n v="192.0"/>
        <n v="960.0"/>
        <n v="180.0"/>
        <n v="240.0"/>
        <n v="84.0"/>
        <n v="324.0"/>
        <n v="32000.0"/>
        <n v="1000.0"/>
        <n v="204.0"/>
        <n v="13824.0"/>
        <n v="144.0"/>
        <n v="48.0"/>
        <n v="312.0"/>
        <n v="264.0"/>
        <n v="72.0"/>
        <n v="10.0"/>
        <n v="6048.0"/>
        <n v="34560.0"/>
        <n v="193536.0"/>
        <n v="4000.0"/>
        <n v="1950.0"/>
        <n v="1400.0"/>
        <n v="12.0"/>
        <n v="6912.0"/>
        <n v="2000.0"/>
        <n v="76000.0"/>
        <n v="2304.0"/>
        <n v="3072.0"/>
        <n v="144000.0"/>
        <n v="162.0"/>
        <n v="60.0"/>
        <n v="4.0"/>
        <n v="62.0"/>
        <n v="6.0"/>
        <n v="8.0"/>
        <n v="28.0"/>
        <n v="80.0"/>
        <n v="50.0"/>
        <n v="132.0"/>
        <n v="252.0"/>
        <n v="7.0"/>
        <n v="23.0"/>
        <n v="256.0"/>
        <n v="500.0"/>
        <n v="64.0"/>
        <n v="5.0"/>
        <n v="32.0"/>
        <n v="16.0"/>
        <n v="49.0"/>
        <n v="27.0"/>
        <n v="38.0"/>
        <n v="18.0"/>
        <n v="11.0"/>
        <n v="55.0"/>
        <n v="89.0"/>
        <n v="39.0"/>
        <n v="192000.0"/>
      </sharedItems>
    </cacheField>
  </cacheFields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2:L1687" sheet="MSMT"/>
  </cacheSource>
  <cacheFields>
    <cacheField name="STATUS" numFmtId="49">
      <sharedItems>
        <s v="N"/>
        <s v="ZZ"/>
        <s v="Z"/>
        <s v="NN"/>
      </sharedItems>
    </cacheField>
    <cacheField name="COD DEF." numFmtId="0">
      <sharedItems containsBlank="1">
        <s v="TRISNOTA677446"/>
        <s v="TRISSACA643045"/>
        <s v="TRISSACA643069"/>
        <s v="TRISTIJE619941"/>
        <s v="TRISGOMA622729"/>
        <s v="TRISPLPZ687377"/>
        <s v="TRISMINA686516"/>
        <s v="TRISPORT603353"/>
        <s v="TRISBOLI663616"/>
        <s v="TRISPORT621043"/>
        <s v="TRISGOMA686882"/>
        <s v="TRISBOLI672502"/>
        <s v="TRISPORT686912"/>
        <s v="TRISPORT686660"/>
        <s v="TRISSACA685250"/>
        <s v="TRISBOLI687520"/>
        <s v="TRISBOLI672496"/>
        <s v="TRISPORT681160"/>
        <s v="TRISDEST625638"/>
        <s v="TRISGOMA676425"/>
        <s v="TRISPEGA681399"/>
        <s v="TRISPLPZ687360"/>
        <s v="TRISPORT688374"/>
        <s v="TRISPEGA681429"/>
        <s v="TRISCUAD673332"/>
        <s v="TRISBOLI685854"/>
        <s v="TRISPEGA681405"/>
        <s v="TRISGOMA676395"/>
        <s v="TRISPORT688312"/>
        <s v="TRISSSET690919"/>
        <s v="TRISPORT603360"/>
        <s v="TRISTIJE601588"/>
        <s v="TRISBOLI666426"/>
        <s v="TRISLAPG687667"/>
        <s v="TRISPEGA681412"/>
        <s v="TRISMINA686530"/>
        <s v="TRISLAPG688145"/>
        <s v="TRISBOLI687124"/>
        <s v="TRISGOMA659497"/>
        <s v="TRISJDTC691367"/>
        <s v="TRISJDTC691350"/>
        <s v="TRISPEGA681382"/>
        <s v="TRISLAPG685205"/>
        <s v="TRISPORT688299"/>
        <s v="TRISTIJE688473"/>
        <s v="TRISCORC665849"/>
        <s v="TRISSACA635910"/>
        <s v="TRISTIJE634692"/>
        <s v="TRISBLGL651453"/>
        <s v="TRISEMBA690469"/>
        <s v="TRISDDTC691367"/>
        <s v="TRISEMBA690117"/>
        <s v="TRISEMBA690728"/>
        <s v="TRISSACA688152"/>
        <s v="TRISTIJE650487"/>
        <s v="SPIDPEGA648040"/>
        <s v="TRISLAPG676654"/>
        <s v="TRISLAPG684093"/>
        <s v="FROZGOMA678917"/>
        <s v="TRISBOLI684529"/>
        <s v="TRISPWEB684567"/>
        <s v="TRISPWEB684529"/>
        <s v="TRISBOLI684567"/>
        <s v="TRISPWEB666426"/>
        <s v="TRISPWEB684451"/>
        <s v="TRISBOLI684451"/>
        <s v="TRISPWEB687520"/>
        <s v="TRISBOLI686271"/>
        <s v="TRISPWEB686271"/>
        <s v="TRISBOLI687537"/>
        <s v="TRISBOLI672489"/>
        <s v="TRISPWEB672519"/>
        <s v="TRISPWEB651453"/>
        <s v="TRISPWEB672489"/>
        <s v="TRISBOLI672519"/>
        <s v="TRISSSET667409"/>
        <s v="TRISSSET687537"/>
        <s v="TRISPWEB687124"/>
        <s v="TRISPWEB672496"/>
        <s v="TRISPWEB663616"/>
        <s v="TRISPWEB685854"/>
        <s v="TRISPWEB672502"/>
        <s v="TRISBOLI684468"/>
        <s v="TRISBOLI685151"/>
        <s v="TRISBOLI686233"/>
        <s v="TRISUNID672489"/>
        <s v="TRISUNID672496"/>
        <s v="TRISUNID672502"/>
        <s v="TRISBOLI673998"/>
        <s v="TMMHBOLI668307"/>
        <s v="ANGRBOLI671215"/>
        <s v="MONSBOLI668307"/>
        <s v="TRISSSET673360"/>
        <s v="TRISEMBA678986"/>
        <s v="TRISEMBA690186"/>
        <s v="TRISEMBA674896"/>
        <s v="TRISEMBA684468"/>
        <s v="TRISEMBA686233"/>
        <s v="TRISEMBA685151"/>
        <s v="TRISEMBA684840"/>
        <s v="MONSSSET667409"/>
        <s v="TMMHSSET667409"/>
        <s v="TMMHSSET672878"/>
        <s v="TRISLPCE690490"/>
        <s v="COLOLPCE673295"/>
        <s v="UCHILPCE673301"/>
        <s v="SUMMLICE682778"/>
        <s v="MONSSSET672878"/>
        <s v="TRISEMBA671383"/>
        <s v="TRISEMBA650718"/>
        <s v="TRISEMBA659495"/>
        <s v="TRISLAPC690469"/>
        <s v="STARLAPC674889"/>
        <s v="COLOLAPC673318"/>
        <s v="UCHILAPC673325"/>
        <s v="SPIDLAPC680712"/>
        <s v="STARLAPC680712"/>
        <s v="TRISNAVI671215"/>
        <s v="TRISPWEB677354"/>
        <s v="TRISPWEB677347"/>
        <s v="TRISCORC677354"/>
        <s v="TRISCORC677347"/>
        <s v="TRISPWEB648736"/>
        <s v="TRISPWEB680798"/>
        <s v="TRISCORC680798"/>
        <s v="TRISUNID687018"/>
        <s v="TRISPWEB676555"/>
        <s v="TRISCORR649207"/>
        <s v="TRISPWEB649207"/>
        <s v="TRISCORR687018"/>
        <s v="TRISCORR652139"/>
        <s v="TRISCORR688220"/>
        <s v="TRISPWEB688220"/>
        <s v="TRISPWEB652139"/>
        <s v="TRISCUAD673349"/>
        <s v="TRISCUAD673318"/>
        <s v="TRISCUAD673325"/>
        <s v="TRISCUAD673363"/>
        <s v="TRISCUAD673301"/>
        <s v="TRISCUAD673295"/>
        <s v="TRISPWEB691121"/>
        <s v="TRISPWEB603643"/>
        <s v="TRISDEST603643"/>
        <s v="TRISDEST685953"/>
        <s v="TRISPWEB685953"/>
        <s v="TRISDEST685045"/>
        <s v="TRISPWEB685045"/>
        <s v="TRISSSET690179"/>
        <s v="TRISPWEB625638"/>
        <s v="TRISDEST605654"/>
        <s v="TRISDEST605647"/>
        <s v="TRISDEST605685"/>
        <s v="TRISDEST605678"/>
        <s v="TRISSSET666945"/>
        <s v="TRISPALL222223"/>
        <s v="TRISEMBA222223"/>
        <s v="TRISEXHI222222"/>
        <s v="BARBEXHI222222"/>
        <s v="TRISEMBA657325"/>
        <s v="TRISEMBA690094"/>
        <s v="TRISEMBA673080"/>
        <s v="TRISEMBA682785"/>
        <s v="TRISPWEB687797"/>
        <s v="TRISGOMA687797"/>
        <s v="TRISPWEB686400"/>
        <s v="TRISPWEB687773"/>
        <s v="TRISGOMA686400"/>
        <s v="TRISPWEB622729"/>
        <s v="TRISPWEB659497"/>
        <s v="TRISGOMA664293"/>
        <s v="TRISPWEB664293"/>
        <s v="TRISPWEB664279"/>
        <s v="TRISPWEB686882"/>
        <s v="TRISPWEB635576"/>
        <s v="TRISGOMA635576"/>
        <s v="TRISPWEB676395"/>
        <s v="TRISGOMA684802"/>
        <s v="TRISPWEB684802"/>
        <s v="TRISPWEB687766"/>
        <s v="TRISPWEB676418"/>
        <s v="TRISGOMA676418"/>
        <s v="TRISGOMA687766"/>
        <s v="TRISGOMA676432"/>
        <s v="TRISPWEB676432"/>
        <s v="TRISPWEB676425"/>
        <s v="MOANGOMA684840"/>
        <s v="SUMMLICE682761"/>
        <s v="TMMHBOLI667300"/>
        <s v="TRISGOMA684840"/>
        <s v="MONSBOLI667300"/>
        <s v="TRISGOMA678917"/>
        <s v="TRISPACK645193"/>
        <s v="TRISPWEB676654"/>
        <s v="TRISLAPG687278"/>
        <s v="TRISPWEB687650"/>
        <s v="TRISPWEB676661"/>
        <s v="TRISPWEB687667"/>
        <s v="TRISLAPG660424"/>
        <s v="TRISPWEB660424"/>
        <s v="TRISPWEB688145"/>
        <s v="TRISPWEB687681"/>
        <s v="TRISLAPG687681"/>
        <s v="TRISLAPG634128"/>
        <s v="TRISLAPG687674"/>
        <s v="TRISLAPG688565"/>
        <s v="TRISLAPG687650"/>
        <s v="TRISPWEB684161"/>
        <s v="TRISPWEB687278"/>
        <s v="TRISPWEB687674"/>
        <s v="TRISPWEB634128"/>
        <s v="TRISPWEB688565"/>
        <s v="TRISLAPG684161"/>
        <s v="TRISPWEB685205"/>
        <s v="TRISPWEB684093"/>
        <s v="TRISSSET678979"/>
        <s v="TRISLAPG690476"/>
        <s v="TRISSSET690858"/>
        <s v="PRINLAPG657325"/>
        <s v="UCHILAPG673349"/>
        <s v="COLOLAPG673332"/>
        <s v="SUMMLICE682785"/>
        <s v="MARILAPG678979"/>
        <s v="HADABLIS679013"/>
        <s v="POLLLPCE645193"/>
        <s v="SPIDSSET678979"/>
        <s v="TRISLAPG657325"/>
        <s v="TRISDDTC691350"/>
        <s v="TRISKT04685250"/>
        <s v="TRISKT07619941"/>
        <s v="TRISKT09677446"/>
        <s v="AVENSSET674155"/>
        <s v="ANGRSSET674155"/>
        <s v="AVENSSET682792"/>
        <s v="BARBSSET682785"/>
        <s v="BARBSSET679013"/>
        <s v="BARBPOLY632100"/>
        <s v="TRISPLUM659251"/>
        <s v="TRISPLUM659268"/>
        <s v="TRISPLUM659244"/>
        <s v="TRISPLUM690483"/>
        <s v="FROZPLUM679136"/>
        <s v="TRISPLUM679136"/>
        <s v="TRISPLUM687384"/>
        <s v="TRISPWEB687377"/>
        <s v="TRISPWEB687384"/>
        <s v="TRISPWEB687360"/>
        <s v="TRISSSET690162"/>
        <s v="TRISUNID687384"/>
        <s v="TRISSSET690148"/>
        <s v="UFFIPLPZ690766"/>
        <s v="TRISUNID687360"/>
        <s v="TRISUNID687377"/>
        <s v="RIO2MOCH674049"/>
        <s v="MUNISSET674049"/>
        <s v="HADAPACK690131"/>
        <s v="AVENSSET672922"/>
        <s v="POLLSSET672922"/>
        <s v="TRISGOMA650718"/>
        <s v="TRISLAPG659495"/>
        <s v="TRISBLIS643052"/>
        <s v="HADASSET690131"/>
        <s v="TRISPACK676654"/>
        <s v="TRISPACK624365"/>
        <s v="TRISPACK603643"/>
        <s v="TRISPACK655604"/>
        <s v="TRISPACK691121"/>
        <s v="TRISEMBA643052"/>
        <s v="TRISEMBA690476"/>
        <s v="TRISEMBA690858"/>
        <s v="TRISEMBA614168"/>
        <s v="TRISEMBA619392"/>
        <s v="TRISEMBA690490"/>
        <s v="TRISEMBA690483"/>
        <s v="TRISPACK659251"/>
        <s v="TRISPACK648040"/>
        <s v="TRISPACK605678"/>
        <s v="TRISCAJA619392"/>
        <s v="TRISPACK690117"/>
        <s v="TRISPACK674896"/>
        <s v="TRISPACK673360"/>
        <s v="TRISPACK643052"/>
        <s v="TRISPACK659244"/>
        <s v="TRISSSET672922"/>
        <s v="TRISSSET679044"/>
        <s v="TRISPACK690148"/>
        <s v="TRISPACK690124"/>
        <s v="TRISPACK659268"/>
        <s v="TRISPACK666945"/>
        <s v="TRISPACK690179"/>
        <s v="TRISPACK673363"/>
        <s v="TRISPACK673998"/>
        <s v="TRISPACK648491"/>
        <s v="TRISPACK682679"/>
        <s v="TRISPACK619415"/>
        <s v="TRISSSET674896"/>
        <s v="TRISPACK690933"/>
        <s v="TRISPACK690162"/>
        <s v="TRISPACK690094"/>
        <s v="SUMMLICE682815"/>
        <s v="SUMMLICE690728"/>
        <s v="BARBPACK690544"/>
        <s v="FROZPACK614168"/>
        <s v="AVENPACK632100"/>
        <s v="BARBPACK632100"/>
        <s v="BARBPACK636054"/>
        <s v="MARIPACK619392"/>
        <s v="MONSPACK673271"/>
        <s v="SPIDPACK690537"/>
        <s v="TRISPACK614168"/>
        <s v="TRISPACK619392"/>
        <s v="TRISPACK636054"/>
        <s v="TRISPACK614175"/>
        <s v="MINNSSET674896"/>
        <s v="PLANBLIS678986"/>
        <s v="HOTWBLIS678986"/>
        <s v="MAXSPACK619415"/>
        <s v="AVENPACK636054"/>
        <s v="MINNPACK614175"/>
        <s v="MONSSSET679044"/>
        <s v="BARBSSET690544"/>
        <s v="SPIDSSET690537"/>
        <s v="SPIDTIJE673271"/>
        <s v="TRISPWEB681238"/>
        <s v="TRISPEGA681443"/>
        <s v="TRISPEGA681238"/>
        <s v="TRISPWEB681252"/>
        <s v="TRISPEGA681252"/>
        <s v="TRISPWEB681399"/>
        <s v="TRISPWEB681382"/>
        <s v="TRISPWEB681412"/>
        <s v="TRISPWEB681443"/>
        <s v="TRISPWEB681429"/>
        <s v="TRISPWEB681405"/>
        <s v="TRISPEGA690629"/>
        <s v="TMMHSSET648484"/>
        <s v="TMMHSSET668246"/>
        <s v="TRISPACK604985"/>
        <s v="MONSSSET648484"/>
        <s v="MONSSSET668246"/>
        <s v="TRISPEGA604985"/>
        <s v="HKITPIZA682815"/>
        <s v="UCHIPIZA673363"/>
        <s v="TRISEMBA690629"/>
        <s v="TRISEMBA690124"/>
        <s v="TRISPWEB688299"/>
        <s v="TRISPACK681160"/>
        <s v="TRISPWEB688374"/>
        <s v="TRISPWEB681160"/>
        <s v="TRISTUBM686479"/>
        <s v="TRISPWEB686660"/>
        <s v="TRISPWEB686479"/>
        <s v="TRISPWEB686912"/>
        <s v="TRISPWEB603353"/>
        <s v="TRISPWEB603360"/>
        <s v="TRISPWEB688312"/>
        <s v="TRISPWEB621043"/>
        <s v="TRISPWEB686516"/>
        <s v="TRISPWEB686530"/>
        <s v="SUMMLICE682808"/>
        <s v="AVENSSET671383"/>
        <s v="TRISEMBA682778"/>
        <s v="TRISEMBA690155"/>
        <s v="TRISEMBA674889"/>
        <s v="TRISEMBA605654"/>
        <s v="TRISEMBA636054"/>
        <s v="TRISEMBA605647"/>
        <s v="TRISEMBA605685"/>
        <s v="TRISEMBA605678"/>
        <s v="TRISEMBA678917"/>
        <s v="TRISPWEB665849"/>
        <s v="TRISPWEB676487"/>
        <s v="TRISSACA617763"/>
        <s v="TRISPWEB685229"/>
        <s v="TRISSACA685229"/>
        <s v="TRISPWEB643045"/>
        <s v="TRISPWEB688138"/>
        <s v="TRISSACA676487"/>
        <s v="TRISPWEB635910"/>
        <s v="TRISSSET635910"/>
        <s v="TRISPWEB643069"/>
        <s v="TRISPWEB685250"/>
        <s v="TRISPWEB688152"/>
        <s v="TRISPWEB617763"/>
        <s v="TRISSACA688138"/>
        <s v="TRISSACA648491"/>
        <s v="SUMMLICE690186"/>
        <s v="BARBSSET690186"/>
        <s v="TRISSSET690933"/>
        <s v="MONSSSET673165"/>
        <s v="MONSSSET673158"/>
        <s v="SPIDSSET690155"/>
        <s v="SPIDSSET682730"/>
        <s v="BARBSSET682761"/>
        <s v="AVENSSET682778"/>
        <s v="TRISSSET673080"/>
        <s v="AVENSSET682754"/>
        <s v="BARBSSET682679"/>
        <s v="HOTWSSET682808"/>
        <s v="SPIDSSET672793"/>
        <s v="BARBSSET690919"/>
        <s v="TRISPACK690155"/>
        <s v="BARBSSET674889"/>
        <s v="TRISBOLI682679"/>
        <s v="MUNISSET673165"/>
        <s v="MUNISSET673158"/>
        <s v="AVENSSET682730"/>
        <s v="BARBSSET682754"/>
        <s v="BARBSSET672793"/>
        <s v="TRISPWEB643519"/>
        <s v="TRISPWEB688473"/>
        <s v="TRISSSET690766"/>
        <s v="TRISPWEB634692"/>
        <s v="TRISPWEB619941"/>
        <s v="TRISPWEB601588"/>
        <s v="TRISPWEB650487"/>
        <s v="TMMHSSET655604"/>
        <s v="SUMMLICE682792"/>
        <s v="MONSSSET655604"/>
        <s v="TRISCORC648736"/>
        <s v="TRISCORR676555"/>
        <s v="TRISBOLI691121"/>
        <s v="TRISGOMA687773"/>
        <s v="TRISGOMA664279"/>
        <s v="TRISLAPG676661"/>
        <s v="TRISTIJE643519"/>
        <s v="TRISLAPC624365"/>
        <s v="TRISPACK678047"/>
        <s v="TRISPACK672861"/>
        <s v="TRISCUAD691862"/>
        <s v="TRISCUAD691879"/>
        <s v="TRISTIJE619972"/>
        <s v="TRISLAPC680187"/>
        <s v="TRISCORR676548"/>
        <s v="TRISPLUM683720"/>
        <s v="TRISEMBA691411"/>
        <s v="TRISLAPC680255"/>
        <s v="TRISGOMA676463"/>
        <s v="TRISPLUM618678"/>
        <s v="TRISGOMA629711"/>
        <s v="TRISCARP691596"/>
        <s v="TRISBOLI663425"/>
        <s v="TRISGOMA676456"/>
        <s v="TRISGOMA686981"/>
        <s v="TRISGOMA681368"/>
        <s v="TRISTIJE672458"/>
        <s v="TRISGOMA676401"/>
        <s v="TRISGOMA635989"/>
        <s v="TRISPEGA681436"/>
        <s v="TRISNOTA668062"/>
        <s v="TRISLAPG628165"/>
        <s v="TRISCUAD691886"/>
        <s v="TRISGOMA667584"/>
        <s v="TRISNOTA668048"/>
        <s v="TRISLAPC680224"/>
        <s v="TRISCLIP664743"/>
        <s v="TRISCLIP664767"/>
        <s v="TRISREGL648385"/>
        <s v="TRISNOTA677453"/>
        <s v="TRISEMBA691015"/>
        <s v="TRISDISP682068"/>
        <s v="TRISNOTA687490"/>
        <s v="TRISSSET690902"/>
        <s v="TRISPAST686684"/>
        <s v="TRISCTES665320"/>
        <s v="TRISLAPC684055"/>
        <s v="TRISPEGA681375"/>
        <s v="TRISTINT667874"/>
        <s v="TRISDDTC691381"/>
        <s v="TRISDDTC691398"/>
        <s v="TRISDDTC691404"/>
        <s v="TRISLAPC682631"/>
        <s v="TRISDDTC691275"/>
        <s v="TRISREGL621616"/>
        <s v="TRISCORC665061"/>
        <s v="TRISLAPG676647"/>
        <s v="TRISGOMA633695"/>
        <s v="TRISLAPC681047"/>
        <s v="TRISBOLI680743"/>
        <s v="TRISDDTC691282"/>
        <s v="TRISDDTC691299"/>
        <s v="TRISDDTC691206"/>
        <s v="TRISDDTC691213"/>
        <s v="TRISDDTC691220"/>
        <s v="TRISDDTC691244"/>
        <s v="TRISDDTC691251"/>
        <s v="TRISDDTC691268"/>
        <s v="TRISDDTC691374"/>
        <s v="TRISDDTC691343"/>
        <s v="SPIDLAPG644271"/>
        <s v="SPIDSSET644325"/>
        <s v="SPIDREGL644400"/>
        <s v="SPIDTIJE644363"/>
        <s v="SPIDGOMA644332"/>
        <s v="TRISACCE659480"/>
        <s v="TRISACCE660035"/>
        <s v="TRISSEET690506"/>
        <s v="TRISCLIP622859"/>
        <s v="TRISACUA686998"/>
        <s v="TRISACUA688497"/>
        <s v="TRISACUA602615"/>
        <s v="BARBACUA686349"/>
        <s v="HOTWACUA686363"/>
        <s v="TRISSSET681078"/>
        <s v="TRISSSET681085"/>
        <s v="TRISSSET648668"/>
        <s v="TRISSSET673677"/>
        <s v="TRISSSET673684"/>
        <s v="TRISSSET690872"/>
        <s v="TRISPACK690001"/>
        <s v="TRISSSET673691"/>
        <s v="CARSSSET656212"/>
        <s v="HOTWSSET629308"/>
        <s v="MAXSSSET675015"/>
        <s v="AVENSSET671314"/>
        <s v="BARBSSET630939"/>
        <s v="BARBSSET675770"/>
        <s v="MICKSACA637945"/>
        <s v="CARSSSET631172"/>
        <s v="CARSSSET680729"/>
        <s v="FROZSSET678870"/>
        <s v="HADASSET631974"/>
        <s v="MONSSSET663555"/>
        <s v="MUNISSET670324"/>
        <s v="MARISSET631585"/>
        <s v="MAXSSSET638522"/>
        <s v="MINNSSET638140"/>
        <s v="MINNSSET662749"/>
        <s v="PLANSSET670577"/>
        <s v="POLLSSET645230"/>
        <s v="PRINSSET636795"/>
        <s v="SIMPSSET674209"/>
        <s v="SPIDSSET675541"/>
        <s v="SPIDSSET680637"/>
        <s v="SPIDSSET662862"/>
        <s v="STARSSET677897"/>
        <s v="STARSSET675107"/>
        <s v="TOYSSSET637280"/>
        <s v="FROZSSET679150"/>
        <s v="TRISBOLI686226"/>
        <s v="TRISBOLI687568"/>
        <s v="TRISBOLI684499"/>
        <s v="TRISBOLI684512"/>
        <s v="TRISBOLI680736"/>
        <s v="TRISBOLI661681"/>
        <s v="TRISBOLI691107"/>
        <s v="TRISBOLI685564"/>
        <s v="TRISBLGL651446"/>
        <s v="TRISBOLI672526"/>
        <s v="TRISPWEB663425"/>
        <s v="SUMMLICE682822"/>
        <s v="TRISBLFL625478"/>
        <s v="TRISBLFL625492"/>
        <s v="TRISBLGL651477"/>
        <s v="TRISBLGL628912"/>
        <s v="TRISBLGL619385"/>
        <s v="TRISBLGL619408"/>
        <s v="TRISBLGL628905"/>
        <s v="TRISBLGL633817"/>
        <s v="TRISBOLI685137"/>
        <s v="TRISBOLI684444"/>
        <s v="TRISBOLI672915"/>
        <s v="TRISBOLI674001"/>
        <s v="SUMMLICE674162"/>
        <s v="SUMMLICE673882"/>
        <s v="TRISBOLI672786"/>
        <s v="TRISBOLI625539"/>
        <s v="TRISBOLI684505"/>
        <s v="TRISBOLI686240"/>
        <s v="TRISBLFL630007"/>
        <s v="TRISBLFL626062"/>
        <s v="TRISBLFL626048"/>
        <s v="TRISBOLI684734"/>
        <s v="TRISBOLI685007"/>
        <s v="TRISBOLI684550"/>
        <s v="TRISBOLI684994"/>
        <s v="TRISBOLI684642"/>
        <s v="TRISBOLI684635"/>
        <s v="TRISBOLI633534"/>
        <s v="TRISBOLI633558"/>
        <s v="TRISBOLI633572"/>
        <s v="TRISBOLI666464"/>
        <s v="TRISBOLI666440"/>
        <s v="TRISBOLI687544"/>
        <s v="TRISBOLI686431"/>
        <s v="TRISBOLI684659"/>
        <s v="TRISBOLI684666"/>
        <s v="TRISBOLI623290"/>
        <s v="TRISBOLI606088"/>
        <s v="TRISBOLI606101"/>
        <s v="TRISBOLI606095"/>
        <s v="TRISBOLI626680"/>
        <s v="TRISPACK647272"/>
        <s v="TRISBOLI623252"/>
        <s v="TRISBOLI623276"/>
        <s v="TRISBLFL626024"/>
        <s v="TRISCOMP687452"/>
        <s v="SUMMLICE682846"/>
        <s v="TRISBLFL677958"/>
        <s v="TRISBOLI663630"/>
        <s v="HADABOLI638188"/>
        <s v="SPIDBOLI679037"/>
        <s v="BARBBOLI666747"/>
        <s v="MONSBOLI667850"/>
        <s v="SPIDBOLI666761"/>
        <s v="SPIDBOLI666808"/>
        <s v="BARBBOLI666785"/>
        <s v="MONSBOLI667027"/>
        <s v="MONSBOLI667034"/>
        <s v="BARBBOLI672977"/>
        <s v="MARIBOLI674124"/>
        <s v="AVENBOLI673066"/>
        <s v="SPIDBOLI673981"/>
        <s v="HADABOLI674131"/>
        <s v="ANGRBOLI671406"/>
        <s v="AVENBOLI672762"/>
        <s v="BARBBOLI673967"/>
        <s v="MARIBOLI674117"/>
        <s v="SPIDBOLI673974"/>
        <s v="AVENBOLI675466"/>
        <s v="SPIDBOLI675558"/>
        <s v="CARSBOLI631202"/>
        <s v="MUNIBOLI670423"/>
        <s v="MARIBOLI631646"/>
        <s v="PRINBOLI633190"/>
        <s v="SPIDBOLI644479"/>
        <s v="SPIDSSET663036"/>
        <s v="CARSBOLI631219"/>
        <s v="MARIBOLI631653"/>
        <s v="PRINBOLI633206"/>
        <s v="SPIDBOLI644455"/>
        <s v="HADABOLI632049"/>
        <s v="MARIBOLI631684"/>
        <s v="MINNBOLI632346"/>
        <s v="PRINBOLI633237"/>
        <s v="TOYSBOLI650586"/>
        <s v="HADABOLI632056"/>
        <s v="MARIBOLI631691"/>
        <s v="PRINBOLI633244"/>
        <s v="TOYSBOLI650593"/>
        <s v="MARIBOLI631707"/>
        <s v="TOYSBOLI637341"/>
        <s v="HOTWBOLI644035"/>
        <s v="CARSBOLI627564"/>
        <s v="FROZBOLI678153"/>
        <s v="MARIBOLI631714"/>
        <s v="BARBBOLI643694"/>
        <s v="MARIBOLI616834"/>
        <s v="MONSBOLI668345"/>
        <s v="HOTWBOLI644042"/>
        <s v="CARSBOLI627540"/>
        <s v="FROZLPGL680316"/>
        <s v="FROZBOLI678160"/>
        <s v="MARIBOLI636610"/>
        <s v="MARIBOLI636603"/>
        <s v="ANGRBOLI671178"/>
        <s v="AVENBOLI671321"/>
        <s v="CARSBOLI682914"/>
        <s v="BARBBOLI643687"/>
        <s v="FROZBOLI678924"/>
        <s v="HADABOLI627786"/>
        <s v="MARIBOLI616827"/>
        <s v="PRINBOLI682907"/>
        <s v="MONSBOLI668321"/>
        <s v="SIMPBOLI690247"/>
        <s v="HOTWBOLI673264"/>
        <s v="STARBOLI677965"/>
        <s v="STARBOLI678122"/>
        <s v="SPIDSSET644523"/>
        <s v="PRINBOLI638669"/>
        <s v="MARISSET636597"/>
        <s v="PRINSSET637013"/>
        <s v="MARISSET636580"/>
        <s v="TRISBORR691893"/>
        <s v="TMCJCAJA669496"/>
        <s v="FROZSSET677934"/>
        <s v="MARISSET674224"/>
        <s v="PRINSSET672816"/>
        <s v="SPIDSSET673622"/>
        <s v="TRISEMBA673271"/>
        <s v="TRISEMBA691046"/>
        <s v="TRISEMBA691084"/>
        <s v="TRISEMBA691077"/>
        <s v="TRISEMBA691992"/>
        <s v="TRISEMBA692012"/>
        <s v="TRISEMBA692029"/>
        <s v="TRISEMBA692036"/>
        <s v="TRISEMBA692043"/>
        <s v="TRISEMBA692425"/>
        <s v="TRISEMBA692432"/>
        <s v="TRISEMBA692449"/>
        <s v="TRISCALC664781"/>
        <s v="TRISCALC626673"/>
        <s v="UFFICALC621395"/>
        <s v="UFFICALC621418"/>
        <s v="TRISPACK691596"/>
        <s v="TRISPACK691602"/>
        <s v="TRISPACK691619"/>
        <s v="TRISPWEB667997"/>
        <s v="TRISCART667997"/>
        <s v="TRISSSET690841"/>
        <s v="TRISCART664965"/>
        <s v="TRISCART664989"/>
        <s v="TRISCART601175"/>
        <s v="TRISCART668017"/>
        <s v="TRISCATACA0302"/>
        <s v="TRISCERA686936"/>
        <s v="TRISCERA659343"/>
        <s v="TRISCERA686448"/>
        <s v="TRISCERA687001"/>
        <s v="TRISCERA684338"/>
        <s v="TRISLPCE644981"/>
        <s v="BARBCERA684765"/>
        <s v="HOTWCERA685489"/>
        <s v="CARSBOLI673257"/>
        <s v="BARBLPCE682150"/>
        <s v="FROZLPCE678863"/>
        <s v="CARSLAPC675909"/>
        <s v="PRINLAPC676302"/>
        <s v="BARBLPCE654010"/>
        <s v="CARSLPCE627588"/>
        <s v="HOTWLPCE654133"/>
        <s v="MARILPCE623016"/>
        <s v="PRINLPCE617220"/>
        <s v="ANGRSSET671154"/>
        <s v="AVENLPCE673097"/>
        <s v="BARBLPCE673004"/>
        <s v="CARSLPCE657530"/>
        <s v="MUNILPCE670348"/>
        <s v="MARILPCE666723"/>
        <s v="MINNLPCE657615"/>
        <s v="MINNLPCE662596"/>
        <s v="PLANLPCE670515"/>
        <s v="PRINLPCE657554"/>
        <s v="SPIDLPCE668383"/>
        <s v="TOYSLPCE637440"/>
        <s v="BARBLPCE648057"/>
        <s v="BARBLPCE648071"/>
        <s v="CARSLPCE644837"/>
        <s v="HOTWLPCE654072"/>
        <s v="MARILPCE647951"/>
        <s v="MINNLPCE644790"/>
        <s v="PRINLPCE644851"/>
        <s v="TRISCLIP664729"/>
        <s v="TRISCLIP667928"/>
        <s v="TRISCLIP602806"/>
        <s v="TRISCLIP602820"/>
        <s v="TRISLAPC684062"/>
        <s v="TRISLAPC682327"/>
        <s v="TRISLAPC682037"/>
        <s v="TRISLAPC687841"/>
        <s v="TRISLAPC687735"/>
        <s v="TRISLAPC687711"/>
        <s v="TRISLAPC682341"/>
        <s v="TRISLAPC682334"/>
        <s v="JUDYLAPC654348"/>
        <s v="MOANLAPC683942"/>
        <s v="TRISLAPC635088"/>
        <s v="TRISLAPC636283"/>
        <s v="TRISLAPC633664"/>
        <s v="TRISLAPC676227"/>
        <s v="TRISLAPC635163"/>
        <s v="HOTWLAPC643915"/>
        <s v="BARBLAPC643557"/>
        <s v="FROZLAPC678832"/>
        <s v="FROZLAPC679143"/>
        <s v="SIMPLAPC672809"/>
        <s v="SPIDLAPC644240"/>
        <s v="BARBLAPC657707"/>
        <s v="PLANLAPC670539"/>
        <s v="MUNILAPC670287"/>
        <s v="ANGRSSET670911"/>
        <s v="AVENLAPC671284"/>
        <s v="BARBLAPC675848"/>
        <s v="CARSLAPC627601"/>
        <s v="POLLLAPC645353"/>
        <s v="HADALAPC627861"/>
        <s v="MARILAPC623337"/>
        <s v="MAXSLAPC638577"/>
        <s v="MINNLAPC638911"/>
        <s v="MINNLAPC662633"/>
        <s v="MONSLAPC663456"/>
        <s v="PRINLAPC654232"/>
        <s v="SPIDLAPC662848"/>
        <s v="TOYSLAPC637501"/>
        <s v="PRINLAPC637037"/>
        <s v="HADALAPC635293"/>
        <s v="PRINLAPC680439"/>
        <s v="AVENLAPC680644"/>
        <s v="PRINLAPC676296"/>
        <s v="FROZLAPC684987"/>
        <s v="MINNSSET678047"/>
        <s v="TRISCOMP629032"/>
        <s v="TRISCOMP607900"/>
        <s v="TRISCOMP603322"/>
        <s v="TRISCOMP676531"/>
        <s v="TRISCOMP659084"/>
        <s v="TRISNAVI671247"/>
        <s v="TRISNAVI671221"/>
        <s v="TRISNAVI830898"/>
        <s v="TRISNAVI671211"/>
        <s v="TRISNAVI671212"/>
        <s v="TRISNAVI671213"/>
        <s v="TRISNAVI671214"/>
        <s v="TRISNAVI671233"/>
        <s v="TRISNAVI626341"/>
        <s v="TRISNAVI671241"/>
        <s v="TRISNAVI671411"/>
        <s v="TRISNAVI674047"/>
        <s v="TRISNAVI671234"/>
        <s v="TRISNAVI671402"/>
        <s v="TRISCORC665900"/>
        <s v="TRISCORC665160"/>
        <s v="TRISCORC677361"/>
        <s v="TRISCORC665252"/>
        <s v="TRISCORC686554"/>
        <s v="UFFICORC615998"/>
        <s v="TRISCORC620183"/>
        <s v="UFFICORC616018"/>
        <s v="UFFICORC634432"/>
        <s v="TRISCORC648729"/>
        <s v="TRISCORC665306"/>
        <s v="TRISCTES665283"/>
        <s v="UFFICTES616216"/>
        <s v="UFFICTES616230"/>
        <s v="TRISCORR687025"/>
        <s v="TRISCINT668109"/>
        <s v="TRISCORR685472"/>
        <s v="TRISCORR685496"/>
        <s v="TRISCORR655444"/>
        <s v="MARICINT631851"/>
        <s v="BARBCORR690612"/>
        <s v="HADACORR690599"/>
        <s v="HOTWCORR690605"/>
        <s v="MARICORR690582"/>
        <s v="MONSCORR690568"/>
        <s v="PRINCORR690988"/>
        <s v="SPIDCORR690575"/>
        <s v="BARBSSET658810"/>
        <s v="CARSSSET637167"/>
        <s v="PRINSSET676340"/>
        <s v="TRISCUAD691831"/>
        <s v="TRISCUAD691848"/>
        <s v="TRISCUAD673670"/>
        <s v="TRISPACK691626"/>
        <s v="TRISPACK691633"/>
        <s v="TRISPACK691640"/>
        <s v="TRISPACK691657"/>
        <s v="TRISPACK691664"/>
        <s v="HADASSET673707"/>
        <s v="MARISSET650050"/>
        <s v="MINNSSET673714"/>
        <s v="PRINSSET673721"/>
        <s v="TRISDEST627076"/>
        <s v="TRISDEST605630"/>
        <s v="TRISDEST605661"/>
        <s v="TRISDEST627083"/>
        <s v="TRISDEST685083"/>
        <s v="TRISDEST672533"/>
        <s v="TRISDEST633916"/>
        <s v="TRISSSET674186"/>
        <s v="TRISSSET679112"/>
        <s v="TRISSSET679105"/>
        <s v="TRISSSET671222"/>
        <s v="TRISSSET679075"/>
        <s v="TRISSSET679068"/>
        <s v="TRISSSET678108"/>
        <s v="TOYSBOLI673288"/>
        <s v="TRISPOLYT00002"/>
        <s v="TRISPOLYT00003"/>
        <s v="TRISPOLYT00004"/>
        <s v="TRISPOLYT00007"/>
        <s v="TRISPOLYT00009"/>
        <s v="TRISCAJA000001"/>
        <s v="TRISEMBA691091"/>
        <s v="STARSSET674193"/>
        <s v="RIO2ESTU672731"/>
        <s v="RIO2ESTU672748"/>
        <s v="RIO2ESTU672830"/>
        <s v="RIO2ESTU674100"/>
        <s v="RIO2ESTU667089"/>
        <s v="SPIDSSET673769"/>
        <s v="ANGRSSET671208"/>
        <s v="AVENSSET671352"/>
        <s v="AVENSSET668260"/>
        <s v="SPIDBOLI672823"/>
        <s v="AVENSSET669489"/>
        <s v="BARBSSET669458"/>
        <s v="HADASSET669465"/>
        <s v="SPIDSSET669472"/>
        <s v="STARSSET682686"/>
        <s v="HOTWSSET653990"/>
        <s v="TRISEMBA692272"/>
        <s v="TRISEXHI777777"/>
        <s v="TRISEXHIEX0056"/>
        <s v="TRISEXHI888888"/>
        <s v="PRINEXHI333333"/>
        <s v="TOYSEXHI444444"/>
        <s v="HADAEXHI555555"/>
        <s v="MARIEXHI111111"/>
        <s v="TRISGOMA681092"/>
        <s v="TRISGOMA683782"/>
        <s v="TRISGOMA676449"/>
        <s v="TRISGOMA686417"/>
        <s v="TRISGOMA687780"/>
        <s v="TRISGOMA664316"/>
        <s v="TRISGOMA659718"/>
        <s v="TRISGOMA622767"/>
        <s v="TRISGOMA648637"/>
        <s v="TRISGOMA687803"/>
        <s v="TRISGOMA607351"/>
        <s v="TRISGOMA649955"/>
        <s v="TRISGOMA649979"/>
        <s v="TRISGOMA687810"/>
        <s v="TRISGOMA607344"/>
        <s v="BARBGOMA643656"/>
        <s v="CARSGOMA627670"/>
        <s v="FROZGOMA679181"/>
        <s v="HADAGOMA627939"/>
        <s v="HOTWGOMA644004"/>
        <s v="MARIGOMA616728"/>
        <s v="MAXSGOMA638409"/>
        <s v="MINNGOMA638157"/>
        <s v="MINNGOMA662602"/>
        <s v="MONSGOMA663364"/>
        <s v="POLLGOMA650029"/>
        <s v="PRINGOMA654140"/>
        <s v="PRINGOMA670607"/>
        <s v="TOYSGOMA638034"/>
        <s v="BARBGOMA657684"/>
        <s v="STARGOMA677927"/>
        <s v="SIMPGOMA672892"/>
        <s v="BARBGOMA681917"/>
        <s v="MARIGOMA657486"/>
        <s v="PRINGOMA657462"/>
        <s v="BARBGOMA657936"/>
        <s v="HADAGOMA632018"/>
        <s v="MARIGOMA632575"/>
        <s v="PRINGOMA680453"/>
        <s v="MONSGOMA690261"/>
        <s v="PRINGOMA690278"/>
        <s v="SPIDGOMA690285"/>
        <s v="PRINGOMA672854"/>
        <s v="MINNGOMA678078"/>
        <s v="MUNIGOMA670331"/>
        <s v="SPIDSSET629711"/>
        <s v="TRISLAPG684086"/>
        <s v="TRISLAPG691855"/>
        <s v="TRISLAPG634142"/>
        <s v="TRISLAPG643250"/>
        <s v="TRISLAPG684079"/>
        <s v="TRISLAPG684147"/>
        <s v="TRISLAPG687704"/>
        <s v="TRISLAPG628158"/>
        <s v="TRISLAPG633480"/>
        <s v="TRISLAPG659459"/>
        <s v="TRISLAPG659435"/>
        <s v="TRISLAPG662350"/>
        <s v="TRISLAPG690896"/>
        <s v="TRISLAPG628172"/>
        <s v="TRISLAPG686943"/>
        <s v="TRISLAPG681351"/>
        <s v="TRISLAPG687698"/>
        <s v="TRISLAPG687636"/>
        <s v="TRISLAPG660349"/>
        <s v="MOANLAPG683966"/>
        <s v="TRISLAPG690865"/>
        <s v="BARBLAPG678955"/>
        <s v="SIMPLAPG673059"/>
        <s v="AVENLAPG690339"/>
        <s v="MINNBLIS678177"/>
        <s v="PRINLAPG678993"/>
        <s v="SPIDBLIS679006"/>
        <s v="STARLAPG677910"/>
        <s v="FROZLAPG678849"/>
        <s v="TOYSLAPG657332"/>
        <s v="STARLAPG680248"/>
        <s v="FROZLAPG679228"/>
        <s v="SPIDLAPG675572"/>
        <s v="AVENLAPG671291"/>
        <s v="BARBLAPG643571"/>
        <s v="BARBLAPG657844"/>
        <s v="CARSLAPG637181"/>
        <s v="COLOLAPG673608"/>
        <s v="HADALAPG638249"/>
        <s v="HOTWLAPG643939"/>
        <s v="MUNILAPG670294"/>
        <s v="MARILAPG636719"/>
        <s v="MAXSLAPG638591"/>
        <s v="MINNLAPG662664"/>
        <s v="MONSLAPG663470"/>
        <s v="STARLAPG675053"/>
        <s v="POLLLAPG645179"/>
        <s v="PRINLAPG654195"/>
        <s v="SPIDLAPG662978"/>
        <s v="SPIDLAPG644264"/>
        <s v="TOYSLAPG637549"/>
        <s v="PLANLAPG670546"/>
        <s v="MARILAPG636726"/>
        <s v="BARBLAPG643588"/>
        <s v="CARSLAPG637198"/>
        <s v="HADALAPG638256"/>
        <s v="HOTWLAPG643946"/>
        <s v="MAXSLAPG638607"/>
        <s v="TOYSLAPG637563"/>
        <s v="PRINLAPG637051"/>
        <s v="PLANLAPG670553"/>
        <s v="PLANLAPG670533"/>
        <s v="BARBLAPG657264"/>
        <s v="CARSLAPG657271"/>
        <s v="HADALAPG657288"/>
        <s v="MONSLAPG663487"/>
        <s v="MAXSLAPG657301"/>
        <s v="MINNLAPG662640"/>
        <s v="POLLLAPG645186"/>
        <s v="MARILAPG657493"/>
        <s v="MUNILAPG671031"/>
        <s v="TRISDDTC691312"/>
        <s v="TRISDDTC691336"/>
        <s v="TRISDDTC691329"/>
        <s v="TRISDDTC691237"/>
        <s v="TRISDDTC691305"/>
        <s v="BARBFEST646886"/>
        <s v="BARBFEST646961"/>
        <s v="HOTWFEST647210"/>
        <s v="BARBFEST646909"/>
        <s v="BARBFEST646862"/>
        <s v="HOTWFEST647197"/>
        <s v="HOTWFEST647128"/>
        <s v="BARBFEST646831"/>
        <s v="HOTWFEST647173"/>
        <s v="BARBFEST646794"/>
        <s v="HOTWFEST647135"/>
        <s v="HOTWFEST647142"/>
        <s v="BARBFEST646800"/>
        <s v="HOTWFEST647159"/>
        <s v="BARBFEST646817"/>
        <s v="HOTWFEST647166"/>
        <s v="BARBFEST646824"/>
        <s v="HOTWFEST647258"/>
        <s v="BARBFEST646947"/>
        <s v="BARBFEST646923"/>
        <s v="HOTWFEST647234"/>
        <s v="CARSFEST640082"/>
        <s v="CARSSSET673110"/>
        <s v="MUNISSET673127"/>
        <s v="AVENSSET666532"/>
        <s v="AVENSSET674115"/>
        <s v="MONSSSET690421"/>
        <s v="SPIDSSET690452"/>
        <s v="HOTWSSET671106"/>
        <s v="PRINSSET673219"/>
        <s v="HADASSET638218"/>
        <s v="HOTWSSET690940"/>
        <s v="SPIDSSET673660"/>
        <s v="MONSSSET673776"/>
        <s v="MONSSSET673790"/>
        <s v="RIO2SSET667348"/>
        <s v="MARISSET673783"/>
        <s v="HOTWSSET674223"/>
        <s v="HOTWSSET653907"/>
        <s v="MARISSET631882"/>
        <s v="POLLSSET650036"/>
        <s v="POLLSSET658841"/>
        <s v="AVENSSET682860"/>
        <s v="BARBSSET686387"/>
        <s v="HOTWSSET690971"/>
        <s v="MARISSET677323"/>
        <s v="MAXSSSET681849"/>
        <s v="HADASSET675961"/>
        <s v="SPIDSSET682884"/>
        <s v="MAXSSSET679020"/>
        <s v="MONSSSET671116"/>
        <s v="BARBSSET660141"/>
        <s v="ANGRSSET671185"/>
        <s v="AVENSSET673073"/>
        <s v="HADASSET638225"/>
        <s v="BARBSSET653624"/>
        <s v="MAXSSSET671710"/>
        <s v="HADASSET679051"/>
        <s v="SPIDSSET660929"/>
        <s v="STARSSET677972"/>
        <s v="STARSSET679259"/>
        <s v="HOTWSSET676326"/>
        <s v="BARBSSET666495"/>
        <s v="BARBSSET683805"/>
        <s v="TRISSSET690889"/>
        <s v="HOTWPOLY632070"/>
        <s v="TRISPLUM618692"/>
        <s v="TRISPLUM683706"/>
        <s v="TRISPLUM683744"/>
        <s v="TRISPLUM683737"/>
        <s v="TRISPLUM633749"/>
        <s v="TRISPLPZ600468"/>
        <s v="TRISPLUM600451"/>
        <s v="TRISPLUM683690"/>
        <s v="TRISPLUM683713"/>
        <s v="UFFIPLPZ621142"/>
        <s v="UFFIPLPZ621180"/>
        <s v="TRISPLUM633725"/>
        <s v="TRISPLUM626277"/>
        <s v="TRISPLUM683751"/>
        <s v="JUDYPLUM654324"/>
        <s v="MOANPLUM683775"/>
        <s v="TRISPLUM644905"/>
        <s v="TRISPLUM683683"/>
        <s v="TRISPLUM633602"/>
        <s v="TRISPLUM623122"/>
        <s v="TRISPLUM606163"/>
        <s v="TRISPLUM606156"/>
        <s v="TRISPLUM606170"/>
        <s v="TRISPLUM659305"/>
        <s v="TRISPLUM626291"/>
        <s v="TRISPLUM656175"/>
        <s v="FROZPLUM678856"/>
        <s v="SIMPPLUM673011"/>
        <s v="MINNPLUM632506"/>
        <s v="MINNPLUM632551"/>
        <s v="MARIPLUM631905"/>
        <s v="STARPLUM682075"/>
        <s v="AVENPLUM671376"/>
        <s v="BARBPLUM643533"/>
        <s v="CARSPLUM627519"/>
        <s v="COLOPLUM673370"/>
        <s v="HADAPLUM638171"/>
        <s v="HOTWPLUM643878"/>
        <s v="MUNIPLUM670362"/>
        <s v="MARIPLUM635224"/>
        <s v="MAXSPLUM638478"/>
        <s v="MINNPLUM632483"/>
        <s v="MINNPLUM662695"/>
        <s v="MONSPLUM663333"/>
        <s v="PLANPLUM670584"/>
        <s v="POLLPLUM645278"/>
        <s v="PRINPLUM635262"/>
        <s v="SPIDPLUM644202"/>
        <s v="SPIDPLUM663098"/>
        <s v="STARPLUM677880"/>
        <s v="TOYSPLUM637464"/>
        <s v="UCHIPLUM673387"/>
        <s v="BARBPLUM675732"/>
        <s v="POLLPLUM650272"/>
        <s v="CARSPLUM627533"/>
        <s v="PRINPLUM629353"/>
        <s v="TOYSPLUM637488"/>
        <s v="COLOPLUM673394"/>
        <s v="FROZPLUM678085"/>
        <s v="MONSPLUM690759"/>
        <s v="PLANPLUM673806"/>
        <s v="STARPLUM678825"/>
        <s v="HADAPLUM632209"/>
        <s v="AVENPLUM671390"/>
        <s v="BARBPLUM645131"/>
        <s v="HOTWPLUM654034"/>
        <s v="MUNIPLUM671055"/>
        <s v="PRINPLUM650333"/>
        <s v="BARBPLUM668369"/>
        <s v="MONSPLUM666884"/>
        <s v="SPIDPLUM666822"/>
        <s v="MONSPLUM673738"/>
        <s v="TRISTIZA686455"/>
        <s v="TRISPLPR671925"/>
        <s v="TRISPLPR671918"/>
        <s v="TRISPLPR671932"/>
        <s v="UFFIPLPZ621128"/>
        <s v="TRISPLUM691800"/>
        <s v="TRISMASA684222"/>
        <s v="TRISMASA688428"/>
        <s v="TRISMASA688435"/>
        <s v="TRISMASA688411"/>
        <s v="TRISMASA688404"/>
        <s v="TRISTUBM650531"/>
        <s v="BARBTUBM657967"/>
        <s v="HADATUBM632179"/>
        <s v="PRINTUBM633343"/>
        <s v="RIO2MOCH671277"/>
        <s v="TRISNOTA668024"/>
        <s v="TRISNOTA687445"/>
        <s v="TRISNOTA687476"/>
        <s v="TRISNOTA687506"/>
        <s v="TRISNOTA687483"/>
        <s v="TRISNOTA677460"/>
        <s v="TRISNOTA687513"/>
        <s v="TRISNOTA681009"/>
        <s v="UFFIPTCA621340"/>
        <s v="UFFIPTCL635903"/>
        <s v="MONSSSET674933"/>
        <s v="STARSSET682693"/>
        <s v="AVENSSET674803"/>
        <s v="BARBSSET666907"/>
        <s v="HADASSET666921"/>
        <s v="HOTWSSET674216"/>
        <s v="MARISSET631837"/>
        <s v="PRINSSET637068"/>
        <s v="BARBSSET671093"/>
        <s v="SPIDSSET667324"/>
        <s v="MINNSSET674834"/>
        <s v="PRINSSET674919"/>
        <s v="FROZSSET678900"/>
        <s v="MONSSSET674926"/>
        <s v="MINNSSET674827"/>
        <s v="PRINSSET674902"/>
        <s v="TRISBLIS643076"/>
        <s v="SUMMPALL666666"/>
        <s v="TRISACTF638362"/>
        <s v="SPIDLAPG662954"/>
        <s v="HOTWPACK631745"/>
        <s v="HOTWSSET674226"/>
        <s v="ANGRPEGA671161"/>
        <s v="TRISPEGA671382"/>
        <s v="TRISPWEB243651"/>
        <s v="TRISPWEB243652"/>
        <s v="TRISPACK690018"/>
        <s v="TRISPACK690100"/>
        <s v="TRISPACK690049"/>
        <s v="TRISPACK690032"/>
        <s v="TRISPACK690025"/>
        <s v="TRISPACK690087"/>
        <s v="TRISPACK690513"/>
        <s v="TRISPACK690070"/>
        <s v="TRISKITS685267"/>
        <s v="TRISPACK603377"/>
        <s v="TRISPACK690056"/>
        <s v="TRISPACK614069"/>
        <s v="TRISKITS243696"/>
        <s v="TRISLAPG722214"/>
        <s v="TRISPWEB243658"/>
        <s v="TRISPACK691589"/>
        <s v="TRISKITS692005"/>
        <s v="TRISPEGA604978"/>
        <s v="TRISPACK632322"/>
        <s v="TRISPACK647289"/>
        <s v="TRISPACK636016"/>
        <s v="TRISPACK636023"/>
        <s v="TRISPACK631462"/>
        <s v="TRISPACK632568"/>
        <s v="TRISPACK690063"/>
        <s v="TRISPACK647296"/>
        <s v="TRISSSET678109"/>
        <s v="TMTPPACK673653"/>
        <s v="TRISPACK635996"/>
        <s v="SPIDSSET631431"/>
        <s v="SPIDSSET631455"/>
        <s v="PRINPACK678009"/>
        <s v="SPIDSSET631264"/>
        <s v="MAXSSSET690414"/>
        <s v="TRISPACK632223"/>
        <s v="TRISPACK631486"/>
        <s v="TRISPACK632315"/>
        <s v="TRISPACK620428"/>
        <s v="TRISPACK632216"/>
        <s v="TRISPACK631493"/>
        <s v="TRISPACK631769"/>
        <s v="TRISPEGA635101"/>
        <s v="TRISPEGA691053"/>
        <s v="TRISPEGA681290"/>
        <s v="TRISPEGA664125"/>
        <s v="TRISPEGA681276"/>
        <s v="TRISPEGA635095"/>
        <s v="TRISPEGA607986"/>
        <s v="TRISPACK614021"/>
        <s v="TRISPEGA608013"/>
        <s v="TRISPEGA659145"/>
        <s v="TRISPEGA662299"/>
        <s v="TRISPEGA662312"/>
        <s v="TRISPEGA662336"/>
        <s v="TRISPEGA605289"/>
        <s v="TRISPEGA611808"/>
        <s v="TRISPEGA605326"/>
        <s v="TRISPEGA604954"/>
        <s v="TRISPEGA604961"/>
        <s v="TRISPEGA605258"/>
        <s v="TRISPEGA605302"/>
        <s v="TRISPEGA603087"/>
        <s v="TRISPEGA605296"/>
        <s v="TRISPEGA611839"/>
        <s v="TRISPEGA605333"/>
        <s v="TRISPEGA605265"/>
        <s v="TRISPEGA605319"/>
        <s v="TRISPEGA648477"/>
        <s v="TRISPEGA653594"/>
        <s v="MARIPEGA631813"/>
        <s v="CARSPEGA631318"/>
        <s v="BARBPEGA643847"/>
        <s v="HOTWPEGA644165"/>
        <s v="PRINPEGA636924"/>
        <s v="SPIDPEGA644370"/>
        <s v="SPIDPEGA662992"/>
        <s v="TOYSPEGA637389"/>
        <s v="HADAPEGA632155"/>
        <s v="MARISSET667164"/>
        <s v="FROZSSET678115"/>
        <s v="PRINSSET636979"/>
        <s v="ANGRPEGA671017"/>
        <s v="HADAPEGA628004"/>
        <s v="HOTWPEGA644158"/>
        <s v="MONSPEGA673240"/>
        <s v="MARIPEGA628103"/>
        <s v="PRINPEGA647982"/>
        <s v="CARSPEGA631288"/>
        <s v="SPIDPEGA664224"/>
        <s v="BARBPEGA643830"/>
        <s v="HADAPEGA627984"/>
        <s v="BARBPEGA643809"/>
        <s v="CARSPEGA631295"/>
        <s v="MARIPEGA628080"/>
        <s v="MAXSPEGA650098"/>
        <s v="PRINPEGA647968"/>
        <s v="SPIDPEGA648026"/>
        <s v="SPIDPEGA662893"/>
        <s v="HOTWPEGA644127"/>
        <s v="MUNIPEGA670409"/>
        <s v="CARSPEGA680279"/>
        <s v="PRINPEGA680422"/>
        <s v="PLANPEGA671062"/>
        <s v="SPIDPEGA675428"/>
        <s v="TRISPERF687612"/>
        <s v="TRISPERF665399"/>
        <s v="TRISPERF665382"/>
        <s v="TRISPERF665368"/>
        <s v="TRISPERF681023"/>
        <s v="UFFIPERF634449"/>
        <s v="UFFIPERF616155"/>
        <s v="UFFIPERF621302"/>
        <s v="UFFIPERF634463"/>
        <s v="MUNIPIZZ673745"/>
        <s v="MAXSPIZA678962"/>
        <s v="MINNPIZA690773"/>
        <s v="PRINPIZA633435"/>
        <s v="SPIDPIZZ690803"/>
        <s v="TOYSPIZA637495"/>
        <s v="AVENPIZA671338"/>
        <s v="BARBPIZA660134"/>
        <s v="COLOPIZA673356"/>
        <s v="HOTWPIZA653846"/>
        <s v="MARIPIZA639338"/>
        <s v="MINNPIZA657448"/>
        <s v="MONSPIZA663531"/>
        <s v="SPIDPIZZ667041"/>
        <s v="CARSPIZA657431"/>
        <s v="PLANSSET673752"/>
        <s v="BARBPIZA653747"/>
        <s v="FROZPIZA678948"/>
        <s v="STARPIZA682648"/>
        <s v="TRISMASA688695"/>
        <s v="TRISSSET672946"/>
        <s v="TRISMASA688459"/>
        <s v="TRISMASA688442"/>
        <s v="FROZSSET677903"/>
        <s v="BARBSSET672953"/>
        <s v="MARISSET672960"/>
        <s v="MINNSSET674810"/>
        <s v="PLANSSET672984"/>
        <s v="PRINSSET672991"/>
        <s v="TRISEMBA691008"/>
        <s v="TRISPORT688336"/>
        <s v="TRISPORT686929"/>
        <s v="TRISPORT688343"/>
        <s v="TRISPORT681139"/>
        <s v="TRISMINA686493"/>
        <s v="TRISPORT681153"/>
        <s v="TRISSSET690384"/>
        <s v="TRISPORT660127"/>
        <s v="TRISPORT611297"/>
        <s v="TRISPORT649597"/>
        <s v="TRISPORT623214"/>
        <s v="TRISPORT659756"/>
        <s v="TRISPORT648750"/>
        <s v="TRISPORT681054"/>
        <s v="TRISLAPG688350"/>
        <s v="TRISPORT681184"/>
        <s v="TRISPORT634067"/>
        <s v="TRISPORT686677"/>
        <s v="TRISPORT611303"/>
        <s v="TRISPORT621876"/>
        <s v="TRISPORT649030"/>
        <s v="PRINSSET633275"/>
        <s v="MAXSSSET638546"/>
        <s v="SPIDSSET653167"/>
        <s v="MARISSET635422"/>
        <s v="HADAPORT627847"/>
        <s v="MARISSET616766"/>
        <s v="MARIPORT631912"/>
        <s v="HOTWPORT644097"/>
        <s v="BARBPORT643755"/>
        <s v="HOTWPORT644103"/>
        <s v="BARBPORT648293"/>
        <s v="HADAPORT648125"/>
        <s v="HOTWPORT648330"/>
        <s v="MARIPORT648163"/>
        <s v="BARBPORT648323"/>
        <s v="HADAPORT648156"/>
        <s v="HOTWPORT648361"/>
        <s v="MARIPORT648194"/>
        <s v="BARBPORT643748"/>
        <s v="TRISPROM999999"/>
        <s v="TRISREGL686615"/>
        <s v="TRISREGL621615"/>
        <s v="TRISREGL635378"/>
        <s v="TRISREGL635408"/>
        <s v="TRISREGL676586"/>
        <s v="JUDYREGL659848"/>
        <s v="TRISREGL643502"/>
        <s v="TRISREGL648422"/>
        <s v="SUMMLICE682839"/>
        <s v="TRISREGL648446"/>
        <s v="TRISREGL648460"/>
        <s v="MINNREGL632605"/>
        <s v="AVENREGL675459"/>
        <s v="SPIDREGL675589"/>
        <s v="CARSREGL627731"/>
        <s v="HADAREGL660059"/>
        <s v="HOTWREGL648118"/>
        <s v="MUNIREGL670355"/>
        <s v="MARIREGL628592"/>
        <s v="PLANREGL670522"/>
        <s v="CARSREGL631363"/>
        <s v="HOTWREGL644066"/>
        <s v="TOYSREGL637648"/>
        <s v="PRINREGL628578"/>
        <s v="SPIDREGL663111"/>
        <s v="HADAREGL632254"/>
        <s v="PRINREGL633442"/>
        <s v="BARBREGL648095"/>
        <s v="BARBREGL643717"/>
        <s v="MONSSSET690308"/>
        <s v="MINNSSET672779"/>
        <s v="PRINSSET672755"/>
        <s v="SPIDSSET690315"/>
        <s v="TRISSACA676494"/>
        <s v="TRISSACA686905"/>
        <s v="TRISSACA676517"/>
        <s v="TRISSACA664378"/>
        <s v="TRISSACA659329"/>
        <s v="TRISSACA644868"/>
        <s v="TRISSACA660417"/>
        <s v="TRISSACA626239"/>
        <s v="TRISSSET690353"/>
        <s v="TRISSSET690391"/>
        <s v="TRISSACA685281"/>
        <s v="TRISSACA602714"/>
        <s v="TRISSACA685236"/>
        <s v="TRISSACA688077"/>
        <s v="TRISSACA688121"/>
        <s v="TRISSACA634401"/>
        <s v="TRISSACA674292"/>
        <s v="TRISSACA658964"/>
        <s v="TRISSACA659558"/>
        <s v="TRISSACA648521"/>
        <s v="TRISSACA605555"/>
        <s v="TRISSACA608044"/>
        <s v="TRISSACA614953"/>
        <s v="TRISSACA617756"/>
        <s v="TRISSACA664576"/>
        <s v="TRISSACA634395"/>
        <s v="TRISSACA634388"/>
        <s v="TRISSACA649641"/>
        <s v="TRISSACA664354"/>
        <s v="TRISSACA626215"/>
        <s v="TRISSACA649733"/>
        <s v="TRISSACA649689"/>
        <s v="TRISSACA659985"/>
        <s v="TRISSACA658988"/>
        <s v="TRISSACA649672"/>
        <s v="TRISBLIS626222"/>
        <s v="TRISBLIS661384"/>
        <s v="TRISSACA685274"/>
        <s v="TRISBLIS649832"/>
        <s v="MOANSACA685342"/>
        <s v="FROZSACA679167"/>
        <s v="MINNSACA632278"/>
        <s v="TOYSSACA637303"/>
        <s v="BARBSACA657868"/>
        <s v="MONSSACA663340"/>
        <s v="POLLSACA659879"/>
        <s v="CARSSACA631141"/>
        <s v="HADASSET631981"/>
        <s v="HOTWSACA643984"/>
        <s v="MARISACA631592"/>
        <s v="MAXSSACA638386"/>
        <s v="PRINSACA633091"/>
        <s v="SPIDSACA644295"/>
        <s v="BARBSACA643632"/>
        <s v="SPIDSSET620893"/>
        <s v="TRISSSET691060"/>
        <s v="TRISCLIP677477"/>
        <s v="TRISSSET679099"/>
        <s v="HOTWSSET653891"/>
        <s v="MAXSSSET638508"/>
        <s v="SPIDSSET653150"/>
        <s v="HOTWSSET671109"/>
        <s v="HOTWSSET671130"/>
        <s v="BARBSSET653693"/>
        <s v="BARBSSET671086"/>
        <s v="BARBSSET671123"/>
        <s v="BARBSSET670508"/>
        <s v="BARBSSET653778"/>
        <s v="FISHSSET672724"/>
        <s v="FISHSSET672847"/>
        <s v="MONSSSET674865"/>
        <s v="MAXSSSET690643"/>
        <s v="SPIDSSET690674"/>
        <s v="BARBSSET690445"/>
        <s v="MARISSET690438"/>
        <s v="HOTWSSET690292"/>
        <s v="BARBSSET690650"/>
        <s v="HADASSET690667"/>
        <s v="MARISSET636641"/>
        <s v="FISHSSET672885"/>
        <s v="BARBSSET660363"/>
        <s v="HADASSET673141"/>
        <s v="HADASSET660226"/>
        <s v="PRINSSET673202"/>
        <s v="MONSSSET673615"/>
        <s v="MARISSET636627"/>
        <s v="MINNSSET673646"/>
        <s v="PRINSSET636801"/>
        <s v="FROZSSET682709"/>
        <s v="HADASSET659688"/>
        <s v="HADASSET660189"/>
        <s v="HOTWSSET658797"/>
        <s v="POLLSSET650258"/>
        <s v="PRINSSET673226"/>
        <s v="AVENSSET671345"/>
        <s v="COLOSSET673233"/>
        <s v="ANGRSSET674148"/>
        <s v="MARISSET667126"/>
        <s v="BARBSSET653716"/>
        <s v="MARISSET667140"/>
        <s v="STARSSET682662"/>
        <s v="STARSSET682669"/>
        <s v="FROZSSET678894"/>
        <s v="MARISSET636689"/>
        <s v="BARBSSET674940"/>
        <s v="HOTWSSET673103"/>
        <s v="BARBSSET653679"/>
        <s v="POLLSSET670263"/>
        <s v="BARBSSET653730"/>
        <s v="BARBSSET653877"/>
        <s v="STARSSET682652"/>
        <s v="STARSSET682655"/>
        <s v="PRINSSET673196"/>
        <s v="HOTWSSET653839"/>
        <s v="MAXSSSET638485"/>
        <s v="SPIDSSET644509"/>
        <s v="BARBSSET653945"/>
        <s v="CARSSSET637242"/>
        <s v="HOTWSSET653969"/>
        <s v="MARISSET636696"/>
        <s v="PRINSSET650319"/>
        <s v="MUNISSET673134"/>
        <s v="BARBSSET690780"/>
        <s v="FISHSSET672908"/>
        <s v="MONSSSET674858"/>
        <s v="MONSSSET674841"/>
        <s v="MARISSET636658"/>
        <s v="AVENSSET671369"/>
        <s v="ANGRSSET671246"/>
        <s v="BARBSSET653792"/>
        <s v="POLLSSET642109"/>
        <s v="BARBSSET666501"/>
        <s v="MARISSET667188"/>
        <s v="HOTWSSET690797"/>
        <s v="ANGRSSET671253"/>
        <s v="MARISSET667201"/>
        <s v="MONSSSET674872"/>
        <s v="FROZSSET682716"/>
        <s v="PRINSSET682723"/>
        <s v="BARBSSET690230"/>
        <s v="MONSSSET666969"/>
        <s v="MONSSSET666983"/>
        <s v="AVENSSET668284"/>
        <s v="RIO2SSET667386"/>
        <s v="SPIDSSET672939"/>
        <s v="AVENSSET673639"/>
        <s v="BARBSETS682891"/>
        <s v="RIO2SSET667065"/>
        <s v="BARBSSET674018"/>
        <s v="MARISSET667225"/>
        <s v="MARISSET667263"/>
        <s v="MARISSET667249"/>
        <s v="ANGRSSET671260"/>
        <s v="HOTWSSET653754"/>
        <s v="MARISSET631950"/>
        <s v="MAXSSSET650197"/>
        <s v="MAXSSSET660240"/>
        <s v="SPIDSSET660936"/>
        <s v="MONSSSET667003"/>
        <s v="MARISSET650067"/>
        <s v="MARISSET673912"/>
        <s v="TRISTIMB664637"/>
        <s v="FROZSSET678092"/>
        <s v="MONSSSET673042"/>
        <s v="PRINSSET690209"/>
        <s v="TRISTIJE667546"/>
        <s v="TRISTIJE601571"/>
        <s v="TRISTIJE667522"/>
        <s v="TRISTIJE665467"/>
        <s v="TRISTIJE667508"/>
        <s v="TRISTIJE667560"/>
        <s v="TRISTIJE619996"/>
        <s v="TRISTIJE650517"/>
        <s v="TRISTIJE664538"/>
        <s v="JUDYTIJE659824"/>
        <s v="TRISTIJE667461"/>
        <s v="UFFITIJE622170"/>
        <s v="UFFITIJE622194"/>
        <s v="PRINTIJE649009"/>
        <s v="AVENTIJE675442"/>
        <s v="BARBTIJE675800"/>
        <s v="BARBTIJE654256"/>
        <s v="MARITIJE648965"/>
        <s v="PRINTIJE648996"/>
        <s v="MINNTIJE662725"/>
        <s v="MINNTIJE632643"/>
        <s v="CARSTIJE627717"/>
        <s v="HADATIJE627977"/>
        <s v="HOTWTIJE643977"/>
        <s v="MARITIJE623641"/>
        <s v="MAXSTIJE638300"/>
        <s v="POLLTIJE645209"/>
        <s v="STARTIJE677941"/>
        <s v="TOYSTIJE637679"/>
        <s v="BARBTIJE643618"/>
        <s v="PRINTIJE623627"/>
        <s v="SIMPTIJE673035"/>
        <s v="ANGRTIJE670904"/>
        <s v="CARSTIJE657363"/>
        <s v="COLOTIJE673400"/>
        <s v="CARSTIJE657370"/>
        <s v="MUNITIJE670379"/>
        <s v="MINNTIJE667362"/>
        <s v="PLANTIJE670591"/>
        <s v="SPIDSSET663135"/>
        <s v="UCHITIJE673417"/>
        <s v="FROZTIJE678887"/>
        <s v="BARBTIJE643625"/>
        <s v="MARITIJE648972"/>
        <s v="MARITIJE636788"/>
        <s v="MAXSTIJE650203"/>
        <s v="TOYSTIJE637693"/>
        <s v="MONSTIJE663395"/>
        <s v="BARBTIJE683812"/>
        <s v="STARTIJE675084"/>
        <s v="AVENTIJE671307"/>
        <s v="FROZTIJE679235"/>
        <s v="FROZTIJE680309"/>
        <s v="PRINTIJE680699"/>
        <s v="SPIDTIJE675596"/>
        <s v="BARBTIMB675893"/>
        <s v="MARITIMB677316"/>
        <s v="BARBTIMB673424"/>
        <s v="HADATIMB632124"/>
        <s v="HOTWTIMB673431"/>
        <s v="MARITIMB631783"/>
        <s v="BARBTIMB653952"/>
        <s v="HADATIMB632131"/>
        <s v="HOTWTIMB654102"/>
        <s v="MARITIMB631790"/>
        <s v="TRISTINT665504"/>
        <s v="TRISTINT668086"/>
        <s v="TRISEMBA692098"/>
        <s v="TRISEMBA692371"/>
        <s v="TRISBOLI685458"/>
        <s v="TRISLAPC687247"/>
        <s v="TRISCORC665085"/>
        <s v="TRISCORC680774"/>
        <s v="TRISCORC665924"/>
        <s v="TRISCORC665931"/>
        <s v="TRISCORC665146"/>
        <s v="TRISCORC665184"/>
        <s v="TRISGOMA687827"/>
        <s v="TRISACUA682365"/>
        <s v="TRISACUA681306"/>
        <s v="TRISBOLI603056"/>
        <s v="TRISLAPC603506"/>
        <s v="TRISLAPC603490"/>
        <s v="TRISSSET688503"/>
        <s v="TRISBLGL651422"/>
        <s v="TRISBOLI603049"/>
        <s v="TRISCERA684321"/>
        <s v="TRISLAPC684116"/>
        <s v="TRISDEST648927"/>
        <s v="TRISPLUM657714"/>
        <m/>
      </sharedItems>
    </cacheField>
    <cacheField name="SKU" numFmtId="49">
      <sharedItems>
        <s v="677446"/>
        <s v="643045"/>
        <s v="643069q"/>
        <s v="619941"/>
        <s v="622729"/>
        <s v="687377"/>
        <s v="686516"/>
        <s v="603353"/>
        <s v="663616"/>
        <s v="621043"/>
        <s v="686882q"/>
        <s v="672502"/>
        <s v="686912"/>
        <s v="686660"/>
        <s v="685250"/>
        <s v="687520q"/>
        <s v="672496"/>
        <s v="681160"/>
        <s v="625638"/>
        <s v="676425"/>
        <s v="681399"/>
        <s v="687360"/>
        <s v="688374"/>
        <s v="681429"/>
        <s v="673332q"/>
        <s v="685854q"/>
        <s v="681405"/>
        <s v="676395"/>
        <s v="688312"/>
        <s v="690919"/>
        <s v="603360"/>
        <s v="601588"/>
        <s v="666426q"/>
        <s v="687667q"/>
        <s v="681412"/>
        <s v="686530"/>
        <s v="688145q"/>
        <s v="687124"/>
        <s v="659497"/>
        <s v="691367q"/>
        <s v="691350q"/>
        <s v="681382"/>
        <s v="685205q"/>
        <s v="688299"/>
        <s v="688473"/>
        <s v="665849"/>
        <s v="635910w"/>
        <s v="634692"/>
        <s v="651453w"/>
        <s v="690469w"/>
        <s v="691367"/>
        <s v="690117"/>
        <s v="690728"/>
        <s v="688152w"/>
        <s v="650487w"/>
        <s v="648040p"/>
        <s v="676654w"/>
        <s v="684093w"/>
        <s v="678917s"/>
        <s v="684529"/>
        <s v="684567w"/>
        <s v="684529A"/>
        <s v="684567"/>
        <s v="666426"/>
        <s v="684451w"/>
        <s v="684451"/>
        <s v="687520"/>
        <s v="686271w"/>
        <s v="686271"/>
        <s v="687537w"/>
        <s v="672489w"/>
        <s v="672519w"/>
        <s v="651453"/>
        <s v="672489wz"/>
        <s v="672519"/>
        <s v="667409"/>
        <s v="687537"/>
        <s v="687124a"/>
        <s v="672496xz"/>
        <s v="663616AA"/>
        <s v="685854"/>
        <s v="672502xz"/>
        <s v="684468xz"/>
        <s v="685151xz"/>
        <s v="686233xz"/>
        <s v="672489"/>
        <s v="672496AA"/>
        <s v="672502AA"/>
        <s v="673998"/>
        <s v="668307"/>
        <s v="671215xz"/>
        <s v="668307p"/>
        <s v="673360"/>
        <s v="678986"/>
        <s v="690186xz"/>
        <s v="674896"/>
        <s v="684468"/>
        <s v="686233"/>
        <s v="685151"/>
        <s v="684840xx"/>
        <s v="667409s"/>
        <s v="667409p"/>
        <s v="672878"/>
        <s v="690490"/>
        <s v="673295xx"/>
        <s v="673301xx"/>
        <s v="682778p"/>
        <s v="672878p"/>
        <s v="671383xx"/>
        <s v="650718"/>
        <s v="659495"/>
        <s v="690469"/>
        <s v="674889xx"/>
        <s v="673318xx"/>
        <s v="673325xx"/>
        <s v="680712"/>
        <s v="680712p"/>
        <s v="671215"/>
        <s v="677354xx"/>
        <s v="677347xx"/>
        <s v="677354"/>
        <s v="677347"/>
        <s v="648736xx"/>
        <s v="680798xx"/>
        <s v="680798"/>
        <s v="687018cc"/>
        <s v="676555cc"/>
        <s v="649207c"/>
        <s v="649207"/>
        <s v="687018"/>
        <s v="652139c"/>
        <s v="688220cc"/>
        <s v="688220"/>
        <s v="652139"/>
        <s v="673349c"/>
        <s v="673318"/>
        <s v="673325"/>
        <s v="673363"/>
        <s v="673301"/>
        <s v="673295"/>
        <s v="691121c"/>
        <s v="603643c"/>
        <s v="603643"/>
        <s v="685953"/>
        <s v="685953c"/>
        <s v="685045"/>
        <s v="685045c"/>
        <s v="690179"/>
        <s v="625638aa"/>
        <s v="605654p"/>
        <s v="605647p"/>
        <s v="605685p"/>
        <s v="605678p"/>
        <s v="666945"/>
        <s v="222223"/>
        <s v="222223p"/>
        <s v="222222"/>
        <s v="222222p"/>
        <s v="657325c"/>
        <s v="690094"/>
        <s v="673080"/>
        <s v="682785"/>
        <s v="687797"/>
        <s v="687797c"/>
        <s v="686400"/>
        <s v="687773c"/>
        <s v="686400c"/>
        <s v="622729p"/>
        <s v="659497aa"/>
        <s v="664293"/>
        <s v="664293c"/>
        <s v="664279c"/>
        <s v="686882"/>
        <s v="635576c"/>
        <s v="635576"/>
        <s v="676395a"/>
        <s v="684802c"/>
        <s v="684802"/>
        <s v="687766c"/>
        <s v="676418"/>
        <s v="676418c"/>
        <s v="687766"/>
        <s v="676432"/>
        <s v="676432c"/>
        <s v="676425a"/>
        <s v="684840"/>
        <s v="682761"/>
        <s v="667300"/>
        <s v="684840p"/>
        <s v="667300p"/>
        <s v="678917p"/>
        <s v="645193"/>
        <s v="676654"/>
        <s v="687278c"/>
        <s v="687650c"/>
        <s v="676661c"/>
        <s v="687667"/>
        <s v="660424c"/>
        <s v="660424"/>
        <s v="688145"/>
        <s v="687681c"/>
        <s v="687681"/>
        <s v="634128c"/>
        <s v="687674c"/>
        <s v="688565c"/>
        <s v="687650"/>
        <s v="684161c"/>
        <s v="687278"/>
        <s v="687674"/>
        <s v="634128"/>
        <s v="688565"/>
        <s v="684161"/>
        <s v="685205"/>
        <s v="684093"/>
        <s v="678979c"/>
        <s v="690476"/>
        <s v="690858"/>
        <s v="657325"/>
        <s v="673349"/>
        <s v="673332"/>
        <s v="682785p"/>
        <s v="678979"/>
        <s v="679013p"/>
        <s v="645193p"/>
        <s v="678979p"/>
        <s v="657325p"/>
        <s v="691350"/>
        <s v="685250a"/>
        <s v="619941p"/>
        <s v="677446p"/>
        <s v="674155"/>
        <s v="674155p"/>
        <s v="682792s"/>
        <s v="682785s"/>
        <s v="679013"/>
        <s v="632100s"/>
        <s v="659251"/>
        <s v="659268"/>
        <s v="659244"/>
        <s v="690483"/>
        <s v="679136"/>
        <s v="679136p"/>
        <s v="687384c"/>
        <s v="687377c"/>
        <s v="687384x"/>
        <s v="687360d"/>
        <s v="690162"/>
        <s v="687384"/>
        <s v="690148"/>
        <s v="690766d"/>
        <s v="687360a"/>
        <s v="687377ds"/>
        <s v="674049"/>
        <s v="674049p"/>
        <s v="690131"/>
        <s v="672922p"/>
        <s v="672922"/>
        <s v="650718p"/>
        <s v="659495p"/>
        <s v="643052p"/>
        <s v="690131p"/>
        <s v="676654p"/>
        <s v="624365p"/>
        <s v="603643p"/>
        <s v="655604p+z"/>
        <s v="691121p"/>
        <s v="643052p+z"/>
        <s v="690476p"/>
        <s v="690858p"/>
        <s v="614168z"/>
        <s v="619392z"/>
        <s v="690490z"/>
        <s v="690483z"/>
        <s v="659251z"/>
        <s v="648040"/>
        <s v="605678z"/>
        <s v="619392z."/>
        <s v="690117z"/>
        <s v="674896z"/>
        <s v="673360z"/>
        <s v="643052"/>
        <s v="659244z"/>
        <s v="672922z"/>
        <s v="679044"/>
        <s v="690148z"/>
        <s v="690124z"/>
        <s v="659268z"/>
        <s v="666945z"/>
        <s v="690179z"/>
        <s v="673363z"/>
        <s v="673998z"/>
        <s v="648491z"/>
        <s v="682679z"/>
        <s v="619415"/>
        <s v="674896za"/>
        <s v="690933za"/>
        <s v="690162za"/>
        <s v="690094za"/>
        <s v="682815za"/>
        <s v="690728za"/>
        <s v="690544"/>
        <s v="614168"/>
        <s v="632100sa"/>
        <s v="632100"/>
        <s v="636054sa"/>
        <s v="619392"/>
        <s v="673271"/>
        <s v="690537"/>
        <s v="614168p"/>
        <s v="619392p"/>
        <s v="636054p"/>
        <s v="614175p"/>
        <s v="674896p"/>
        <s v="678986p"/>
        <s v="678986s"/>
        <s v="619415p"/>
        <s v="636054s"/>
        <s v="614175"/>
        <s v="679044p"/>
        <s v="690544p"/>
        <s v="690537p"/>
        <s v="673271p"/>
        <s v="681238c"/>
        <s v="681443c"/>
        <s v="681238"/>
        <s v="681252"/>
        <s v="681252c"/>
        <s v="681399aa"/>
        <s v="681382aa"/>
        <s v="681412aa"/>
        <s v="681443"/>
        <s v="681429aa"/>
        <s v="681405a"/>
        <s v="690629c"/>
        <s v="648484"/>
        <s v="668246"/>
        <s v="604985"/>
        <s v="648484p"/>
        <s v="668246p"/>
        <s v="604985p"/>
        <s v="682815"/>
        <s v="673363s"/>
        <s v="690629"/>
        <s v="690124"/>
        <s v="688299a"/>
        <s v="681160c"/>
        <s v="688374q"/>
        <s v="681160x"/>
        <s v="686479"/>
        <s v="686660q"/>
        <s v="686479c"/>
        <s v="686912q"/>
        <s v="603353Q"/>
        <s v="603360a"/>
        <s v="688312q"/>
        <s v="621043q"/>
        <s v="686516Q"/>
        <s v="686530a"/>
        <s v="682808"/>
        <s v="671383"/>
        <s v="682778"/>
        <s v="690155"/>
        <s v="674889"/>
        <s v="605654"/>
        <s v="636054"/>
        <s v="605647"/>
        <s v="605685"/>
        <s v="605678"/>
        <s v="678917"/>
        <s v="665849aa"/>
        <s v="676487c"/>
        <s v="617763c"/>
        <s v="685229c"/>
        <s v="685229"/>
        <s v="643045p"/>
        <s v="688138c"/>
        <s v="676487"/>
        <s v="635910"/>
        <s v="635910c"/>
        <s v="643069"/>
        <s v="685250aa"/>
        <s v="688152"/>
        <s v="617763"/>
        <s v="688138"/>
        <s v="648491"/>
        <s v="690186"/>
        <s v="690186p"/>
        <s v="690933"/>
        <s v="673165"/>
        <s v="673158"/>
        <s v="690155s"/>
        <s v="682730"/>
        <s v="682761s"/>
        <s v="682778s"/>
        <s v="673080s"/>
        <s v="682754"/>
        <s v="682679"/>
        <s v="682808s"/>
        <s v="672793"/>
        <s v="690919P"/>
        <s v="690155p"/>
        <s v="674889p"/>
        <s v="682679p"/>
        <s v="673165p"/>
        <s v="673158p"/>
        <s v="682730p"/>
        <s v="682754p"/>
        <s v="672793p"/>
        <s v="643519c"/>
        <s v="688473aa"/>
        <s v="690766"/>
        <s v="634692W"/>
        <s v="619941aa"/>
        <s v="601588aa"/>
        <s v="650487"/>
        <s v="655604"/>
        <s v="682792"/>
        <s v="655604p"/>
        <s v="648736"/>
        <s v="676555"/>
        <s v="691121"/>
        <s v="687773"/>
        <s v="664279"/>
        <s v="676661"/>
        <s v="643519"/>
        <s v="624365"/>
        <s v="678047"/>
        <s v="672861"/>
        <s v="691862"/>
        <s v="691879"/>
        <s v="619972"/>
        <s v="680187"/>
        <s v="676548"/>
        <s v="683720"/>
        <s v="691411"/>
        <s v="680255"/>
        <s v="676463"/>
        <s v="618678"/>
        <s v="629711"/>
        <s v="691596"/>
        <s v="663425"/>
        <s v="676456"/>
        <s v="686981"/>
        <s v="681368"/>
        <s v="672458"/>
        <s v="676401"/>
        <s v="635989"/>
        <s v="681436"/>
        <s v="668062"/>
        <s v="628165"/>
        <s v="691886"/>
        <s v="667584"/>
        <s v="668048"/>
        <s v="680224"/>
        <s v="664743"/>
        <s v="664767"/>
        <s v="648385"/>
        <s v="677453"/>
        <s v="691015"/>
        <s v="682068"/>
        <s v="687490"/>
        <s v="690902"/>
        <s v="686684"/>
        <s v="665320"/>
        <s v="684055"/>
        <s v="681375"/>
        <s v="667874"/>
        <s v="691381"/>
        <s v="691398"/>
        <s v="691404"/>
        <s v="682631"/>
        <s v="691275"/>
        <s v="621616"/>
        <s v="665061"/>
        <s v="676647"/>
        <s v="633695"/>
        <s v="681047"/>
        <s v="680743"/>
        <s v="691282"/>
        <s v="691299"/>
        <s v="691206"/>
        <s v="691213"/>
        <s v="691220"/>
        <s v="691244"/>
        <s v="691251"/>
        <s v="691268"/>
        <s v="691374"/>
        <s v="691343"/>
        <s v="644271"/>
        <s v="644325"/>
        <s v="644400"/>
        <s v="644363"/>
        <s v="644332"/>
        <s v="659480"/>
        <s v="660035"/>
        <s v="690506"/>
        <s v="622859"/>
        <s v="686998"/>
        <s v="688497"/>
        <s v="602615"/>
        <s v="686349"/>
        <s v="686363"/>
        <s v="681078"/>
        <s v="681085"/>
        <s v="648668"/>
        <s v="673677"/>
        <s v="673684"/>
        <s v="690872"/>
        <s v="690001"/>
        <s v="673691"/>
        <s v="656212"/>
        <s v="629308"/>
        <s v="675015"/>
        <s v="671314"/>
        <s v="630939"/>
        <s v="675770"/>
        <s v="637945"/>
        <s v="631172"/>
        <s v="680729"/>
        <s v="678870"/>
        <s v="631974"/>
        <s v="663555"/>
        <s v="670324"/>
        <s v="631585"/>
        <s v="638522"/>
        <s v="638140"/>
        <s v="662749"/>
        <s v="670577"/>
        <s v="645230"/>
        <s v="636795"/>
        <s v="674209"/>
        <s v="675541"/>
        <s v="680637"/>
        <s v="662862"/>
        <s v="677897"/>
        <s v="675107"/>
        <s v="637280"/>
        <s v="679150"/>
        <s v="686226"/>
        <s v="687568"/>
        <s v="684499"/>
        <s v="684512"/>
        <s v="680736"/>
        <s v="661681"/>
        <s v="691107"/>
        <s v="685564"/>
        <s v="651446"/>
        <s v="672526"/>
        <s v="663425p"/>
        <s v="682822"/>
        <s v="625478"/>
        <s v="625492"/>
        <s v="651477"/>
        <s v="628912"/>
        <s v="619385"/>
        <s v="619408"/>
        <s v="628905"/>
        <s v="633817"/>
        <s v="685137"/>
        <s v="684444"/>
        <s v="672915"/>
        <s v="674001"/>
        <s v="674162"/>
        <s v="673882"/>
        <s v="672786"/>
        <s v="625539"/>
        <s v="684505"/>
        <s v="686240"/>
        <s v="630007"/>
        <s v="626062"/>
        <s v="626048"/>
        <s v="684734"/>
        <s v="685007"/>
        <s v="684550"/>
        <s v="684994"/>
        <s v="684642"/>
        <s v="684635"/>
        <s v="633534"/>
        <s v="633558"/>
        <s v="633572"/>
        <s v="666464"/>
        <s v="666440"/>
        <s v="687544"/>
        <s v="686431"/>
        <s v="684659"/>
        <s v="684666"/>
        <s v="623290"/>
        <s v="606088"/>
        <s v="606101"/>
        <s v="606095"/>
        <s v="626680"/>
        <s v="647272"/>
        <s v="623252"/>
        <s v="623276"/>
        <s v="626024"/>
        <s v="687452"/>
        <s v="682846"/>
        <s v="677958"/>
        <s v="663630"/>
        <s v="638188"/>
        <s v="679037"/>
        <s v="666747"/>
        <s v="667850"/>
        <s v="666761"/>
        <s v="666808"/>
        <s v="666785"/>
        <s v="667027"/>
        <s v="667034"/>
        <s v="672977"/>
        <s v="674124"/>
        <s v="673066"/>
        <s v="673981"/>
        <s v="674131"/>
        <s v="671406"/>
        <s v="672762"/>
        <s v="673967"/>
        <s v="674117"/>
        <s v="673974"/>
        <s v="675466"/>
        <s v="675558"/>
        <s v="631202"/>
        <s v="670423"/>
        <s v="631646"/>
        <s v="633190"/>
        <s v="644479"/>
        <s v="663036"/>
        <s v="631219"/>
        <s v="631653"/>
        <s v="633206"/>
        <s v="644455"/>
        <s v="632049"/>
        <s v="631684"/>
        <s v="632346"/>
        <s v="633237"/>
        <s v="650586"/>
        <s v="632056"/>
        <s v="631691"/>
        <s v="633244"/>
        <s v="650593"/>
        <s v="631707"/>
        <s v="637341"/>
        <s v="644035"/>
        <s v="627564"/>
        <s v="678153"/>
        <s v="631714"/>
        <s v="643694"/>
        <s v="616834"/>
        <s v="668345"/>
        <s v="644042"/>
        <s v="627540"/>
        <s v="680316"/>
        <s v="678160"/>
        <s v="636610"/>
        <s v="636603"/>
        <s v="671178"/>
        <s v="671321"/>
        <s v="682914"/>
        <s v="643687"/>
        <s v="678924"/>
        <s v="627786"/>
        <s v="616827"/>
        <s v="682907"/>
        <s v="668321"/>
        <s v="690247"/>
        <s v="673264"/>
        <s v="677965"/>
        <s v="678122"/>
        <s v="644523"/>
        <s v="638669"/>
        <s v="636597"/>
        <s v="637013"/>
        <s v="636580"/>
        <s v="691893"/>
        <s v="669496"/>
        <s v="677934"/>
        <s v="674224"/>
        <s v="672816"/>
        <s v="673622"/>
        <s v="673281"/>
        <s v="600703"/>
        <s v="691046"/>
        <s v="691084"/>
        <s v="691077"/>
        <s v="691992"/>
        <s v="692012"/>
        <s v="692029"/>
        <s v="692036"/>
        <s v="692043"/>
        <s v="692425"/>
        <s v="692432"/>
        <s v="692449"/>
        <s v="664781"/>
        <s v="626673"/>
        <s v="621395"/>
        <s v="621418"/>
        <s v="691596P"/>
        <s v="691602"/>
        <s v="691619"/>
        <s v="667997"/>
        <s v="667997D"/>
        <s v="690841"/>
        <s v="664965"/>
        <s v="664989"/>
        <s v="601175"/>
        <s v="668017"/>
        <s v="CA0302"/>
        <s v="686936"/>
        <s v="659343"/>
        <s v="686448"/>
        <s v="687001"/>
        <s v="684338"/>
        <s v="644981"/>
        <s v="684765"/>
        <s v="685489"/>
        <s v="673257"/>
        <s v="682150"/>
        <s v="678863"/>
        <s v="675909"/>
        <s v="676302"/>
        <s v="654010"/>
        <s v="627588"/>
        <s v="654133"/>
        <s v="623016"/>
        <s v="617220"/>
        <s v="671154"/>
        <s v="673097"/>
        <s v="673004"/>
        <s v="657530"/>
        <s v="670348"/>
        <s v="666723"/>
        <s v="657615"/>
        <s v="662596"/>
        <s v="670515"/>
        <s v="657554"/>
        <s v="668383"/>
        <s v="637440"/>
        <s v="648057"/>
        <s v="648071"/>
        <s v="644837"/>
        <s v="654072"/>
        <s v="647951"/>
        <s v="644790"/>
        <s v="644851"/>
        <s v="664729"/>
        <s v="667928"/>
        <s v="602806"/>
        <s v="602820"/>
        <s v="684062"/>
        <s v="682327"/>
        <s v="682037"/>
        <s v="687841"/>
        <s v="687735"/>
        <s v="687711"/>
        <s v="682341"/>
        <s v="682334"/>
        <s v="654348"/>
        <s v="683942"/>
        <s v="635088"/>
        <s v="636283"/>
        <s v="633664"/>
        <s v="676227"/>
        <s v="635163"/>
        <s v="643915"/>
        <s v="643557"/>
        <s v="678832"/>
        <s v="679143"/>
        <s v="672809"/>
        <s v="644240"/>
        <s v="657707"/>
        <s v="670539"/>
        <s v="670287"/>
        <s v="670911"/>
        <s v="671284"/>
        <s v="675848"/>
        <s v="627601"/>
        <s v="645353"/>
        <s v="627861"/>
        <s v="623337"/>
        <s v="638577"/>
        <s v="638911"/>
        <s v="662633"/>
        <s v="663456"/>
        <s v="654232"/>
        <s v="662848"/>
        <s v="637501"/>
        <s v="637037"/>
        <s v="635293"/>
        <s v="680439"/>
        <s v="680644"/>
        <s v="676296"/>
        <s v="684987"/>
        <s v="678047P"/>
        <s v="629032"/>
        <s v="607900"/>
        <s v="603322"/>
        <s v="676531"/>
        <s v="659084"/>
        <s v="671247"/>
        <s v="671221"/>
        <s v="830898"/>
        <s v="671211"/>
        <s v="671212"/>
        <s v="671213"/>
        <s v="671214"/>
        <s v="671233"/>
        <s v="626341"/>
        <s v="671241"/>
        <s v="671411"/>
        <s v="674047"/>
        <s v="671234"/>
        <s v="671402"/>
        <s v="665900"/>
        <s v="665160"/>
        <s v="677361"/>
        <s v="665252"/>
        <s v="686554"/>
        <s v="615998"/>
        <s v="620183"/>
        <s v="616018"/>
        <s v="634432"/>
        <s v="648729"/>
        <s v="665306"/>
        <s v="665283"/>
        <s v="616216"/>
        <s v="616230"/>
        <s v="687025"/>
        <s v="668109"/>
        <s v="685472"/>
        <s v="685496"/>
        <s v="655444"/>
        <s v="631851"/>
        <s v="690612"/>
        <s v="690599"/>
        <s v="690605"/>
        <s v="690582"/>
        <s v="690568"/>
        <s v="690988"/>
        <s v="690575"/>
        <s v="658810"/>
        <s v="637167"/>
        <s v="676340"/>
        <s v="691831"/>
        <s v="691848"/>
        <s v="673670"/>
        <s v="691626"/>
        <s v="691633"/>
        <s v="691640"/>
        <s v="691657"/>
        <s v="691664"/>
        <s v="673707"/>
        <s v="650050"/>
        <s v="673714"/>
        <s v="673721"/>
        <s v="627076"/>
        <s v="605630"/>
        <s v="605661"/>
        <s v="627083"/>
        <s v="685083"/>
        <s v="672533"/>
        <s v="633916"/>
        <s v="674186"/>
        <s v="679112"/>
        <s v="679105"/>
        <s v="671222"/>
        <s v="679075"/>
        <s v="679068"/>
        <s v="678108"/>
        <s v="673288"/>
        <s v="T00002"/>
        <s v="T00003"/>
        <s v="T00004"/>
        <s v="T00007"/>
        <s v="T00009"/>
        <s v="1"/>
        <s v="691091"/>
        <s v="674193"/>
        <s v="672731"/>
        <s v="672748"/>
        <s v="672830"/>
        <s v="674100"/>
        <s v="667089"/>
        <s v="673769"/>
        <s v="671208"/>
        <s v="671352"/>
        <s v="668260"/>
        <s v="672823"/>
        <s v="669489"/>
        <s v="669458"/>
        <s v="669465"/>
        <s v="669472"/>
        <s v="682686"/>
        <s v="653990"/>
        <s v="692272"/>
        <s v="777777"/>
        <s v="EX0056"/>
        <s v="888888"/>
        <s v="333333"/>
        <s v="444444"/>
        <s v="555555"/>
        <s v="111111"/>
        <s v="681092"/>
        <s v="683782"/>
        <s v="676449"/>
        <s v="686417"/>
        <s v="687780"/>
        <s v="664316"/>
        <s v="659718"/>
        <s v="622767"/>
        <s v="648637"/>
        <s v="687803"/>
        <s v="607351"/>
        <s v="649955"/>
        <s v="649979"/>
        <s v="687810"/>
        <s v="607344"/>
        <s v="643656"/>
        <s v="627670"/>
        <s v="679181"/>
        <s v="627939"/>
        <s v="644004"/>
        <s v="616728"/>
        <s v="638409"/>
        <s v="638157"/>
        <s v="662602"/>
        <s v="663364"/>
        <s v="650029"/>
        <s v="654140"/>
        <s v="670607"/>
        <s v="638034"/>
        <s v="657684"/>
        <s v="677927"/>
        <s v="672892"/>
        <s v="681917"/>
        <s v="657486"/>
        <s v="657462"/>
        <s v="657936"/>
        <s v="632018"/>
        <s v="632575"/>
        <s v="680453"/>
        <s v="690261"/>
        <s v="690278"/>
        <s v="690285"/>
        <s v="672854"/>
        <s v="678078"/>
        <s v="670331"/>
        <s v="629711P"/>
        <s v="684086"/>
        <s v="691855"/>
        <s v="634142"/>
        <s v="643250"/>
        <s v="684079"/>
        <s v="684147"/>
        <s v="687704"/>
        <s v="628158"/>
        <s v="633480"/>
        <s v="659459"/>
        <s v="659435"/>
        <s v="662350"/>
        <s v="690896"/>
        <s v="628172"/>
        <s v="686943"/>
        <s v="681351"/>
        <s v="687698"/>
        <s v="687636"/>
        <s v="660349"/>
        <s v="683966"/>
        <s v="690865"/>
        <s v="678955"/>
        <s v="673059"/>
        <s v="690339"/>
        <s v="678177"/>
        <s v="678993"/>
        <s v="679006"/>
        <s v="677910"/>
        <s v="678849"/>
        <s v="657332"/>
        <s v="680248"/>
        <s v="679228"/>
        <s v="675572"/>
        <s v="671291"/>
        <s v="643571"/>
        <s v="657844"/>
        <s v="637181"/>
        <s v="673608"/>
        <s v="638249"/>
        <s v="643939"/>
        <s v="670294"/>
        <s v="636719"/>
        <s v="638591"/>
        <s v="662664"/>
        <s v="663470"/>
        <s v="675053"/>
        <s v="645179"/>
        <s v="654195"/>
        <s v="662978"/>
        <s v="644264"/>
        <s v="637549"/>
        <s v="670546"/>
        <s v="636726"/>
        <s v="643588"/>
        <s v="637198"/>
        <s v="638256"/>
        <s v="643946"/>
        <s v="638607"/>
        <s v="637563"/>
        <s v="637051"/>
        <s v="670553"/>
        <s v="670533"/>
        <s v="657264"/>
        <s v="657271"/>
        <s v="657288"/>
        <s v="663487"/>
        <s v="657301"/>
        <s v="662640"/>
        <s v="645186"/>
        <s v="657493"/>
        <s v="671031"/>
        <s v="691312"/>
        <s v="691336"/>
        <s v="691329"/>
        <s v="691237"/>
        <s v="691305"/>
        <s v="646886"/>
        <s v="646961"/>
        <s v="647210"/>
        <s v="646909"/>
        <s v="646862"/>
        <s v="647197"/>
        <s v="647128"/>
        <s v="646831"/>
        <s v="647173"/>
        <s v="646794"/>
        <s v="647135"/>
        <s v="647142"/>
        <s v="646800"/>
        <s v="647159"/>
        <s v="646817"/>
        <s v="647166"/>
        <s v="646824"/>
        <s v="647258"/>
        <s v="646947"/>
        <s v="646923"/>
        <s v="647234"/>
        <s v="640082"/>
        <s v="673110"/>
        <s v="673127"/>
        <s v="666532"/>
        <s v="674115"/>
        <s v="690421"/>
        <s v="690452"/>
        <s v="671106"/>
        <s v="673219"/>
        <s v="638218"/>
        <s v="690940"/>
        <s v="673660"/>
        <s v="673776"/>
        <s v="673790"/>
        <s v="667348"/>
        <s v="673783"/>
        <s v="674223"/>
        <s v="653907"/>
        <s v="631882"/>
        <s v="650036"/>
        <s v="658841"/>
        <s v="682860"/>
        <s v="686387"/>
        <s v="690971"/>
        <s v="677323"/>
        <s v="681849"/>
        <s v="675961"/>
        <s v="682884"/>
        <s v="679020"/>
        <s v="671116"/>
        <s v="660141"/>
        <s v="671185"/>
        <s v="673073"/>
        <s v="638225"/>
        <s v="653624"/>
        <s v="671710"/>
        <s v="679051"/>
        <s v="660929"/>
        <s v="677972"/>
        <s v="679259"/>
        <s v="676326"/>
        <s v="666495"/>
        <s v="683805"/>
        <s v="690889"/>
        <s v="632070"/>
        <s v="618692"/>
        <s v="683706"/>
        <s v="683744"/>
        <s v="683737"/>
        <s v="633749"/>
        <s v="600468"/>
        <s v="600451"/>
        <s v="683690"/>
        <s v="683713"/>
        <s v="621142"/>
        <s v="621180"/>
        <s v="633725"/>
        <s v="626277"/>
        <s v="683751"/>
        <s v="654324"/>
        <s v="683775"/>
        <s v="644905"/>
        <s v="683683"/>
        <s v="633602"/>
        <s v="623122"/>
        <s v="606163"/>
        <s v="606156"/>
        <s v="606170"/>
        <s v="659305"/>
        <s v="626291"/>
        <s v="656175"/>
        <s v="678856"/>
        <s v="673011"/>
        <s v="632506"/>
        <s v="632551"/>
        <s v="631905"/>
        <s v="682075"/>
        <s v="671376"/>
        <s v="643533"/>
        <s v="627519"/>
        <s v="673370"/>
        <s v="638171"/>
        <s v="643878"/>
        <s v="670362"/>
        <s v="635224"/>
        <s v="638478"/>
        <s v="632483"/>
        <s v="662695"/>
        <s v="663333"/>
        <s v="670584"/>
        <s v="645278"/>
        <s v="635262"/>
        <s v="644202"/>
        <s v="663098"/>
        <s v="677880"/>
        <s v="637464"/>
        <s v="673387"/>
        <s v="675732"/>
        <s v="650272"/>
        <s v="627533"/>
        <s v="629353"/>
        <s v="637488"/>
        <s v="673394"/>
        <s v="678085"/>
        <s v="690759"/>
        <s v="673806"/>
        <s v="678825"/>
        <s v="632209"/>
        <s v="671390"/>
        <s v="645131"/>
        <s v="654034"/>
        <s v="671055"/>
        <s v="650333"/>
        <s v="668369"/>
        <s v="666884"/>
        <s v="666822"/>
        <s v="673738"/>
        <s v="686455"/>
        <s v="671925"/>
        <s v="671918"/>
        <s v="671932"/>
        <s v="621128"/>
        <s v="691800"/>
        <s v="684222"/>
        <s v="688428"/>
        <s v="688435"/>
        <s v="688411"/>
        <s v="688404"/>
        <s v="650531"/>
        <s v="657967"/>
        <s v="632179"/>
        <s v="633343"/>
        <s v="671277"/>
        <s v="668024"/>
        <s v="687445"/>
        <s v="687476"/>
        <s v="687506"/>
        <s v="687483"/>
        <s v="677460"/>
        <s v="687513"/>
        <s v="681009"/>
        <s v="621340"/>
        <s v="635903"/>
        <s v="674933"/>
        <s v="682693"/>
        <s v="674803"/>
        <s v="666907"/>
        <s v="666921"/>
        <s v="674216"/>
        <s v="631837"/>
        <s v="637068"/>
        <s v="671093"/>
        <s v="667324"/>
        <s v="674834"/>
        <s v="674919"/>
        <s v="678900"/>
        <s v="674926"/>
        <s v="674827"/>
        <s v="674902"/>
        <s v="643076"/>
        <s v="666666"/>
        <s v="638362"/>
        <s v="662954"/>
        <s v="631745"/>
        <s v="674226"/>
        <s v="671161"/>
        <s v="671382"/>
        <s v="243651"/>
        <s v="243652"/>
        <s v="690018"/>
        <s v="690100"/>
        <s v="690049"/>
        <s v="690032"/>
        <s v="690025"/>
        <s v="690087"/>
        <s v="690513"/>
        <s v="690070"/>
        <s v="685267"/>
        <s v="603377"/>
        <s v="690056"/>
        <s v="614069"/>
        <s v="243696"/>
        <s v="722214"/>
        <s v="243658"/>
        <s v="691589"/>
        <s v="692005"/>
        <s v="604978"/>
        <s v="632322"/>
        <s v="647289"/>
        <s v="636016"/>
        <s v="636023"/>
        <s v="631462"/>
        <s v="632568"/>
        <s v="690063"/>
        <s v="647296"/>
        <s v="678109"/>
        <s v="673653"/>
        <s v="635996"/>
        <s v="631431"/>
        <s v="631455"/>
        <s v="678009"/>
        <s v="631264"/>
        <s v="690414"/>
        <s v="632223"/>
        <s v="631486"/>
        <s v="632315"/>
        <s v="620428"/>
        <s v="632216"/>
        <s v="631493"/>
        <s v="631769"/>
        <s v="635101"/>
        <s v="691053"/>
        <s v="681290"/>
        <s v="664125"/>
        <s v="681276"/>
        <s v="635095"/>
        <s v="607986"/>
        <s v="614021"/>
        <s v="608013"/>
        <s v="659145"/>
        <s v="662299"/>
        <s v="662312"/>
        <s v="662336"/>
        <s v="605289"/>
        <s v="611808"/>
        <s v="605326"/>
        <s v="604954"/>
        <s v="604961"/>
        <s v="605258"/>
        <s v="605302"/>
        <s v="603087"/>
        <s v="605296"/>
        <s v="611839"/>
        <s v="605333"/>
        <s v="605265"/>
        <s v="605319"/>
        <s v="648477"/>
        <s v="653594"/>
        <s v="631813"/>
        <s v="631318"/>
        <s v="643847"/>
        <s v="644165"/>
        <s v="636924"/>
        <s v="644370"/>
        <s v="662992"/>
        <s v="637389"/>
        <s v="632155"/>
        <s v="667164"/>
        <s v="678115"/>
        <s v="636979"/>
        <s v="671017"/>
        <s v="628004"/>
        <s v="644158"/>
        <s v="673240"/>
        <s v="628103"/>
        <s v="647982"/>
        <s v="631288"/>
        <s v="664224"/>
        <s v="643830"/>
        <s v="627984"/>
        <s v="643809"/>
        <s v="631295"/>
        <s v="628080"/>
        <s v="650098"/>
        <s v="647968"/>
        <s v="648026"/>
        <s v="662893"/>
        <s v="644127"/>
        <s v="670409"/>
        <s v="680279"/>
        <s v="680422"/>
        <s v="671062"/>
        <s v="675428"/>
        <s v="687612"/>
        <s v="665399"/>
        <s v="665382"/>
        <s v="665368"/>
        <s v="681023"/>
        <s v="634449"/>
        <s v="616155"/>
        <s v="621302"/>
        <s v="634463"/>
        <s v="673745"/>
        <s v="678962"/>
        <s v="690773"/>
        <s v="633435"/>
        <s v="690803"/>
        <s v="637495"/>
        <s v="671338"/>
        <s v="660134"/>
        <s v="673356"/>
        <s v="653846"/>
        <s v="639338"/>
        <s v="657448"/>
        <s v="663531"/>
        <s v="667041"/>
        <s v="657431"/>
        <s v="673752"/>
        <s v="653747"/>
        <s v="678948"/>
        <s v="682648"/>
        <s v="688695"/>
        <s v="672946"/>
        <s v="688459"/>
        <s v="688442"/>
        <s v="677903"/>
        <s v="672953"/>
        <s v="672960"/>
        <s v="674810"/>
        <s v="672984"/>
        <s v="672991"/>
        <s v="691008"/>
        <s v="688336"/>
        <s v="686929"/>
        <s v="688343"/>
        <s v="681139"/>
        <s v="686493"/>
        <s v="681153"/>
        <s v="690384"/>
        <s v="660127"/>
        <s v="611297"/>
        <s v="649597"/>
        <s v="623214"/>
        <s v="659756"/>
        <s v="648750"/>
        <s v="681054"/>
        <s v="688350"/>
        <s v="681184"/>
        <s v="634067"/>
        <s v="686677"/>
        <s v="611303"/>
        <s v="621876"/>
        <s v="649030"/>
        <s v="633275"/>
        <s v="638546"/>
        <s v="653167"/>
        <s v="635422"/>
        <s v="627847"/>
        <s v="616766"/>
        <s v="631912"/>
        <s v="644097"/>
        <s v="643755"/>
        <s v="644103"/>
        <s v="648293"/>
        <s v="648125"/>
        <s v="648330"/>
        <s v="648163"/>
        <s v="648323"/>
        <s v="648156"/>
        <s v="648361"/>
        <s v="648194"/>
        <s v="643748"/>
        <s v="999999"/>
        <s v="686615"/>
        <s v="621615"/>
        <s v="635378"/>
        <s v="635408"/>
        <s v="676586"/>
        <s v="659848"/>
        <s v="643502"/>
        <s v="648422"/>
        <s v="682839"/>
        <s v="648446"/>
        <s v="648460"/>
        <s v="632605"/>
        <s v="675459"/>
        <s v="675589"/>
        <s v="627731"/>
        <s v="660059"/>
        <s v="648118"/>
        <s v="670355"/>
        <s v="628592"/>
        <s v="670522"/>
        <s v="631363"/>
        <s v="644066"/>
        <s v="637648"/>
        <s v="628578"/>
        <s v="663111"/>
        <s v="632254"/>
        <s v="633442"/>
        <s v="648095"/>
        <s v="643717"/>
        <s v="690308"/>
        <s v="672779"/>
        <s v="672755"/>
        <s v="690315"/>
        <s v="676494"/>
        <s v="686905"/>
        <s v="676517"/>
        <s v="664378"/>
        <s v="659329"/>
        <s v="644868"/>
        <s v="660417"/>
        <s v="626239"/>
        <s v="690353"/>
        <s v="690391"/>
        <s v="685281"/>
        <s v="602714"/>
        <s v="685236"/>
        <s v="688077"/>
        <s v="688121"/>
        <s v="634401"/>
        <s v="674292"/>
        <s v="658964"/>
        <s v="659558"/>
        <s v="648521"/>
        <s v="605555"/>
        <s v="608044"/>
        <s v="614953"/>
        <s v="617756"/>
        <s v="664576"/>
        <s v="634395"/>
        <s v="634388"/>
        <s v="649641"/>
        <s v="664354"/>
        <s v="626215"/>
        <s v="649733"/>
        <s v="649689"/>
        <s v="659985"/>
        <s v="658988"/>
        <s v="649672"/>
        <s v="626222"/>
        <s v="661384"/>
        <s v="685274"/>
        <s v="649832"/>
        <s v="685342"/>
        <s v="679167"/>
        <s v="632278"/>
        <s v="637303"/>
        <s v="657868"/>
        <s v="663340"/>
        <s v="659879"/>
        <s v="631141"/>
        <s v="631981"/>
        <s v="643984"/>
        <s v="631592"/>
        <s v="638386"/>
        <s v="633091"/>
        <s v="644295"/>
        <s v="643632"/>
        <s v="620893"/>
        <s v="691060"/>
        <s v="677477"/>
        <s v="679099"/>
        <s v="653891"/>
        <s v="638508"/>
        <s v="653150"/>
        <s v="671109"/>
        <s v="671130"/>
        <s v="653693"/>
        <s v="671086"/>
        <s v="671123"/>
        <s v="670508"/>
        <s v="653778"/>
        <s v="672724"/>
        <s v="672847"/>
        <s v="674865"/>
        <s v="690643"/>
        <s v="690674"/>
        <s v="690445"/>
        <s v="690438"/>
        <s v="690292"/>
        <s v="690650"/>
        <s v="690667"/>
        <s v="636641"/>
        <s v="672885"/>
        <s v="660363"/>
        <s v="673141"/>
        <s v="660226"/>
        <s v="673202"/>
        <s v="673615"/>
        <s v="636627"/>
        <s v="673646"/>
        <s v="636801"/>
        <s v="682709"/>
        <s v="659688"/>
        <s v="660189"/>
        <s v="658797"/>
        <s v="650258"/>
        <s v="673226"/>
        <s v="671345"/>
        <s v="673233"/>
        <s v="674148"/>
        <s v="667126"/>
        <s v="653716"/>
        <s v="667140"/>
        <s v="682662"/>
        <s v="682669"/>
        <s v="678894"/>
        <s v="636689"/>
        <s v="674940"/>
        <s v="673103"/>
        <s v="653679"/>
        <s v="670263"/>
        <s v="653730"/>
        <s v="653877"/>
        <s v="682652"/>
        <s v="682655"/>
        <s v="673196"/>
        <s v="653839"/>
        <s v="638485"/>
        <s v="644509"/>
        <s v="653945"/>
        <s v="637242"/>
        <s v="653969"/>
        <s v="636696"/>
        <s v="650319"/>
        <s v="673134"/>
        <s v="690780"/>
        <s v="672908"/>
        <s v="674858"/>
        <s v="674841"/>
        <s v="636658"/>
        <s v="671369"/>
        <s v="671246"/>
        <s v="653792"/>
        <s v="642109"/>
        <s v="666501"/>
        <s v="667188"/>
        <s v="690797"/>
        <s v="671253"/>
        <s v="667201"/>
        <s v="674872"/>
        <s v="682716"/>
        <s v="682723"/>
        <s v="690230"/>
        <s v="666969"/>
        <s v="666983"/>
        <s v="668284"/>
        <s v="667386"/>
        <s v="672939"/>
        <s v="673639"/>
        <s v="682891"/>
        <s v="667065"/>
        <s v="674018"/>
        <s v="667225"/>
        <s v="667263"/>
        <s v="667249"/>
        <s v="671260"/>
        <s v="653754"/>
        <s v="631950"/>
        <s v="650197"/>
        <s v="660240"/>
        <s v="660936"/>
        <s v="667003"/>
        <s v="650067"/>
        <s v="673912"/>
        <s v="664637"/>
        <s v="678092"/>
        <s v="673042"/>
        <s v="690209"/>
        <s v="667546"/>
        <s v="601571"/>
        <s v="667522"/>
        <s v="665467"/>
        <s v="667508"/>
        <s v="667560"/>
        <s v="619996"/>
        <s v="650517"/>
        <s v="664538"/>
        <s v="659824"/>
        <s v="667461"/>
        <s v="622170"/>
        <s v="622194"/>
        <s v="649009"/>
        <s v="675442"/>
        <s v="675800"/>
        <s v="654256"/>
        <s v="648965"/>
        <s v="648996"/>
        <s v="662725"/>
        <s v="632643"/>
        <s v="627717"/>
        <s v="627977"/>
        <s v="643977"/>
        <s v="623641"/>
        <s v="638300"/>
        <s v="645209"/>
        <s v="677941"/>
        <s v="637679"/>
        <s v="643618"/>
        <s v="623627"/>
        <s v="673035"/>
        <s v="670904"/>
        <s v="657363"/>
        <s v="673400"/>
        <s v="657370"/>
        <s v="670379"/>
        <s v="667362"/>
        <s v="670591"/>
        <s v="663135"/>
        <s v="673417"/>
        <s v="678887"/>
        <s v="643625"/>
        <s v="648972"/>
        <s v="636788"/>
        <s v="650203"/>
        <s v="637693"/>
        <s v="663395"/>
        <s v="683812"/>
        <s v="675084"/>
        <s v="671307"/>
        <s v="679235"/>
        <s v="680309"/>
        <s v="680699"/>
        <s v="675596"/>
        <s v="675893"/>
        <s v="677316"/>
        <s v="673424"/>
        <s v="632124"/>
        <s v="673431"/>
        <s v="631783"/>
        <s v="653952"/>
        <s v="632131"/>
        <s v="654102"/>
        <s v="631790"/>
        <s v="665504"/>
        <s v="668086"/>
        <s v="692098"/>
        <s v="692371"/>
        <s v="685458"/>
        <s v="687247"/>
        <s v="665085"/>
        <s v="680774"/>
        <s v="665924"/>
        <s v="665931"/>
        <s v="665146"/>
        <s v="665184"/>
        <s v="687827"/>
        <s v="682365"/>
        <s v="681306"/>
        <s v="603056"/>
        <s v="603506"/>
        <s v="603490"/>
        <s v="688503"/>
        <s v="651422"/>
        <s v="603049"/>
        <s v="684321"/>
        <s v="684116"/>
        <s v="648927"/>
        <s v="657714"/>
        <s v="691985"/>
      </sharedItems>
    </cacheField>
    <cacheField name="DESCRIPCION" numFmtId="0">
      <sharedItems>
        <s v="NOTAS AUTOADHES NEON T003 38X51MM 4 COLORES 400HJS"/>
        <s v="SACAPUNTAS DISEÑO PINGÜINO DISPLAY 12 UNIDADES"/>
        <s v="SACAPUNTAS DISEÑO VAQUITA DISPLAY 12 UNIDADES"/>
        <s v="TIJERA ESCOLAR CRAFT 15CM 5MM DISEÑOS DISPLAY 24 UNIDADES"/>
        <s v="GOMA DE BORRAR C/GRIP SCHOOL DISPLAY 24 UNIDADES"/>
        <s v="MARCADOR PIZARRA LIQEO NEGRO DISPLAY 12 UNIDADES"/>
        <s v="REPUESTO MINA 0.9MM 2B DISPLAY 12 TUBOS C/24 MINAS"/>
        <s v="PORTAMINA 0.5MM TECH DISPLAY 12 UNIDADES"/>
        <s v="BOLIGRAFO 1.0 MM EXEC NEGRO DISPLAY 50 UNIDADES"/>
        <s v="PORTAMINA 0.9MM TECH DISPLAY 12 UNIDADES"/>
        <s v="GOMA DE BORRAR TWICE DISPLAY 40 UNIDADES"/>
        <s v="BOLIGRAFO SLIDE ROJO 1.0MM DISPLAY 50 UNIDADES"/>
        <s v="PORTAMINA 0.7MM TECH PUNTA METAL DISPLAY 12 UNIDADES"/>
        <s v="PORTAMINA 0.7MM CHIC DISPLAY 24 UNIDADES"/>
        <s v="SACAPUNTAS C/DEPOSITO SU133 DISPLAY 12 UNIDADES"/>
        <s v="BOLIGRAFO FINELINER LIQEO PASTEL_NEON DISPLAY 36 UNIDADES"/>
        <s v="BOLIGRAFO SLIDE NEGRO 1.0MM DISPLAY 50 UNIDADES"/>
        <s v="PORTAMINA 2.0MM SUPER COLORS DISPLAY 24 UNIDADES"/>
        <s v="DESTACADOR FLASH AMARILLO DISPLAY 12 UNIDADES"/>
        <s v="GOMA DE BORRAR BASIC N20 DISPLAY 2O UNIDADES"/>
        <s v="PEGAMENTO GLITTER 23GR. BRILLO PLATA DISPLAY 12 UNIDADES"/>
        <s v="MARCADOR PIZARRA LIQEO AZUL DISPLAY 12 UNIDADES"/>
        <s v="PORTAMINA 2.0MM SUPER OFFICE DISPLAY 12 UNIDADES"/>
        <s v="PEGAMENTO GLITTER 23GR. BRILLO TRANSPARENTE DISPLAY 12 UNIDADES"/>
        <s v="CUADERNO UNIVERSITARIO 100 HJS DISENOS VARIOS PACK 10 UND"/>
        <s v="BOLIGRAFO FINELINER LIQEO 12 COLORES DISPLAY 36 UNIDADES"/>
        <s v="PEGAMENTO GLITTER 23GR. BRILLO VERDE DISPLAY 12 UNIDADES"/>
        <s v="GOMA DE BORRAR PUNTA LAPIZ BLANCA DISPLAY 50 UNIDADES"/>
        <s v="PORTAMINA 0.7MM JELLY DISPLAY 12 UNIDADES"/>
        <s v="SET ESCOLAR AZUL (2GRAFITOS +1SACAPUNTA +1GOMA BORAR)"/>
        <s v="PORTAMINA 0.7MM TECH DISPLAY 12 UNIDADES"/>
        <s v="TIJERA ESCOLAR CLASS DISPLAY 30 UNIDADES"/>
        <s v="BOLIGRAFO 1.0MM SIX AZUL DISPLAY 50 UNIDADES"/>
        <s v="LAPIZ GRAFITO HB C/GOMA STAR DISPLAY 72 UNIDADES"/>
        <s v="PEGAMENTO GLITTER 23GR. BRILLO ROJO DISPLAY 12 UNIDADES"/>
        <s v="REPUESTO MINA 2.0MM 2B DISPLAY 12 TUBOS C/6 MINAS"/>
        <s v="LAPIZ GRAFITO HB C/GOMA TROPICAL DISPLAY 72 UNIDADES"/>
        <s v="BOLIGRAFO GEL METALICO DORADO/PLATA DISPLAY 50 UNIDADES"/>
        <s v="GOMA DE BORRAR SOFT COLOR DISPLAY 24 UNIDADES"/>
        <s v="Juego didáctico Dominó SET 3 und (diseños) - (N°1210)"/>
        <s v="Juego didáctico Memorice SET 3 und (diseños) - (N°1200)"/>
        <s v="PEGAMENTO GLITTER 23GR. BRILLO ORO DISPLAY 12 UNIDADES"/>
        <s v="LAPIZ GRAFITO C/GOMA METROPOLITAN DISPLAY 72 UNIDADES"/>
        <s v="PORTAMINA 2.0MM SUPER CUTE DISEÑOS DISPLAY 24 UNIDADES"/>
        <s v="TIJERA SOFT PASTEL DISEÑOS DISPLAY 20 UNIDADES"/>
        <s v="SACA CORCHETES PALANCA T064 DISPLAY 24 UNIDADES"/>
        <s v="SACAPUNTAS DISEÑO CERDITO  DISPLAY 12 UNIDADES"/>
        <s v="TIJERA ESCOLAR COMFORT DISPLAY 18 UNIDADES"/>
        <s v="BOLIGRAFO GEL EFECTO GLITTER DISPLAY 50 UNIDADES"/>
        <s v="PLASTICO BURBUJA ROLLO 1MT X 10MT  1 UNIDAD"/>
        <s v="Juego didáctico Dominó Set 3 juegos 28 pzas c/u  - (N°1210)"/>
        <s v="PLASTICO BURBUJA ROLLO 50CM X 10MT 1 UNIDAD"/>
        <s v="PLASTICO BURBUJA ROLLO 1.5MT X 10MT  1 UNIDAD"/>
        <s v="SACAPUNTAS C/DEPOSITO SPACE DISPLAY 12 UNIDADES"/>
        <s v="TIJERA ESCOLAR CLUB DISPLAY  36 UNIDADES"/>
        <s v="PEGAMENTO BARRA 15G BLIS. SPID"/>
        <s v="LAPIZ GRAFITO 2B C/GOMA DISPLAY 72 UNIDADES"/>
        <s v="LAPIZ GRAFITO 2B BASIC DISPLAY 72 UNIDADES"/>
        <s v="GOMA DE BORRAR SET 3 UN FROZEN"/>
        <s v="BOLIGRAFO COMFORT COLORES SURTIDOS DISPLAY 12 UNIDADES"/>
        <s v="BOLIGRAFO 1.0MM RETRACTIL COMFORT ROSA/VIOL SET 2 UNIDADES"/>
        <s v="BOLIGRAFO COMFORT"/>
        <s v="BOLIGRAFO 1.0MM RETRACTIL COMFORT ROSA/VIOL DISP 12 UNIDADES"/>
        <s v="BOLIGRAFO 1.0MM SIX AZUL SET 10 UNIDADES"/>
        <s v="BOLIGRAFO 1.0MM FASHION 4 COLORES 1 UNIDAD"/>
        <s v="BOLIGRAFO 1.0MM FASHION 4 COLORES DISPLAY 6 UNIDADES"/>
        <s v="BOLIGRAFO FINELINER LIQEO"/>
        <s v="BOLIGRAFO 1.0MM RETRATIL CLICK COLORES DISPLAY 12 UNIDADES"/>
        <s v="BOLIGRAFO 1.0MM RETRATIL CLICK COLORES"/>
        <s v="BOLIGRAFO 0.7MM SLIDE 2-AZUL/1-ROJO/1-NEGRO SET 4 UNIDADES"/>
        <s v="BOLIGRAFO SLIDE AZUL 1.0MM DISPLAY 50 UNIDADES"/>
        <s v="BOLIGRAFO 1.0MM SLIDE COLORES SURTIDOS SET 6 UNIDADES"/>
        <s v="BOLIGRAFO GEL EFECTO GLITTER 10 UNIDADES COLORES VARIOS"/>
        <s v="BOLIGRAFO SLIDE AZUL 1.0MM SET 10 UNIDADES"/>
        <s v="BOLIGRAFO 1.0MM SLIDE COLORES SURTIDOS DISPLAY 24 UNIDADES"/>
        <s v="BOLIGRAFO GEL NEON/PASTEL/GLITTER 12UND +BOLIG. GLITTER 6UND +BOLIG. PASTEL 6UND"/>
        <s v="BOLIGRAFO SLIDE 1.0MM SET 12 UND (6-AZUL/3-ROJO/3-NEGRO)"/>
        <s v="BOLIGRAFO GEL METALICO"/>
        <s v="BOLIGRAFO SLIDE NEGRO 1.0MM SET 10 UNIDADES"/>
        <s v="BOLIGRAFO 1.0 MM EXEC NEGRO SET 10 UNIDADES"/>
        <s v="BOLIGRAFO FINELINER LIQEO SET 4 COLORES"/>
        <s v="BOLIGRAFO SLIDE ROJO 1.0MM SET 10 UNIDADES"/>
        <s v="BOLIG.1.0MM ESF COLOR MIX 4 COL CJ.6UN TRIS"/>
        <s v="BOLIG.GEL 0.7MM TRIS STYLE DSP 24UN"/>
        <s v="BOLIG.GEL 1.0MM TRIS LOVE 5 COL"/>
        <s v="BOLIG.SLIDE AZUL 1.0MM 1 UN TRIS"/>
        <s v="BOLIG.SLIDE NEGRO 1.0MM 1 UN TRIS"/>
        <s v="BOLIG.SLIDE ROJO 1.0MM 1 UN TRIS"/>
        <s v="BOLIGRAFO 4 EN 1 DSP TRIS NIÑO"/>
        <s v="SET BOLIGRAFOS 4 TINTAS + CORRECTOR M.HIGH"/>
        <s v="BOLIGRAFO 4 EN 1 BLS A.BIRD"/>
        <s v="ZZ. NO USAR. BOLIGRAFO 4 TINTAS + CORRECTOR"/>
        <s v="CAJA ESCOLAR TRIS"/>
        <s v="CAJA CARTON CORRUGADO 47x31x31 PACK 5 UND"/>
        <s v="CAJA CARTON CORRUGADO 50x40x30 PACK 5 UND"/>
        <s v="CAJA CARTON CORRUGADO 60x60x50 PACK 5 UND"/>
        <s v="CAJA CARTON ENVIOS 25x17x13 CM. PACK 5 UND"/>
        <s v="CAJA CARTON CHAMPANERA 37x27.5x32 CM. PACK 5 UND"/>
        <s v="CAJA CARTON PISQUERA 31x23x31 CM. PACK 5 UND"/>
        <s v="CAJA CARTON STOREBOX 38x29.5x24.5 CM. PACK 5 UND"/>
        <s v="CALCULADORA MONSTER HIGH"/>
        <s v="ZZ. NO USAR. CALCULADORA TOUCH M."/>
        <s v="CERA TWIST 12 COLORES M."/>
        <s v="LAPIZ CERA JUMBO -SURTIDO LICENCIAS"/>
        <s v="LAPIZ CERA GR. 12 COL.COLO COLO"/>
        <s v="LAPIZ CERA GR. 12 COL.UNIV.CHILE"/>
        <s v="ZZ. NO USAR. LAPIZ CERA LICENCIAS"/>
        <s v="ZZ. NO USAR. LAPIZ CERA TWIST SET 12COL.M.HIGH"/>
        <s v="CINTA EMBALAJE TRANSPARENTE 48MM X 100MT"/>
        <s v="CINTA EMBALAJE TRANSPARENTE 48MM X 40MT"/>
        <s v="CINTA EMBALAJE TRANSPARENTE 48MM X 90MT"/>
        <s v="LAPICES DE COLORES -SURTIDO LICENCIAS"/>
        <s v="LAP. COLOR STAR WARS"/>
        <s v="LAP.COLOR COLO COLO"/>
        <s v="LAP.COLOR U. DE CHILE"/>
        <s v="LAPICES DE COLORES DOBLES+1"/>
        <s v="ZZ. NO USAR. LAPICES DE COLORES DOBLES+1"/>
        <s v="MANTEL PLASTICO AZUL 137x274 cm"/>
        <s v="CORCHETERA POP OFFICE T317 26/6 12HJS 1 UNIDAD"/>
        <s v="CORCHETERA POP OFFICE T405 26/6 15HJS 1 UNIDAD"/>
        <s v="CORCHETERA POP OFFICE T317 26/6 DISPLAY 12 UNIDADES"/>
        <s v="CORCHETERA POP OFFICE T405 26/6 15HJS DISPLAY 6 UNIDADES"/>
        <s v="CORCHETERA MINI QUICKY COLOR 26/6  1 UNIDAD"/>
        <s v="CORCHETERA POP OFFICE T134 26/6 _ 24/6 12HJS 1 UNIDAD"/>
        <s v="CORCHETERA POP OFFICE T134 26/6 DISPLAY 12 UNIDADES"/>
        <s v="CORRECTOR 4ML RETOK MINI 1 UNIDAD"/>
        <s v="CORRECTOR 2 EN 1 15ML DISPLAY 1 UNIDAD"/>
        <s v="LAPIZ CORRECTOR 7ML RETOK DISPLAY 12 UNIDADES"/>
        <s v="LAPIZ CORRECTOR 7ML RETOK SET 2 UNIDADES"/>
        <s v="LAPIZ CORRECTOR 4ML RETOK MINI DISPLAY 12 UNIDADES"/>
        <s v="CORRECTOR CINTA MINI LAYER 5MT DISPLAY 18 UNIDADES"/>
        <s v="CORRECTOR CINTA RETRACTIL 5mT x 5mm DISPLAY 12 UNIDADES"/>
        <s v="CORRECTOR CINTA RETRACTIL 5mT x 5mm SET 3 UNIDADES"/>
        <s v="CORRECTOR CINTA MINI LAYER 5MT 1 UNIDAD"/>
        <s v="CUADERNO UNIVERSITARIO 100 HJS NUOVO PACK 8 UND"/>
        <s v="CUADERNO UNIVERSITARIO 100 HJS ROSS PACK 10 UND"/>
        <s v="CUADERNO UNIVERSITARIO 100 HJS DISENO MASCOTAS PACK 10 UND"/>
        <s v="CUADERNO UNIVERSITARIO 100 HJS DISENO COLORLIFE PACK 10 UND"/>
        <s v="CUADERNO COLLEGE 80 HJS PACK 10 UND"/>
        <s v="CUADERNO COLLEGE 100 HJS PACK 10 UND"/>
        <s v="DESTACADOR LIQEO PASTEL COLORES"/>
        <s v="DESTACADOR MINI LIQEO FLUOR"/>
        <s v="DESTACADOR MINI LIQEO FLUOR DISPLAY 48 UNIDADES"/>
        <s v="DESTACADOR FLUORESCENTE LIQEO FLAT DISPLAY 24 UNIDADES"/>
        <s v="DESTACADOR FLUORESCENTE LIQEO FLAT COLORES SET 3 UNIDADES"/>
        <s v="DESTACADOR LIQEO COLORES PASTEL DISPLAY 24 UNIDADES"/>
        <s v="DESTACADOR LIQEO COLORES PASTEL SET 6 UNIDADES"/>
        <s v="DESTACADOR MINI LIQEO FLUOR SET 6 UNIDADES"/>
        <s v="DESTACADOR FLASH AMARILLO SET 3 UNIDADES"/>
        <s v="DESTACADOR LIQEO PASTEL COLOR CALIPSO 1 UN TRIS"/>
        <s v="DESTACADOR LIQEO PASTEL COLOR ROSADO 1 UN TRIS"/>
        <s v="DESTACADOR LIQEO PASTEL COLOR VERDE 1 UN TRIS"/>
        <s v="DESTACADOR LIQEO PASTEL COLOR VIOLETA 1 UN TRIS"/>
        <s v="ART&amp;CRAFT - TU PERSONAJE ENRETENIDO TRIS"/>
        <s v="PALLET READY TRIS"/>
        <s v="ZZ. NO USAR. EMBALAJE DE EXPORTACION"/>
        <s v="PDQ NIÑA TRIS  2050001339027"/>
        <s v="ZZ. NO USAR. MUEBLE EXHIBIDOR PDQ TRIS"/>
        <s v="FILM STRECH UN 50CM 20 MICRONES 2K"/>
        <s v="FILM STRETCH 50CMS 20 MICRONES 1.7 KILOS 1 UNIDAD"/>
        <s v="FILM STRETCH 50CMS 20 MICRONES 1.7 KILOS 1 UNIDAD STK"/>
        <s v="FILM STRETCH UN 50CM 20 MICRONES 1.8K"/>
        <s v="GOMA DE BORRAR ARTE/PASTEL SET 3 UNIDADES"/>
        <s v="GOMA DE BORRAR ARTE/PASTEL COLORES DISPLAY 30 UNIDADES"/>
        <s v="GOMA DE BORRAR ARTE TECNICO SET 4 UNIDADES"/>
        <s v="GOMA DE BORRA JELLY COLORES SET 4 UNIDADES"/>
        <s v="GOMA DE BORRAR ARTE TECNICO DISPLAY 24 UNIDADES"/>
        <s v="GOMA DE BORRAR C/GRIP SCHOOL SET 4 UNIDADES"/>
        <s v="GOMA DE BORRAR SOFT COLOR SET 4 UNIDADES"/>
        <s v="GOMA DE BORRAR SUMMER DISPLAY 24 UNIDADES"/>
        <s v="GOMA DE BORRAR SUMMER SET 4 UNIDADES"/>
        <s v="GOMA DE BORRAR FUTBOL"/>
        <s v="GOMA DE BORRAR TWICE SET 4 UNIDADES"/>
        <s v="GOMA DE BORRAR MONOLIT SET 4 UNIDADES"/>
        <s v="GOMA DE BORRAR MONOLIT DISPLAY 48 UNIDADES"/>
        <s v="GOMA DE BORRAR PUNTA LAPIZ BLANCA SET 10 UNIDADES"/>
        <s v="GOMA DE BORRAR DISEÑO LAPIZ DISPLAY 24 UNIDADES"/>
        <s v="GOMA DE BORRAR DISEÑO LAPIZ"/>
        <s v="GOMA DE BORRAR PIXEL COLORES SET 4 UNIDADES"/>
        <s v="GOMA DE BORRAR PUNTA LAPIZ COLORES SET 10 UNIDADES"/>
        <s v="GOMA DE BORRAR PUNTA LAPIZ COLORES DISPLAY 50 UNIDADES"/>
        <s v="GOMA DE BORRAR PIXEL COLORES DISPLAY 32 UNIDADES"/>
        <s v="GOMA DE BORRAR BASIC N40 DISPLAY 40 UNIDADES"/>
        <s v="GOMA DE BORRAR BASIC N40 BLANCA SET 4 UNIDADES"/>
        <s v="GOMA DE BORRAR BASIC N20 SET 4 UNIDADES"/>
        <s v="GOMA DE BORRAR TOP POTE 24 UN MOANA BRZ"/>
        <s v="SET GOMA DISEÑOS"/>
        <s v="SET ERASER (LAPIZ GOMA + 2RPTOS) M."/>
        <s v="ZZ. NO USAR."/>
        <s v="ZZ. NO USAR. LAPIZ GOMA + 2 RPTOS BLIS.M.HIGH"/>
        <s v="ZZ. NO USAR. SET GOMAS X6"/>
        <s v="PACK GRAFITOS DISEÑO"/>
        <s v="LAPIZ GRAFITO 2B NEGRO C/GOMA 12 UND"/>
        <s v="LAPIZ GRAFITO C/GOMA LINE UP DRUMP DISPLAY 72 UNIDADES"/>
        <s v="LAPIZ GRAFITO HB C/GOMA SPARKLING SET 6 UNIDADES"/>
        <s v="LAPIZ GRAFITO HB DISEÑO PASTEL SET 6 UNIDADES"/>
        <s v="LAPIZ GRAFITO HB C/GOMA STAR SET 6 UNIDADES"/>
        <s v="LAPIZ GRAFITO C/GOMA VINTAGE DISPLAY 72 UNIDADES"/>
        <s v="LAPIZ GRAFITO C/GOMA VINTAGE SET 6 UNIDADES"/>
        <s v="LAPIZ GRAFITO HB C/GOMA TROPICAL SET 6 UNIDADES"/>
        <s v="LAPIZ GRAFITO HB C/GOMA SUMMER SET 6 UNIDADES"/>
        <s v="LAPIZ GRAFITO HB C/GOMA SUMMER DISPLAY 72 UNIDADES"/>
        <s v="LAPIZ GRAFITO C/GOMA DISEÑO METALICO DISPLAY 72 UNIDADES"/>
        <s v="LAPIZ GRAFITO HB C/GOMA GALAXY DISPLAY 72 UNIDADES"/>
        <s v="LAPIZ GRAFITO HB C/GOMA JUMBO MINI DISPLAY 36 UNIDADES"/>
        <s v="LAPIZ GRAFITO HB C/GOMA SPARKLING DISPLAY 72 UNIDADES"/>
        <s v="LAPIZ GRAFITO C/GOMA DISCO SET 6 UNIDADES"/>
        <s v="LAPIZ GRAFITO C/GOMA LINE UP DRUMP SET 6 UNIDADES"/>
        <s v="LAPIZ GRAFITO HB C/GOMA GALAXY SET 6 UNIDADES"/>
        <s v="LAPIZ GRAFITO C/GOMA DISEÑO METALICO SET 6 UNIDADES"/>
        <s v="LAPIZ GRAFITO HB C/GOMA JUMBO MINI SET 6 UNIDADES"/>
        <s v="LAPIZ GRAFITO C/GOMA DISCO DISPLAY 72 UNIDADES"/>
        <s v="LAPIZ GRAFITO C/GOMA METROPOLITAN"/>
        <s v="LAPIZ GRAFITO 2B BASIC SET 6 UNIDADES"/>
        <s v="ARTICULO ESCOLAR VARIEDAD NIÑO"/>
        <s v="LAP.GRAF.C/GOMA -SURTIDO LICENCIAS"/>
        <s v="SET 03 LAP. GRAFITO + 3 GOMAS BLISTER - TRIS"/>
        <s v="LAPIZ GRAF.C/GOMA POTE 48UN PRIN"/>
        <s v="LAPIZ GRAF.C/GOMA POTE 48UN UNIV.CHILE"/>
        <s v="LAPIZ GRAF.C/GOMA POTE.48UN COLO COLO"/>
        <s v="ZZ. NO USAR. GRAFITOS 4UN LICENCIAS"/>
        <s v="ZZ. NO USAR. LAP. GRAF.C/GOMA SET 10UN MARI"/>
        <s v="ZZ. NO USAR. LAP. GRAF.C/GOMA SET HADAS"/>
        <s v="ZZ. NO USAR. LAPIZ CERA TWIST SET 12COL.POLL"/>
        <s v="ZZ. NO USAR. PRODUCTO ESCOLAR SET NIÑITO SPIDERMAN-AVENGERS"/>
        <s v="ZZ. NO USAR. SUPER PACK GRAF. LICENCIAS"/>
        <s v="Juego didáctico Memorice Set 3 juegos 32 pzas c/u - (N°1200)"/>
        <s v="KIT SOLUCION 04"/>
        <s v="KIT SOLUCION 02"/>
        <s v="KIT SOLUCION 09"/>
        <s v="MALETIN BOX SET AVENGERS"/>
        <s v="MALETA DE ARTE 52 PZAS AVENGERS"/>
        <s v="MALETA DE ARTE 52 PZAS BARBIE"/>
        <s v="PLAYGROUND OPEN BOX"/>
        <s v="PACK POLYBAGS BARBIE"/>
        <s v="PLUM. SUPER GRUESO 12 COL TRIS"/>
        <s v="PLUM. TRIS SUPER GRUESO (JUMBO) 12 COL"/>
        <s v="PLUMON TRIS WIZARD"/>
        <s v="PLUMONES PF -SURTIDO LICENCIAS"/>
        <s v="PLUMONES PTA FINA 12 COLORES FROZEN BRZ"/>
        <s v="MARCADOR PIZARRA LIQEO ROJO DISPLAY 12 UNIDADES"/>
        <s v="MARCADOR PIZARRA LIQEO NEGRO 1 UNIDAD"/>
        <s v="MARCADOR PIZARRA LIQEO ROJO 1 UNIDAD"/>
        <s v="MARCADOR PIZARRA LIQEO AZUL 1 UNIDAD"/>
        <s v="MARCADOR PERMANENTE SET 3 UNIDADES (1 AZUL +1 NEGRO +1 ROJO)"/>
        <s v="PLUMONES PIZARRA + DESTACADOR LIQEO TRIS"/>
        <s v="MARCADOR PIZARRA  SET 3 UNIDADES"/>
        <s v="MARCADOR DE PIZARRA UFFIZI"/>
        <s v="PLUMON PIZARRA LIQEO AZUL 1 UN TRIS"/>
        <s v="PLUMON PIZARRA LIQEO NEGRO 1 UN TRIS"/>
        <s v="BOLSO NIÑA RIO"/>
        <s v="ZZ. NO USAR. MSSET"/>
        <s v="PACK SOLUCION COMPLETA HADAS"/>
        <s v="ZZ. NO USAR. NO EXISTE"/>
        <s v="ZZ. NO USAR. NO VALIDO"/>
        <s v="ZZ. NO USAR. PACK ESCOLAR 5 PCS SURTIDO NIÑAS"/>
        <s v="LAPICES GRAFITO C/GOMA SET 20 UND"/>
        <s v="RENUEVA TU ESTUCHE - LAPIZ COLOR, GOMAS, SACAPUNTA, TIJERA"/>
        <s v="PACK DESTACADORES MINI"/>
        <s v="PACK BOLIGRAFOS"/>
        <s v="PACK DESTACADORES PASTEL"/>
        <s v="PACK 2 CINTAS 90MT  + TIJERA"/>
        <s v="PACK 2 CINTAS EMBALAJE 100MT +1 CARTONERO"/>
        <s v="PACK 2 CINTAS EMBALAJE 100MT +1 TIJERA"/>
        <s v="PACK 4 CINTAS 90MT + TIJERA + 3 MARCADORES"/>
        <s v="PACK 5 CINTAS 90MT + CARTONERO + 3 MARCADORES"/>
        <s v="PACK 5 CINTAS EMB. 100MT +1 CARTONERO +3 MARCADORES"/>
        <s v="PACK 5 CINTAS EMB. 100MT +1 TIJERA +3 MARCADORES"/>
        <s v="PACK ENTRETENIDO 3"/>
        <s v="PACK 3 SET LAPICES DE COLOR"/>
        <s v="PACK ACUARELA + OLEO PASTEL 12 COLORES"/>
        <s v="SET ENTRETENIDO"/>
        <s v="PACK ESTUDIANTIL ECONOMICO 43 PZAS"/>
        <s v="PACK ENTRETENIDO 1"/>
        <s v="PACK ESCOLAR BASICO 1"/>
        <s v="PACK ESCOLAR BASICO 3"/>
        <s v="PACK JUVENIL 1"/>
        <s v="PLAY SET"/>
        <s v="ARTICULO ESCOLAR VARIEDAD NIÑA"/>
        <s v="PACK BOLIGRAFO ROLLER 02 UN ROJO Y AZUL"/>
        <s v="PACK BOLIGRAFOS COLORES SUTIDOS 6 UN TRIS"/>
        <s v="PACK ENTRETENIDO 2"/>
        <s v="PACK ESCOLAR 2 ARTES"/>
        <s v="PACK ESCOLAR BAS. - TRIS"/>
        <s v="PACK ESCOLAR BASICO 2"/>
        <s v="PACK JUVENIL 2"/>
        <s v="PACK JUVENIL 3"/>
        <s v="PACK NOTAS"/>
        <s v="PACK NINA SURTIDO LICENCIA"/>
        <s v="PACK UNIVERSITARIO"/>
        <s v="PACK UNIVERSITARIO - TRIS"/>
        <s v="PACK2 LAP.GRAF DEST.VERD PEG.BAR.21G TIJERA SACAP. C/DEP. GOMA"/>
        <s v="SET DISEÑOS SURTIDOS"/>
        <s v="SUPER PACK ESCOLAR LICENCIAS"/>
        <s v="PACK ESCOLAR BARBIE"/>
        <s v="PACK ESCOLAR FROZEN"/>
        <s v="PACK PIZARRA + BASIC SET + ESTUCHE C/ACC HEROES"/>
        <s v="PACK PIZARRA + SET 10 PZAS + TIJERA DISEÑO"/>
        <s v="PACK SOLUCION COMPLETA MARIE"/>
        <s v="PACK SOLUCION COMPLETA MONSTER HIGH"/>
        <s v="PACK SOLUCION COMPLETA SPIDERMAN"/>
        <s v="ZZ. NO USAR. PACK 3 LAP. GRAFITO + GRIP GLITTER TRIS"/>
        <s v="ZZ. NO USAR. PACK BOLIGRAFO GEL DORADO 1UN"/>
        <s v="ZZ. NO USAR. PACK DESTACADOR AMARILLO 1 UN"/>
        <s v="ZZ. NO USAR. PACK ESC.5 PCS MINNIE"/>
        <s v="ZZ. NO USAR. PACK NINA SURTIDO LICENCIA"/>
        <s v="ZZ. NO USAR. PACK NINO SURTIDO LICENCIAS"/>
        <s v="ZZ. NO USAR. PACK SOLUCION COMPLETA"/>
        <s v="ZZ. NO USAR. PACK SOLUCION COMPLETA AVENGERS"/>
        <s v="ZZ. NO USAR. PACK SOLUCION COMPLETA MINNIE"/>
        <s v="ZZ. NO USAR. PRODUCTO ESCOLAR SET NIÑITA MONSTER HIGH"/>
        <s v="ZZ. NO USAR. SUPER PACK BARBIE"/>
        <s v="ZZ. NO USAR. SUPER PACK SPIDERMAN"/>
        <s v="ZZ. NO USAR. TIJERA ESC. BLIS. SPIDERMAN"/>
        <s v="PEGAMENTO BARRA 20GR. SET 2 UNIDADES"/>
        <s v="PEGAMENTO GLITTER 23GR. BRILLO ROSADO DISPLAY 12 UNIDADES"/>
        <s v="PEGAMENTO BARRA 20GR. DISPLAY 6 UNIDADES"/>
        <s v="PEGAMENTO BARRA 40GR. SET 2 UNIDADES"/>
        <s v="PEGAMENTO BARRA 40GR. DISPLAY 6 UNIDADES"/>
        <s v="PEGAMENTO GLITTER 23GR. BRILLO PLATA SET 2 UNIDADES"/>
        <s v="PEGAMENTO GLITTER 23GR. BRILLO ORO SET 2 UNIDADES"/>
        <s v="PEGAMENTO GLITTER 23GR. BRILLO ROJO SET 2 UNIDADES"/>
        <s v="PEGAMENTO GLITTER 23GR. BRILLO ROSADO SET 2 UNIDADES"/>
        <s v="PEGAMENTO GLITTER 23GR. BRILLO TRANSPARENTE SET 2 UNIDADES"/>
        <s v="PEGAMENTO GLITTER 23GR. BRILLO VERDE SET 2 UNIDADES"/>
        <s v="PEGAMENTO C/GLITTER SET 4COL. TRIS"/>
        <s v="SET 2 PEGAMENTOS 10GR. M."/>
        <s v="SET GLITTER 4 COLORES M."/>
        <s v="SUPER PACK ESCOLAR TRIS"/>
        <s v="ZZ. NO USAR. PEGAMENTO BARRA SET 2 UN 10G. BLIS.  MONS"/>
        <s v="ZZ. NO USAR. PEGAMENTO C/GLITTER SET 4COL. M.HIGH"/>
        <s v="ZZ. NO USAR. PEGAMENTO GLITTER TRIS SHINE - PLATA"/>
        <s v="PIZARRA 3PZAS.HELLO KITTY"/>
        <s v="PIZARRA 3PZAS.U.DE CHILE"/>
        <s v="PLASTICO BURBUJA ROLLO 1.5MT X 5MT  1 UNIDAD"/>
        <s v="PLASTICO BURBUJA ROLLO 32CM X 1.5MT  1 UNIDAD"/>
        <s v="PORTAMINA 2.0MM SUPER CUTE 1 UNIDAD"/>
        <s v="PORTAMINAS TRIS SUPER COLORS 3 UNID + MINAS + GOMA"/>
        <s v="PORTAMINA 2.0MM SUPER OFFICE 6 UNIDADES"/>
        <s v="PORTAMINA 2.0MM SUPER COLORS SET 6 UNIDADES"/>
        <s v="REPUESTO MINA 0.5MM 2B DISPLAY 12 TUBOS C/24 MINAS"/>
        <s v="PORTAMINA 0.7MM CHIC 1 UNIDAD"/>
        <s v="REPUESTO MINA 0.5MM 2B 1 TUBO C/24 MINAS"/>
        <s v="PORTAMINA 0.7MM TECH PUNTA METAL 1 UNIDAD"/>
        <s v="PORTAMINA 0.5MM TECH 1 UNIDAD"/>
        <s v="PORTAMINA 0.7MM TECH 1 UNIDAD"/>
        <s v="PORTAMINA 0.7MM JELLY 1 UNIDAD"/>
        <s v="PORTAMINA 0.9MM TECH 1 UNIDAD"/>
        <s v="REPUESTO MINA 0.9MM 2B 1 TUBO C/24 MINAS"/>
        <s v="REPUESTO MINA 2.0MM 2B 1 TUBO C/6 MINAS"/>
        <s v="REGLA ESCOLAR DISEÑOS"/>
        <s v="SET GEOMETRICO  30 CMS AVENGERS"/>
        <s v="ROLLO CARTON CORRUGADO 1.20X25 MT"/>
        <s v="ROLLO CARTON CORRUGADO 0.80X10 MT"/>
        <s v="ROLLO CARTON CORRUGADO 0.80X24 MT"/>
        <s v="ROLLO CARTON CORRUGADO 0.6X13 MT"/>
        <s v="ROLLO CARTON CORRUGADO 0.8X13 MT"/>
        <s v="ROLLO CARTON CORRUGADO 0.6X30 MT"/>
        <s v="ROLLO CARTON CORRUGADO 1.20X57 MT 19K"/>
        <s v="ROLLO CARTON CORRUGADO 1.20X73Mt aprox. 25K"/>
        <s v="ROLLO CARTON CORRUGADO 1.20X90 MT 30K"/>
        <s v="SACA CORCHETES PALANCA T064 1 UNIDAD"/>
        <s v="SACAPUNTAS C/DEPOSITO DOBLE TRIANGULAR SU260 SET 4 UNIDADES"/>
        <s v="SACAPUNTAS C/DEPOSITO CILINDRO SU105 DISPLAY 24 UNIDADES"/>
        <s v="SACAPUNTAS C/DEPOSITO DOBLE ESTRELLA SU210 SET 3 UNIDADES"/>
        <s v="SACAPUNTAS C/DEPOSITO DOBLE ESTRELLA SU210"/>
        <s v="SACAPUNTA DISEÑO PINGÜINO SET 4 UNIDADES"/>
        <s v="SACAPUNTAS C/DEPOSITO CORAZON SET 2 UNIDADES"/>
        <s v="SACAPUNTAS C/DEPOSITO DOBLE TRIANG SU260 DISPLAY 12 UNIDADES"/>
        <s v="SACAPUNTAS DISEÑO CERDITO  SET 4 UNIDADES"/>
        <s v="SACAPUNTAS DISEÑO ANIMALITOS SET 3 UND"/>
        <s v="SACAPUNTAS DISEÑO VAQUITA SET 6 UNIDADES"/>
        <s v="SACAPUNTAS C/DEPOSITO SU133 SET 4 UNIDADES"/>
        <s v="SACAPUNTAS C/DEPOSITO SPACE SET 3 UNIDADES"/>
        <s v="SACAPUNTAS C/DEPOSITO CILINDRO SU105 SET 2 UNIDADES"/>
        <s v="SACAPUNTAS C/DEPOSITO CORAZON DISPLAY 24 UNIDADES"/>
        <s v="SACAP.C/DEP. DISEÑO C/GOMA INTERIOR.SU-030 TRIS"/>
        <s v="SACAP. DISEÑOS 679167D"/>
        <s v="ZZ. NO USAR. TEMPERAS BARBIE 12 COLORES"/>
        <s v="FABULOUS SET BARBIE"/>
        <s v="DIARIO MONSTRUOSO MONSTER HIGH"/>
        <s v="FASHION DESIGN MOSNTER HIGH"/>
        <s v="KIT BOX TRIS"/>
        <s v="SET 9 PZS SPIDER"/>
        <s v="SET ACTIVITY BAG BARBIE"/>
        <s v="SET ACTIVITY JOURNAL AVENGERS"/>
        <s v="SET STATIONERY TEN PCS SPIDER"/>
        <s v="SET TUBO ACTIVIDADES AVENGERS"/>
        <s v="SET TUBO ACTIVIDADES BARBIE"/>
        <s v="SET TUBO ACTIVIDADES HOTWHEELS"/>
        <s v="SUPER WEB KIT SPIDERMAN"/>
        <s v="LUXURY SET"/>
        <s v="ZZ. NO USAR. ART &amp; CRAFT"/>
        <s v="ZZ. NO USAR. BOLIGRAFO 4 EN 1 BLS TRIS NIÑA"/>
        <s v="ZZ. NO USAR. DIARIO MONSTRUOSO MONSTER HIGH"/>
        <s v="ZZ. NO USAR. FASHION DESIGN MOSNTER HIGH"/>
        <s v="ZZ. NO USAR. SET 9 PZS SPIDER"/>
        <s v="ZZ. NO USAR. SET PINTAR BARB"/>
        <s v="ZZ. NO USAR. SUPER WEB KIT SPIDER"/>
        <s v="TIJERA ESCOLAR NEON 1 UNIDAD"/>
        <s v="TIJERA SOFT PASTEL DISEÑOS 1 UNIDAD"/>
        <s v="TIJERA ESCOLAR CRAFT 15CM DISEÑOS 4 UNIDADES"/>
        <s v="TIJERA ESCOLAR COMFORT SET 3 UNIDADES"/>
        <s v="TIJERA ESCOLAR CRAFT 15CM 5MM"/>
        <s v="TIJERA ESCOLAR CLASS SET 6 UNIDADES"/>
        <s v="TIJERA ESCOLAR CLUB 1 UNIDAD"/>
        <s v="TIJERA ECONOMICA M."/>
        <s v="TIJERAS DISEÑOS 627717D"/>
        <s v="ZZ. NO USAR. TIJERA ECO.MONSTER HIGH BLIS"/>
        <s v="CORCHETERA MINI QUICKY COLOR 26/6 DISPLAY 12 UNIDADES"/>
        <s v="CORRECTOR 2 EN 1 15ML DISPLAY 6 UNIDADES"/>
        <s v="DESTACADOR LIQEO PASTEL 6 COLORES DISPLAY 36 UNIDADES"/>
        <s v="GOMA DE BORRA JELLY COLORES DISPLAY 24 UNIDADES"/>
        <s v="GOMA DE BORRAR FUTBOL DISPLAY 24 UNIDADES"/>
        <s v="LAPIZ GRAFITO HB DISEÑO PASTEL DISPLAY 72 UNIDADES"/>
        <s v="TIJERA ESCOLAR NEON DISPLAY  24 UNIDADES"/>
        <s v="LAPICES DE COLOR TRIO 12 COLORES"/>
        <s v="LAPICES COLORES 4 UN"/>
        <s v="LAPICES COLORES 2 UN"/>
        <s v="CUADERNO COLLEGE 80 HJS 1 UND"/>
        <s v="CUADERNO COLLEGE 100 HJS 1 UND"/>
        <s v="TIJERA ESCOLAR ZURDO BLISTER 1 UNIDAD"/>
        <s v="LAPICES DE COLOR MEGA SOFT 12 COLORES +LAPIZ GRAF.+SACAPUNTA"/>
        <s v="LAPIZ CORRECTOR 7ML RETOK BLISTER 1 UNIDAD"/>
        <s v="MARCADOR PUNTA GRUESA MEGA JUMBO 6 COLORES"/>
        <s v="CAJA CARTON ENVIOS SB 18x10x8 CM."/>
        <s v="LAPICES DE COLOR MEGA SOFT 36 COLORES 01NEON_01METAL +SACAP"/>
        <s v="GOMA DE BORRAR BASIC N40 SET 3 UNIDADES"/>
        <s v="MARCADOR PUNTA FINA WAVE 6 COLORES"/>
        <s v="GOMA DE BORRAR C/GRIP SCHOOL BLISTER 2 UNIDADES"/>
        <s v="CARPETA PLASTIFICADA CON ACCOCLIP"/>
        <s v="BOLIGRAFO 1.0 MM EXEC AZUL DISPLAY 50 UNIDADES"/>
        <s v="GOMA DE BORRAR BASIC N20 BLISTER 2 UNIDADES"/>
        <s v="GOMA DE BORRAR TWICE BLISTER 2 UNIDADES"/>
        <s v="GOMA DE BORRAR C/PORTAGOMA FIT BLISTER 1 UNIDAD"/>
        <s v="TIJERA ESCOLAR COMFORT 15CM BLISTER 1 UNIDAD"/>
        <s v="GOMA DE BORRAR PUNTA LAPIZ BLANCA SET 6 UNIDADES"/>
        <s v="GOMA DE BORRAR NEON 2 UNIDADES"/>
        <s v="PEGAMENTO GLITTER 23GR. SET 6 COLORES"/>
        <s v="NOTAS AUTOADHES T004 AMARILLO 101X76MM 100HJS"/>
        <s v="LAPIZ GRAFITO TECNICO 6B CAJA 12 UNIDADES"/>
        <s v="CUADERNO UNIVERSITARIO 100 HJS NUOVO 1 UND"/>
        <s v="GOMA DE BORRAR SOFT 2 UNIDADES"/>
        <s v="NOTAS AUTOADHES POP T003 51X38MM 4 BLOCK AMARILLO 400 HJS"/>
        <s v="LAPICES DE COLOR MEGA SOFT 24 COLORES 01NEON_01METAL +SACAP"/>
        <s v="CLIP BULLDOG METALICO 41MM NEGRO DISPLAY 12 UNIDADES"/>
        <s v="CLIP BULLDOG METALICO 51MM NEGRO DISPLAY 12 UNIDADES"/>
        <s v="REGLA FLEXIBLE 30 CM. FLOPPY 1 UNIDAD"/>
        <s v="NOTAS AUTOADHES POP NEON T001 50x50MM 5 COLORES 100HJS"/>
        <s v="CAJA MULTI TV 50-55 PACK 2 UND"/>
        <s v="DISPENSADOR CINTA ADHESIVA T830 BLACK 1 UNIDAD"/>
        <s v="NOTAS AUTOADHES POP MEMO NOTE 130X100MM 1 CUBO 75HJS"/>
        <s v="SET ESCOLAR ROSADO (2GRAFITOS +1SACAPUNTA +1GOMA BORAR)"/>
        <s v="LAPICES DE CERA MEGA OLEO/PASTEL 12 COLORES"/>
        <s v="CORCHETES 23/13 NIQUELADO HEAVY DUTY CAJA 1000 UNIDADES"/>
        <s v="LAPICES DE COLOR MEGA SOFT 48 COLORES 02METAL +SACAPUNTAS"/>
        <s v="PEGAMENTO GLITTER 23GR. BRILLO AZUL DISPLAY 12 UNIDADES"/>
        <s v="TAMPON PARA TIMBRE DE GOMA T160 NR3 AZUL 1 UNIDAD"/>
        <s v="Stickers - Diseño Caritas 15,5x16,25 cm 1 hoja - (N°396)"/>
        <s v="Stickers - Diseño Estrellitas 15,5x16,25 cm 2 hojas - (N°440)"/>
        <s v="Etiqueta marca ropa color - 63x25 mm 16 etiquetas por sobre - (N°2511)"/>
        <s v="LAPICES DE COLOR MEGA ACUARELABLE 36 COLORES +PINC+SACAPUNTA"/>
        <s v="Juego didáctico Reloj sensorial - (N°651)"/>
        <s v="REGLA ESCALIMETRO 30 CM. 1 UNIDAD"/>
        <s v="CORCHETERA METALICA 26/6 T509 BLACK 20HJS 1 UNIDAD"/>
        <s v="LAPIZ GRAFITO 2B C/GOMA BLISTER 4UNIDADES"/>
        <s v="GOMA DE BORRAR NEON DSP 24 UN TRIS"/>
        <s v="LAPICES DE COLOR MEGA ACUARELABLE 12 COLORES +PINC+SACAPUNTA"/>
        <s v="BOLIGRAFO SLIDE AZUL BLISTER 4 UNIDADES"/>
        <s v="Juego didáctico Figuras magnéticas surtidas 13 pzas - (N°730)"/>
        <s v="Juego didáctico Figuras magnéticas surtidas Colores y Formas 40 pzas - (N°732)"/>
        <s v="Juego didáctico Ventosas 24 pzas - Motricidad fina - (N°600)"/>
        <s v="Juego didáctico Torre de encaje y martillo 6 pzas - (N°602)"/>
        <s v="Juego didáctico Ciclos de vida 20 pzas - (N°603)"/>
        <s v="Juego didáctico Tubos conectores 40 pzas - (N°610)"/>
        <s v="Juego didáctico Figuras conectables 60 pzas - (N°611)"/>
        <s v="Juego didáctico Animales conectables 40 pzas - (N°612)"/>
        <s v="Juego didáctico Letras moviles - (N°1220)"/>
        <s v="Juego didáctico Arena mágica color verde - 450 grs 6/moldes - (N°1303)"/>
        <s v="LAPIZ GRAF.C/GOMA DSP.72UN SPID"/>
        <s v="BASIC SET (SACAP+GOMA) SPIDER"/>
        <s v="REGLA 30 CMS. SPIDER"/>
        <s v="TIJERA ESC.C/ESTUCHE  SPIDER"/>
        <s v="GOMA DE BORRAR DSP.24UN SPIDER"/>
        <s v="GRIP GEL ROLLER BLIS.5 PCS TRIS"/>
        <s v="GRIP GEL ROLLER DSP.36UN TRIS"/>
        <s v="SET DE ESCRITURA -SURTIDO LICENCIAS"/>
        <s v="SUJETADOR DE PAPEL CJA.5UN -SU307 TRIS"/>
        <s v="ACUARELA MEGA COLOR ESTUCHE 12 COLORES"/>
        <s v="TINTA GUACHE CLASICA TUBO-PINCEL SET 6 COLORES"/>
        <s v="ACUARELA COLORES TRIS 12 COLORES"/>
        <s v="ACUARELA 12 COLORES BARBIE"/>
        <s v="ACUARELA 12 COLORES HOTWHEELS"/>
        <s v="BASIC SET (SACAP+GOMA) CLASSIC"/>
        <s v="BASIC SET (SACAP+GOMA) NEON"/>
        <s v="BASIC SET (SACAP+GOMA) DRIVE TRIS"/>
        <s v="BASIC SET (SACAP+GOMA) FISH SET"/>
        <s v="BASIC SET (SACAP+GOMA) PINGÜINO TRIS"/>
        <s v="BASIC SET (SACAP+GOMA) RATONCITO TRIS"/>
        <s v="BASIC SET (SACAP+GOMA) SCHOOL TRIS"/>
        <s v="BASIC SET (SACAP+GOMA) VAQUITA TRIS"/>
        <s v="BASIC SET (SACAP+GOMA) CARS"/>
        <s v="BASIC SET (SACAP+GOMA) HOTW"/>
        <s v="BASIC SET (SACAP + GOMA) STEEL"/>
        <s v="BASIC SET (SACAP+GOMA) AV"/>
        <s v="BASIC SET (SACAP+GOMA) BARB"/>
        <s v="BASIC SET (SACAP+GOMA) BARBIE"/>
        <s v="BASIC SET (SACAP+GOMA) BLIS. MICK"/>
        <s v="BASIC SET (SACAP+GOMA) FROZEN"/>
        <s v="BASIC SET (SACAP+GOMA) HADA"/>
        <s v="BASIC SET (SACAP+GOMA) M.HIGH"/>
        <s v="BASIC SET (SACAP+GOMA) M.UNIV"/>
        <s v="BASIC SET (SACAP+GOMA) MARIE"/>
        <s v="BASIC SET (SACAP+GOMA) MAXS"/>
        <s v="BASIC SET (SACAP+GOMA) MINN"/>
        <s v="BASIC SET (SACAP+GOMA) MINNIE B"/>
        <s v="BASIC SET (SACAP+GOMA) PLANES"/>
        <s v="BASIC SET (SACAP+GOMA) POLLY"/>
        <s v="BASIC SET (SACAP+GOMA) PRN"/>
        <s v="BASIC SET (SACAP+GOMA) SIMPSON"/>
        <s v="BASIC SET (SACAP+GOMA) SPID"/>
        <s v="BASIC SET (SACAP+GOMA) SPID ULT"/>
        <s v="BASIC SET (SACAP+GOMA) SPIDER A."/>
        <s v="BASIC SET (SACAP+GOMA) STAR WARS"/>
        <s v="BASIC SET (SACAP+GOMA) STAR WARS BRZ"/>
        <s v="BASIC SET (SACAP+GOMA) TOYS"/>
        <s v="BASIC SET TOP (SACAP+GOMA) FROZ"/>
        <s v="BOLIGRAFO GEL LOVE COLORES SURTIDOS DISPLAY 24 UNIDADES"/>
        <s v="BOLIGRAFO 0.7MM SLIDE COLORES BLISTER 4 UNIDADES"/>
        <s v="BOLIGRAFO 1.0MM COMFORT AZUL DISPLAY 12 UNIDADES"/>
        <s v="BOLIGRAFO 1.0MM COMFORT COLORES BLISTER 3 UNIDADES"/>
        <s v="BOLIGRAFO SLIDE 1.0 MM AZUL/NEGRO/ROJO BLISTER 4 UNIDADES"/>
        <s v="BOLIGRAFO GEL NEON/PASTEL DISPLAY 50 UNIDADES"/>
        <s v="BOLIGRAFO FINELINER PASTEL 6 UND +4 UND MINI DESTACADOR"/>
        <s v="BOLIGRAFO 1.0MM DISEÑO PUNTITOS 4 COLORES SET 6 UNIDADES"/>
        <s v="BOLIGRAFO GEL EFECTO NEON SET 4 COLORES"/>
        <s v="BOLIGRAFO SLIDE FASHION BLISTER 4 UNIDADES"/>
        <s v="BOLIGRAFO 1.0 MM EXEC AZUL SET 10 UNIDADES"/>
        <s v="BOLIG. 4 EN 1 DISEÑOS"/>
        <s v="BOLIG.FINELINER FUSION AZUL DSP. 12UN. TRIS"/>
        <s v="BOLIG.FINELINER FUSION NEGRO DSP.12UN TRIS"/>
        <s v="BOLIG.GEL EFECTO NEON DSP.50UN TRIS"/>
        <s v="BOLIG.GEL GLITTER AROMA SET 06COL. TRIS"/>
        <s v="BOLIG.GEL GLITTER GOLD DSP.12UN TRIS"/>
        <s v="BOLIG.GEL GLITTER SILVER DSP.12UN TRIS"/>
        <s v="BOLIG.GEL METALIC SET 06 COL.TRIS"/>
        <s v="BOLIG.GEL MINI GLITTER DSP. 12UN 6COL.TRIS"/>
        <s v="BOLIG.SUPER FINA TRIS LIQEO PASTEL SET 6 COL"/>
        <s v="BOLIGRAFO 4 COLORES 1.0 MM  MIX FASHION BLS 1 UN TRIS"/>
        <s v="BOLIGRAFO 4 EN 1 BLS TRIS NIÑA"/>
        <s v="BOLIGRAFO 4 EN 1 BLS TRIS NIÑO"/>
        <s v="BOLIGRAFO 4 EN 1 DISEÑOS NIÑA"/>
        <s v="BOLIGRAFO 4 EN 1 DISEÑOS NIÑO"/>
        <s v="BOLIGRAFO 4 EN 1 DSP TRIS NIÑA"/>
        <s v="BOLIGRAFO BOSS DSP.12 TRIS"/>
        <s v="BOLIGRAFO COMFORT NEGRO DSP 12 UN TRIS"/>
        <s v="BOLIGRAFO COMFORT ROJO DSP 12 UN TRIS"/>
        <s v="BOLIGRAFO FINELINER SOFTMAX CJ 10COL. TRIS"/>
        <s v="BOLIGRAFO FINELINER SOFTMAX CJ 12COL. TRIS"/>
        <s v="BOLIGRAFO FINELINER SOFTMAX ST 12COL. TRIS"/>
        <s v="BOLIGRAFO GEL EFFECT NEON METAL SURT POTE 50 UN TRIS"/>
        <s v="BOLIGRAFO RETRAC SLIDE 0.7MM NGR 2 UN TRIS BRZ"/>
        <s v="BOLIGRAFO RETRACTIL CONFORT AZ/RO 1.0MM BLS 2 UN TRIS"/>
        <s v="BOLIGRAFO RETRACTIL CONFORT AZUL 1.0MM BLS 1 UN TRIS"/>
        <s v="BOLIGRAFO RETRACTIL SLIDE COL SURT 0.7 MM DSP 12 UN TRIS"/>
        <s v="BOLIGRAFO RETRACTIL SLIDE FASHION 0.7MM BLS 4UN TRIS"/>
        <s v="BOLIGRAFO ROLLER TRIS EXPRESS AZUL C/12 UN"/>
        <s v="BOLIGRAFO ROLLER TRIS EXPRESS NEGRO C/12 UN"/>
        <s v="BOLIGRAFO ROLLER TRIS EXPRESS ROJO C/12 UN"/>
        <s v="BOLIGRAFO SIX 1.0 MM NEGRO DSP 50UN TRIS"/>
        <s v="BOLIGRAFO SIX 1.0 MM ROJO DSP 50UN TRIS"/>
        <s v="BOLIGRAFO SLIDE 0.7 MM AZUL BLISTER 4 UNIDADES"/>
        <s v="BOLIGRAFO SLIDE POP RETRACTIL DSP 12 UND TRIS"/>
        <s v="BOLIGRAFO SLIDE RETRACTIL AZUL 0.7 MM DSP 12 UN TRIS"/>
        <s v="BOLIGRAFO SLIDE RETRACTIL NEGRO 0.7 MM DSP 12 0"/>
        <s v="BOLIGRAFO SLIM ROJO DSP.50 TRIS"/>
        <s v="BOLIGRAFO TRIS CLASSIC DSP.24UN AZUL"/>
        <s v="BOLIGRAFO TRIS CLASSIC DSP.24UN NEGRO"/>
        <s v="BOLIGRAFO TRIS CLASSIC ROJO C/24 UN"/>
        <s v="BOLIGRAFO TRIS QUATTRO BOX W/ 12 PCS"/>
        <s v="BOLIGRAFO TRIS SET 3 UNIDADES"/>
        <s v="BOLIGRAFO TRIS SLIM DSP.50UN AZUL"/>
        <s v="BOLIGRAFO TRIS SLIM DSP.50UN NEGRO"/>
        <s v="BOLIGRAFP FINELINER SOFTMAX ST 06COL. TRIS"/>
        <s v="COMPAS ESCOLAR SU180 DSP 24 UN TRIS"/>
        <s v="SET ESCRITURA DISEÑOS"/>
        <s v="TRIS BOLIGRAFO FINELINER 12 UN"/>
        <s v="BOLIGRAFO 1.0 MM EXEC ROJO DISPLAY 50 UNIDADES"/>
        <s v="BOLIG.MINI PERFUMADO 06COL.DSP.12UN HADA"/>
        <s v="BOLIGRAFO 2 UN BLS SPID"/>
        <s v="BOLIGRAFO 3 EN 1 BLS BARB"/>
        <s v="BOLIGRAFO 3 EN 1 BLS MONSTER HIGH"/>
        <s v="BOLIGRAFO 3 EN 1 BLS SPIDER"/>
        <s v="BOLIGRAFO 3 EN 1 DSP 12 UN SPIDER"/>
        <s v="BOLIGRAFO 3 EN 1 DSP BARB"/>
        <s v="BOLIGRAFO 3 EN 1 DSP MONSTER HIGH"/>
        <s v="BOLIGRAFO 3 EN 1 UNIDAD MONSTER HIGH"/>
        <s v="BOLIGRAFO 4 EN 1 BLISTER BARBIE"/>
        <s v="BOLIGRAFO 4 EN 1 BLISTER MARIE"/>
        <s v="BOLIGRAFO 4 EN 1 BLS AVENGERS"/>
        <s v="BOLIGRAFO 4 EN 1 BLS SPIDER"/>
        <s v="BOLIGRAFO 4 EN 1 DISP. 12UN HADA"/>
        <s v="BOLIGRAFO 4 EN 1 DSP A.BIRD"/>
        <s v="BOLIGRAFO 4 EN 1 DSP AVENGERS"/>
        <s v="BOLIGRAFO 4 EN 1 DSP BARB"/>
        <s v="BOLIGRAFO 4 EN 1 DSP MARIE"/>
        <s v="BOLIGRAFO 4 EN 1 DSP SPIDER"/>
        <s v="BOLIGRAFO 4 TINTAS"/>
        <s v="BOLIGRAFO 4 TINTAS BLIS. CARS"/>
        <s v="BOLIGRAFO 4 TINTAS BLIS. M.UNIV"/>
        <s v="BOLIGRAFO 4 TINTAS BLIS. MARIE"/>
        <s v="BOLIGRAFO 4 TINTAS BLIS. PRIN"/>
        <s v="BOLIGRAFO 4 TINTAS BLIS. SPIDER"/>
        <s v="BOLIGRAFO 4 TINTAS BLIS. SPIDER A"/>
        <s v="BOLIGRAFO 4 TINTAS DSP 12UN CARS"/>
        <s v="BOLIGRAFO 4 TINTAS DSP.12UN MARIE"/>
        <s v="BOLIGRAFO 4 TINTAS DSP.12UN PRIN"/>
        <s v="BOLIGRAFO 4 TINTAS DSP.12UN SPID"/>
        <s v="BOLIGRAFO 5 EN 1 BLIS HADAS"/>
        <s v="BOLIGRAFO 5 EN 1 BLIS MARIE"/>
        <s v="BOLIGRAFO 5 EN 1 BLIS MINNI"/>
        <s v="BOLIGRAFO 5 EN 1 BLIS PRIN"/>
        <s v="BOLIGRAFO 5 EN 1 BLIS TOYS"/>
        <s v="BOLIGRAFO 5 EN 1 DISP. 12UN HADA"/>
        <s v="BOLIGRAFO 5 EN 1 DISP. 12UN MARIE"/>
        <s v="BOLIGRAFO 5 EN 1 DISP. 12UN PRIN"/>
        <s v="BOLIGRAFO 5 EN 1 DISP. 12UN TOYS"/>
        <s v="BOLIGRAFO 5 EN 1 UNIT. MARIE"/>
        <s v="BOLIGRAFO BLIS.SPACE TOY STORY"/>
        <s v="BOLIGRAFO BLIS.SPEED HOTW"/>
        <s v="BOLIGRAFO BLIS.TURBO CARS"/>
        <s v="BOLIGRAFO CLIP 2 UN FROZEN"/>
        <s v="BOLIGRAFO DSP.12 UN TOP MARIE"/>
        <s v="BOLIGRAFO DSP.24 UN FASHION BARBIE"/>
        <s v="BOLIGRAFO DSP.24 UN FASHION MARIE"/>
        <s v="BOLIGRAFO DSP.24 UN SCARS M.HIGH"/>
        <s v="BOLIGRAFO DSP.24 UN SPIIED HOTW"/>
        <s v="BOLIGRAFO DSP.24 UN TURBO CARS"/>
        <s v="BOLIGRAFO GEL FROZEN"/>
        <s v="BOLIGRAFO LUZ+MINILIBRETA FROZ"/>
        <s v="BOLIGRAFO MINI PERFUMADO DISP.12 MARIE"/>
        <s v="BOLIGRAFO MINI PERFUMADO MARIE"/>
        <s v="BOLIGRAFO SET 2 UN ANGRY BIRDS"/>
        <s v="BOLIGRAFO SET 2 UN AVEN"/>
        <s v="BOLIGRAFO SET 2 UN CARS"/>
        <s v="BOLIGRAFO SET 2 UN FASHION BARBIE"/>
        <s v="BOLIGRAFO SET 2 UN FROZ"/>
        <s v="BOLIGRAFO SET 2 UN MAGIC HADAS"/>
        <s v="BOLIGRAFO SET 2 UN MARIE"/>
        <s v="BOLIGRAFO SET 2 UN PRIN"/>
        <s v="BOLIGRAFO SET 2 UN SCARS MONTER.H"/>
        <s v="BOLIGRAFO SET 2 UN SIMPSON"/>
        <s v="BOLIGRAFO SET 2 UN SPEED HOT WHEELS"/>
        <s v="BOLIGRAFO SET 2 UN STAR WARS"/>
        <s v="BOLIGRAFO STYLE 2UN STAR WARS"/>
        <s v="KIT BOLIGRAFO + PORTAMINA BLISTER SPIDERMAN"/>
        <s v="MINI BOLIGRAFO DSP.12 UN PRINCESAS"/>
        <s v="MINI BOLIGRAFO+PORTAMINA DSP.12 UN MARIE"/>
        <s v="MINI BOLIGRAFO+PORTAMINA DSP.12 UN PRINCESAS"/>
        <s v="SET 2 LAP. MINI"/>
        <s v="BORRADOR PIZARRA MAGNETICO"/>
        <s v="CAJAS AUTO-ARMABLES SURTIDO"/>
        <s v="CAJA ESCOLAR FROZEN"/>
        <s v="CAJA ESCOLAR MARIE"/>
        <s v="CAJA ORGANIZADORA  LICENCIAS PRIN"/>
        <s v="CAJA ORGANIZORA  SPIDERMAN"/>
        <s v="CAJA CARTON CORRUGADO 60x40x40 PACK 5 UND"/>
        <s v="CAJA CARTON S/IMPRESION 60x40x40 PACK 1 UND"/>
        <s v="CARTON ACOLCHADO 40x60 CM  5 UND"/>
        <s v="ROLLO CARTON ACOLCHADO 40cmx5mt 1 UND"/>
        <s v="ROLLO CARTON ACOLCHADO 40x120cm 5 UND"/>
        <s v="CAJA CARTON CORRUGADO 50x30x30 PACK 5 UND"/>
        <s v="CAJA CARTON CORRUGADO 50x40x30 "/>
        <s v="CAJA CARTON CORRUGADO 60x40x40 "/>
        <s v="CAJA CARTON CORRUGADO 47x31x31 "/>
        <s v="CAJA CARTON CORRUGADO 60x60x50 CM "/>
        <s v="CAJA CARTON PISQUERA 31x23x31 CM"/>
        <s v="CAJA CARTON ENVIOS 25x17x13 CM"/>
        <s v="CAJA CARTON 45X35X30  CM"/>
        <s v="CALCULADORA 8 DIGIT T400 NEGRO TRIS BRZ"/>
        <s v="CALCULADORA DE BOLSILLO TRIS.CALC - TRIS"/>
        <s v="CALCULADORA DE MESA UFFIZI C005"/>
        <s v="CALCULADORA DE MESA UFFIZI C015"/>
        <s v="PACK 1 SOLUCION CARPETAS"/>
        <s v="PACK 2 SOLUCION CARPETAS"/>
        <s v="PACK 3 SOLUCION CARPETAS"/>
        <s v="CARTONERO PLASTICO T016 LAMINA 18MM 1 UNIDAD"/>
        <s v="CARTONERO PLASTICO T016 LAMINA 18MM DISPLAY 12 UNIDADES"/>
        <s v="CARTONERO PLASTICO T016 LAMINA ANCHA 3 UNIDADES"/>
        <s v="CARTONERO PROFESIONAL T018 LAMINA 8MM BLISTER 1 UNIDAD"/>
        <s v="CARTONERO PROFESIONAL T019 LAMINA 18MM BLISTER 1 UNIDAD"/>
        <s v="REPUESTO CARTONERO LAMINA 18MM T017 1 TUBO C/10 LAMINAS"/>
        <s v="REPUESTO CARTONERO LAMINA 18MM T017 10 TUBOS 10 LAMINAS"/>
        <s v="CATALOGO TRIS"/>
        <s v="LAPICES DE CERA MEGA GEL RETRACTIL TWIST C/AROMA 12 COLORES"/>
        <s v="LAPICES DE CERA JUMBO RETRACTIL TWIST 12 COLORES"/>
        <s v="LAPICES DE CERA RETRACTIL FRUITS C/AROMA 12 COLORES"/>
        <s v="LAPICES DE CERA RETRACTIL TWIST 12 COLORES"/>
        <s v="LAPICES DE CERA TRIANGULAR JUMBO 12 COLORES"/>
        <s v="LAPIZ CERA TWIST SET 12COL.TRIS"/>
        <s v="LAPIZ CERA 12 COLORES BARBIE"/>
        <s v="LAPIZ CERA 12 COLORES HOTWHEELS"/>
        <s v="10 FINGER CRAYONES F. PRICE"/>
        <s v="LAP. CERA DISEÑOS"/>
        <s v="LAP. CERA GR. 12 COLORES"/>
        <s v="LAP.CERA 3D"/>
        <s v="LAPIZ CERA FINO SET 12 COL.BARBIE"/>
        <s v="LAPIZ CERA FINO SET 12 COL.CARS"/>
        <s v="LAPIZ CERA FINO SET 12 COL.HOTW"/>
        <s v="LAPIZ CERA FINO SET 12 COL.MARIE"/>
        <s v="LAPIZ CERA FINO SET 12 COL.PRIN"/>
        <s v="LAPIZ CERA GR. 12 COL.A.BIRDS"/>
        <s v="LAPIZ CERA GR. 12 COL.AVENGERS"/>
        <s v="LAPIZ CERA GR. 12 COL.BARB"/>
        <s v="LAPIZ CERA GR. 12 COL.CARS"/>
        <s v="LAPIZ CERA GR. 12 COL.M.UNIV"/>
        <s v="LAPIZ CERA GR. 12 COL.MARI"/>
        <s v="LAPIZ CERA GR. 12 COL.MINNI"/>
        <s v="LAPIZ CERA GR. 12 COL.MINNI B"/>
        <s v="LAPIZ CERA GR. 12 COL.PLANES"/>
        <s v="LAPIZ CERA GR. 12 COL.PRIN"/>
        <s v="LAPIZ CERA GR. 12 COL.SPID"/>
        <s v="LAPIZ CERA GR. 12 COL.TOYS"/>
        <s v="LAPIZ CERA TWIST SET 12 COL.BARB"/>
        <s v="LAPIZ CERA TWIST SET 12COL.BARB"/>
        <s v="LAPIZ CERA TWIST SET 12COL.CARS"/>
        <s v="LAPIZ CERA TWIST SET 12COL.HOTW"/>
        <s v="LAPIZ CERA TWIST SET 12COL.MARIE"/>
        <s v="LAPIZ CERA TWIST SET 12COL.MINN"/>
        <s v="LAPIZ CERA TWIST SET 12COL.PRIN"/>
        <s v="CLIP BULLDOG METALICO 32MM NEGRO DISPLAY 12 UNIDADES"/>
        <s v="CLIP BULLDOG METALICO 25MM COLORES DISPLAY 48 UNIDADES"/>
        <s v="CLIP BULLDOG METALICO 19MM PASTEL DISPLAY 40 UNIDADES"/>
        <s v="CLIP BULLDOG METALICO 32MM PASTEL DISPLAY 24 UNIDADES"/>
        <s v="LAPICES DE COLOR MEGA SOFT 60 COLORES 02METAL +SACAPUNTAS"/>
        <s v="LAPICES DE COLOR MEGA SOFT 12 COLORES ESTUCHE METAL"/>
        <s v="LAPICES DE COLOR MEGA ACUARELABLE 24 COLORES +PINC+SACAPUNTA"/>
        <s v="LAPICES DE COLOR MEGA SOFT TONOS PASTEL 12 COLORES"/>
        <s v="LAPICES DE COLOR MEGA SOFT TONOS PIEL 12 COLORES"/>
        <s v="LAP. COLOR ARCOIRIS JUMBO DSP 24 UN TRIS"/>
        <s v="LAPICES DE COLOR MEGA SOFT 12 COLORES JUMBO +SACAPUNTAS"/>
        <s v="LAPICES DE COLOR MEGA SOFT 24 COLORES DOBLES +1NEON+SACAPUNT"/>
        <s v="LAP. COLOR 12 COLORES JUDY BRZ"/>
        <s v="LAP. COLOR 12 COLORES MOANA BRZ"/>
        <s v="LAP.COLOR ACUARELABLE 12 COL. +PINCEL TRIS"/>
        <s v="LAP.COLOR ACUARELABLE 24 COL. +PINCEL TRIS"/>
        <s v="LAP.COLOR DOBLES TWIST SET 24COL.TRIS"/>
        <s v="LAP.COLOR GR.125 MM TRIS"/>
        <s v="LAP.COLOR METALICOS SET 12 COL. TRIS"/>
        <s v="LAP.COLOR HOTW"/>
        <s v="LAP.COLOR BARBIE PETS"/>
        <s v="LAP. COLOR FROZEN"/>
        <s v="LAP. COLOR SIMPSON"/>
        <s v="LAP.COLOR"/>
        <s v="LAP.COLOR + SACAP. PLANES"/>
        <s v="LAP.COLOR 12 COL.DOBLE M.UNIV"/>
        <s v="LAP.COLOR ANGRY BIRDS"/>
        <s v="LAP.COLOR AV"/>
        <s v="LAP.COLOR BARBIE +2"/>
        <s v="LAP.COLOR CARS"/>
        <s v="LAP.COLOR DOBLE SET 24 COL. POLL"/>
        <s v="LAP.COLOR HADAS"/>
        <s v="LAP.COLOR MARIE"/>
        <s v="LAP.COLOR MAXS"/>
        <s v="LAP.COLOR MINNIE"/>
        <s v="LAP.COLOR MINNIE B."/>
        <s v="LAP.COLOR MONSTER HIGH"/>
        <s v="LAP.COLOR PRIN"/>
        <s v="LAP.COLOR SPIDER A."/>
        <s v="LAP.COLOR TOYS"/>
        <s v="LAP.COLORES JUMBO TRIANG.12 UN PRINCESAS"/>
        <s v="LAPICES DE COLORES 12 UN HADAS"/>
        <s v="ZZ. NO USAR. LAP. COLOR PRINCESAS"/>
        <s v="ZZ. NO USAR. LAP.COLOR FROZ BRZ"/>
        <s v="ZZ. NO USAR. MECH SET 3PZAS. MINN"/>
        <s v="COMPAS SU185 CAJA ACRILICA 1 UNIDAD"/>
        <s v="COMPAS SU123 ESCOLAR 1 UNIDAD"/>
        <s v="COMPAS ESCOLAR CON TIRALINEAS SU-048 TRIS"/>
        <s v="COMPAS SU189 1UN TRIS BRZ"/>
        <s v="COMPAS TECNICO CON TIRALINEAS SU-604 TRIS"/>
        <s v="PACK MESA NAVIDEÑA 56 PIEZAS - MANTEL, SERVILLETA, CONFETTI"/>
        <s v="PLATO 18cms 2 SET DE 8 und C/U - descartables"/>
        <s v="CUBIERTO SURTIDO COLORES 18 UND"/>
        <s v="MONDADIENTES PLASTICO DISENO ESTRELLA 200 UND"/>
        <s v="CONFETTI COLORES PAPEL METALIZADO"/>
        <s v="MANTEL PLASTICO ROJO 137x274 cm"/>
        <s v="MANTEL PLASTICO VERDE ESMERALDA 137x274 cm"/>
        <s v="SERVILETAS NAVIDAD DISEÑOS"/>
        <s v="CONFETTI METÁLICO NAVIDAD"/>
        <s v="Set fiesta desechable 82 pzas - 16 pers-color verderojo"/>
        <s v="SET COMIDA NAVIDAD 16 pers. DESCARTABLE - 82 pzas-verde/rojo"/>
        <s v="PLATO NAVIDAD DISEÑO ÁRBOL 18 CMS - 8 UND - DESCARTABLE"/>
        <s v="SERVILLETAS LISAS COLORES"/>
        <s v="SET COMIDA NAVIDAD 24 PERS. DESCARTABLE  110 PZAS"/>
        <s v="CORCHETERA 26/6 T304 6.8CM 12HJS BCO/NEG 1 UNIDAD"/>
        <s v="CORCHETERA METALICA T329 26/6 TIPO ALICATE 20HJS 1 UNIDAD"/>
        <s v="CORCHETERA METALICA 26/6 T314S BLACK 40HJS 1 UNIDAD"/>
        <s v="CORCHETERA METALICA T100 26/6-13 BLACK HDUTY 1OOHJS 1 UNIDAD"/>
        <s v="CORCHETERA METALICA T900 106.8 PROFESIONALESIONAL 1 UNIDAD"/>
        <s v="CORCHETERA G325 (26/6) NEGRO UFIZZI"/>
        <s v="CORCHETERA TRIS 26/6 DSP.12 UN MINI"/>
        <s v="CORCHETERA UFFIZI G316 (26/6) NEGRO UN"/>
        <s v="CORCHETERA UFFIZI G323 BLANCO"/>
        <s v="KIT CORCHETERA + 500 UN CORCHETES"/>
        <s v="CORCHETES 26/6 PLATEADO CAJA 1000 UNIDADES"/>
        <s v="CORCHETES  26/6 5000 UNIDADES"/>
        <s v="CORCHETE UFFIZI 26/6 C/1000 UN"/>
        <s v="CORCHETE UFFIZI 26/6 CJA.5000 UN"/>
        <s v="LAPIZ CORRECTOR 4ML RETOK MINI BLISTER 1 UNIDAD"/>
        <s v="CORRECTOR CINTA T025 8MX5MM BLISTER 1 UNIDAD"/>
        <s v="CORRECTOR CINTA T006 6MT BLISTER 1 UNIDAD"/>
        <s v="CORRECTOR CINTA T012 12MT BLS 1 UN TRIS"/>
        <s v="LAPIZ CORRECTOR TRIS"/>
        <s v="CINTA CORRECTORA MARIE"/>
        <s v="LAPIZ CORRECTOR BARBIE"/>
        <s v="LAPIZ CORRECTOR HADA."/>
        <s v="LAPIZ CORRECTOR HOTW."/>
        <s v="LAPIZ CORRECTOR MARIE"/>
        <s v="LAPIZ CORRECTOR MONSTER"/>
        <s v="LAPIZ CORRECTOR PRINCESAS"/>
        <s v="LAPIZ CORRECTOR SPIDER"/>
        <s v="CRAFT SET BLS 7 PCS BARB"/>
        <s v="CRAFT SET BLS 7 PCS CARS"/>
        <s v="CRAFT SET BLS 7 PCS PRIN"/>
        <s v="CUADERNO UNIVERSITARIO 100 HJS PROARTE 1 UND"/>
        <s v="CUADERNO UNIVERSITARIO 100 HJS ROSS 1 UND"/>
        <s v="CUADERNO UNIVERSITARIO 100 HJS DISENO WOODSTOCK PACK 10 UND"/>
        <s v="PACK 1 SOLUCION CUADERNOS"/>
        <s v="PACK 2 SOLUCION CUADERNOS"/>
        <s v="PACK 3 SOLUCION CUADERNOS"/>
        <s v="PACK 4 SOLUCION CUADERNOS"/>
        <s v="PACK 5 SOLUCION CUADERNOS"/>
        <s v="CUBO HADAS"/>
        <s v="CUBO MARIE"/>
        <s v="CUBO MINNIE"/>
        <s v="CUBO PRINCESAS"/>
        <s v="DESTACADOR FLASH SET 4 COLORES"/>
        <s v="DESTACADOR LIQEO PASTEL COLOR AMARILLO 1 UN TRIS"/>
        <s v="DESTACADOR LIQEO PASTEL COLOR NARANJO 1 UN TRIS"/>
        <s v="DESTACADOR FLASH 4 COLORES DISPLAY 12 UNIDADES"/>
        <s v="DESTACADOR TRIS GEL TWIST"/>
        <s v="DESTACADOR TRIS MINI   DSP.12 UN EST.6 COL"/>
        <s v="ART AND CRAFT SURTIDOS TRIS"/>
        <s v="DISENA TU CUADRO DE STICKERS TRIS"/>
        <s v="DISENA TU CUP CAKE ARTISTICO TRIS"/>
        <s v="DISENA TU PESCADITO DE SEDA TRIS"/>
        <s v="DISENA TU ROMPECABEZAS PATITO DUCK"/>
        <s v="DISENA TU ROMPECABEZAS UNICORNIO MAGICO TRIS"/>
        <s v="DISEÑA Y DIVIERTETE CON TRIS"/>
        <s v="CRAYONES + BLOCK DE DIBUJO FISHER PRICE"/>
        <s v="BOLSA TRIS T02"/>
        <s v="BOLSA TRIS T03"/>
        <s v="BOLSA TRIS T04"/>
        <s v="BOLSA TRIS T07"/>
        <s v="BOLSA TRIS T09"/>
        <s v="CAJAS EMPAQUE PRODUCTOS TRIS"/>
        <s v="ESQUINERO CARTON 4.5x4.5x195 CM 2MM"/>
        <s v="ESTUCHE FORMA LAPIZ CON ACC STARW"/>
        <s v="ESTUCHE LARGE"/>
        <s v="ESTUCHE MEDIUM"/>
        <s v="ESTUCHE REDONDO NIÑO/NIÑA"/>
        <s v="ESTUCHES VARIEDAD DISEÑOS RIO"/>
        <s v="PVC CASE RIO"/>
        <s v="PVC CASE SPIDERMAN SPIDER"/>
        <s v="PVC CASE STATIONERY ANGRY BIRDS"/>
        <s v="PVC CASE STATIONERY AVENGERS"/>
        <s v="SET STATIONERY ESTUCHE AVENGERS"/>
        <s v="SET STATIONERY ESTUCHE SPIDER"/>
        <s v="SET STATIONERY METAL AVENGERS"/>
        <s v="SET STATIONERY METAL BARBIE"/>
        <s v="SET STATIONERY METAL HADAS"/>
        <s v="SET STATIONERY METAL SPID"/>
        <s v="SET STATIONERY METAL STAR WARS"/>
        <s v="SPEED SET HOT WHEELS"/>
        <s v="ETIQUETA ADHESIVA 100X50mm IMPRESA 1 COLOR"/>
        <s v="EXHIBIDOR  (DESECHABLE)"/>
        <s v="EXHIBIDOR ACRILICO SOBREMESA"/>
        <s v="PDQ NIÑO TRIS  2050001339034"/>
        <s v="EXHIBIDOR DOBLE PRINCESAS"/>
        <s v="EXHIBIDOR DOBLE TOY STORY"/>
        <s v="EXHIBIDOR LARGO CON GANCHERAS - HADAS"/>
        <s v="RETIRO DEVOLUCION CLIENTE - UNIDADES POR DETERMINAR"/>
        <s v="GOMA DE BORRAR C/PORTAGOMA FIT DISPLAY 24 UNIDADES"/>
        <s v="GOMA DE BORRAR COLOR DRIVE POTE 18 UN TRIS"/>
        <s v="GOMA DE BORRAR N60 BASIC DSP 6O UN TRIS"/>
        <s v="GOMA DE BORAR SPACE DSP 24 UN TRIS"/>
        <s v="GOMA DE BORRAR COLORS DSP 24 UN TRIS"/>
        <s v="GOMA DE BORRAR CUTE FRIEND 2UN DSP 18 UN  TRIS"/>
        <s v="GOMA DE BORRAR FLEX DSP.24UN TRIS"/>
        <s v="GOMA DE BORRAR HAPPY DSP.24UN TRIS"/>
        <s v="GOMA DE BORRAR PENDRIVE DSP.18UN TRIS"/>
        <s v="GOMA DE BORRAR POP COLORS DSP 24 UN TRIS"/>
        <s v="GOMA DE BORRAR REPUESTO LAP.GOMA DSP.50 UN"/>
        <s v="GOMA DE BORRAR SET 2 UN FIT FLOR"/>
        <s v="GOMA DE BORRAR SET 2 UN FORM"/>
        <s v="GOMA DE BORRAR TRIS COLLECTION GALAXY DSP 24 UN"/>
        <s v="LAPIZ GOMA DSP.36UN TRIS"/>
        <s v="GOMA DE BORRAR DSP.24UN BARB"/>
        <s v="GOMA DE BORRAR DSP.24UN CARS"/>
        <s v="GOMA DE BORRAR DSP.24UN FROZ"/>
        <s v="GOMA DE BORRAR DSP.24UN HADA"/>
        <s v="GOMA DE BORRAR DSP.24UN HOTW"/>
        <s v="GOMA DE BORRAR DSP.24UN MARIE"/>
        <s v="GOMA DE BORRAR DSP.24UN MAXS"/>
        <s v="GOMA DE BORRAR DSP.24UN MINN"/>
        <s v="GOMA DE BORRAR DSP.24UN MINN (BOUTIQUE)"/>
        <s v="GOMA DE BORRAR DSP.24UN MONS"/>
        <s v="GOMA DE BORRAR DSP.24UN POLLY"/>
        <s v="GOMA DE BORRAR DSP.24UN PRIN"/>
        <s v="GOMA DE BORRAR DSP.24UN TOYS"/>
        <s v="GOMA DE BORRAR POTE 24 UN TOP BARBIE"/>
        <s v="GOMA DE BORRAR SET 3 UN"/>
        <s v="GOMA DE BORRAR SET 3 UN SIMPSON"/>
        <s v="GOMA DE BORRAR SET DISENOS BARBIE"/>
        <s v="GOMA LAP. LABIAL DSP 20 UN MARIE"/>
        <s v="GOMA LAP. LABIAL DSP 20 UN PRINCESAS"/>
        <s v="LAPIZ GOMA + 2 RPTOS BLIS.BARBIE"/>
        <s v="LAPIZ GOMA C/AROMA DSP.12 HADAS"/>
        <s v="LAPIZ GOMA C/AROMA DSP.12 MARIE"/>
        <s v="LAPIZ GOMA+RPTO"/>
        <s v="SET 2 GOMAS MONSTER HIGH"/>
        <s v="SET 2 GOMAS PRINC"/>
        <s v="SET 2 GOMAS SPIDER"/>
        <s v="SET 4 GOMAS BLIS. PRIN"/>
        <s v="SET GOMA DE BORRAR 3 UN MINNIE"/>
        <s v="SET GOMAS 4 UN. MONSTER UNIV."/>
        <s v="ZZ. NO USAR. PRACTICAL SET SPIDERMAN"/>
        <s v="LAPIZ GRAFITO 2B S/GOMA BLS 4 UND"/>
        <s v="LAPIZ GRAFITO BASIC S/GOMA SET 12 UNIDADES"/>
        <s v="LAPIZ GRAFITO C/GOMA DISEÑO GLITTER DISPLAY 72 UNIDADES"/>
        <s v="LAPIZ GRAFITO C/GOMA NEON DISPLAY 72 UNIDADES"/>
        <s v="LAPIZ GRAFITO TECNICO GRADUACION SURTIDA 6 UN +SACAPUNTA"/>
        <s v="LAP.GRAF.2B S/GOMA REDONDO DSP 72UN TRIS"/>
        <s v="LAPIZ GRAFITO HB C/GOMA LOVE DISPLAY 24 UNIDADES"/>
        <s v="LAP.GRAF.4B TECNICO CAJA 12UN TRIS BRZ"/>
        <s v="LAP.GRAF.8B DSP 12UN TRIS"/>
        <s v="LAP.GRAF.C/DISEÑO HALLOWEEN POTE 24UN TRIS"/>
        <s v="LAP.GRAF.C/DISEÑO OSO POTE 24UN TRIS"/>
        <s v="LAP.GRAF.C/GOMA COLLECTION METAL 4UN TRIS"/>
        <s v="LAP.GRAF.HB ART 3UN TRIS"/>
        <s v="LAP.GRAF.HB ART DSP 12UN TRIS"/>
        <s v="LAP.GRAF.HB BASIC DSP 72UN TRIS"/>
        <s v="LAP.GRAF.HB C/GOMA TRIO BLIS 4UN TRIS"/>
        <s v="LAP.GRAF.HB C/GOMA TRIS COLLECTION SIGNOS POTE 72UN"/>
        <s v="LAP.GRAF.HB TRIO NEON TRIANGULAR BLS 4UN TRIS"/>
        <s v="LAP.GRAF.HB TRIS TRIO TRIANGULAR POTE 48UN"/>
        <s v="LAPICES GRAFITO BLS 4 UN MOANA BRZ"/>
        <s v="SCARY SET HALLOWEEN TRIS (3 LAPICES GRAFITO CON GOMA DISEÑO)"/>
        <s v="LAP. GRAF.C/GOMA SET 10 UN BARBIE"/>
        <s v="LAP. GRAF.C/GOMA SET 10 UN SIMPSON"/>
        <s v="LAP. GRAF.C/GOMA SET 10UN AVENGERS"/>
        <s v="LAP. GRAF.C/GOMA SET 10UN MINNIE"/>
        <s v="LAP. GRAF.C/GOMA SET 10UN PRINCESA"/>
        <s v="LAP. GRAF.C/GOMA SET 10UN SPIDERMAN"/>
        <s v="LAP.GRAF.C/GOMA SET 10 UN STAR WARS"/>
        <s v="LAP.GRAF.C/GOMA SET 10UN FROZEN"/>
        <s v="LAPICES GRAFITO BOLSA 15UN"/>
        <s v="LAPIZ GRAF. C/GOMA BLS 4 UN STAR WARS"/>
        <s v="LAPIZ GRAF.C/GOMA BLIS.4UN"/>
        <s v="LAPIZ GRAF.C/GOMA BLIS.4UN AV"/>
        <s v="LAPIZ GRAF.C/GOMA BLIS.4UN BARB"/>
        <s v="LAPIZ GRAF.C/GOMA BLIS.4UN CARS"/>
        <s v="LAPIZ GRAF.C/GOMA BLIS.4UN COLO COLO"/>
        <s v="LAPIZ GRAF.C/GOMA BLIS.4UN HADA"/>
        <s v="LAPIZ GRAF.C/GOMA BLIS.4UN HOTW"/>
        <s v="LAPIZ GRAF.C/GOMA BLIS.4UN M.UNIV"/>
        <s v="LAPIZ GRAF.C/GOMA BLIS.4UN MARIE"/>
        <s v="LAPIZ GRAF.C/GOMA BLIS.4UN MAXS"/>
        <s v="LAPIZ GRAF.C/GOMA BLIS.4UN MINNIE"/>
        <s v="LAPIZ GRAF.C/GOMA BLIS.4UN MONS."/>
        <s v="LAPIZ GRAF.C/GOMA BLIS.4UN NEGRO SWARS BRZ"/>
        <s v="LAPIZ GRAF.C/GOMA BLIS.4UN POLL"/>
        <s v="LAPIZ GRAF.C/GOMA BLIS.4UN PRIN"/>
        <s v="LAPIZ GRAF.C/GOMA BLIS.4UN SPID A."/>
        <s v="LAPIZ GRAF.C/GOMA BLIS.4UN SPIDER"/>
        <s v="LAPIZ GRAF.C/GOMA BLIS.4UN TOYS"/>
        <s v="LAPIZ GRAF.C/GOMA BLIS.6UN PLANES"/>
        <s v="LAPIZ GRAF.C/GOMA DSP.72 UN MARIE"/>
        <s v="LAPIZ GRAF.C/GOMA DSP.72UN BARB"/>
        <s v="LAPIZ GRAF.C/GOMA DSP.72UN CARS"/>
        <s v="LAPIZ GRAF.C/GOMA DSP.72UN HADA"/>
        <s v="LAPIZ GRAF.C/GOMA DSP.72UN HOTW"/>
        <s v="LAPIZ GRAF.C/GOMA DSP.72UN MAXS"/>
        <s v="LAPIZ GRAF.C/GOMA DSP.72UN TOYS"/>
        <s v="LAPIZ GRAF.C/GOMA JUMBO BLIS.3UN PRIN"/>
        <s v="LAPIZ GRAF.C/GOMA POTE 36UN PLANES"/>
        <s v="LAPIZ GRAF.C/GOMA POTE 36UN.PLAN"/>
        <s v="LAPIZ GRAF.C/GOMA POTE 48UN BARB"/>
        <s v="LAPIZ GRAF.C/GOMA POTE 48UN CARS"/>
        <s v="LAPIZ GRAF.C/GOMA POTE 48UN HADA"/>
        <s v="LAPIZ GRAF.C/GOMA POTE 48UN M.HIGH"/>
        <s v="LAPIZ GRAF.C/GOMA POTE 48UN MAXS"/>
        <s v="LAPIZ GRAF.C/GOMA POTE 48UN MINNI"/>
        <s v="LAPIZ GRAF.C/GOMA POTE 48UN. POLL"/>
        <s v="LAPIZ GRAF.C/GOMA POTE.48UN MARIE"/>
        <s v="LAPIZ GRAF.C/GOMA SET 12UN M.UNIV"/>
        <s v="Juego didáctico Arena mágica color natural - 450 grs 6/moldes - (N°1300)"/>
        <s v="Juego didáctico Arena mágica color rosado - 450 grs 6/moldes - (N°1302)"/>
        <s v="Juego didáctico Arena mágica color azul - 450 grs 6/moldes - (N°1301)"/>
        <s v="Juego didáctico Tabla de equilibrio - (N°605)"/>
        <s v="Juego didáctico Tobogan magnético con esferas 92 pzas - (N°750)"/>
        <s v="GOMA LAB DSP 20 UN"/>
        <s v="KIT FESTMANIA BLOCK DE NOTAS 04UN. BARBIE"/>
        <s v="KIT FESTMANIA GOMAS 08UN - HOT WHEELS"/>
        <s v="KIT FESTMANIA GOMAS 08UN. BARBIE"/>
        <s v="KIT FESTMANIA LAPICES MINA 08UN. BARBIE"/>
        <s v="KIT FESTMANIA LAPICES MINA 08UN. HOT WHEELS"/>
        <s v="KIT FESTMANIA N°1 (BLOCK + LAP. CERA) HOT WHEELS"/>
        <s v="KIT FESTMANIA Nº10 (BLOCK+SACA+GOMA+LAPIZ MINA) BARBIE"/>
        <s v="KIT FESTMANIA Nº10 (BLOCK+SACA+GOMA+LAPIZ MINA) HOT WHEELS"/>
        <s v="KIT FESTMANIA Nº3 (BLOCK,L.MINA,GOMA,SACA,REGLA,APRETA PAPEL) BARBIE"/>
        <s v="KIT FESTMANIA Nº4 (BLOCK,L.MINA,GOMA,SACA,REGLA) HOT WHEELS"/>
        <s v="KIT FESTMANIA Nº5 (BLOCK DISEÑO Y 4 LAP. CERA) HOT WHEELS"/>
        <s v="KIT FESTMANIA Nº5 (BLOCK DISEÑOS Y LAP. CERA) BARBIE"/>
        <s v="KIT FESTMANIA Nº6 (BLOCK DECORADO,PLUMONES,LAP. CERA) HOT WHEELS"/>
        <s v="KIT FESTMANIA Nº7 (ESTUCHE,L.MINA,GOMA,SACA) BARBIE"/>
        <s v="KIT FESTMANIA Nº7 (ESTUCHE,L.MINA,GOMA,SACA) HOT WHEELS"/>
        <s v="KIT FESTMANIA Nº9 (BLOCK DISEÑOS, PLUMONES,COLA GLITTER,TIMBRES) BARBIE"/>
        <s v="KIT FESTMANIA REGLAS 08UN - HOT WHEELS"/>
        <s v="KIT FESTMANIA REGLAS 08UN. BARBIE"/>
        <s v="KIT FESTMANIA SACAP. 08UN. BARBIE"/>
        <s v="KIT FESTMANIA SACAPUNTAS 08UN - HOT WHEELS"/>
        <s v="KIT GOMAS 8UN FESTMANIA - CARS"/>
        <s v="KIT SUPER DIVERSION CARS"/>
        <s v="KIT SUPER DIVERSION MONSTER"/>
        <s v="KIT SUPER HEROES AVENGERS"/>
        <s v="BOX SET AVENGERS"/>
        <s v="CAJA SCARY BOX MONSTER"/>
        <s v="CAJA SPIDER BOX"/>
        <s v="LIGHT BOX HOT WHEELS"/>
        <s v="LIGHT BOX PRINCESAS"/>
        <s v="MAGIC SET OPEN BOX"/>
        <s v="MALETIN BOX SET HOT WHEELS"/>
        <s v="MALETIN BOX SET SPIDERMAN"/>
        <s v="PAINTING ACTIVITY BOX MONSTER"/>
        <s v="ROLL BOX MONSTER HIGH"/>
        <s v="ROLL BOX SET RIO"/>
        <s v="ROLL SUPER FUN BOX MARIE"/>
        <s v="SUPER POSTER BOX HOT WHEELS"/>
        <s v="MALETA ARTE 27PZAS. HOTW"/>
        <s v="MALETA ARTE 27PZAS. MARIE"/>
        <s v="MALETA ARTE 27PZAS. POLL"/>
        <s v="MALETA ARTE CREATIVE POLLY"/>
        <s v="MALETA DE ARTE AVENGERS"/>
        <s v="MALETA DE ARTE BARBIE"/>
        <s v="MALETA DE ARTE HOT WHEELS"/>
        <s v="MALETA DE ARTE MARIE BRZ"/>
        <s v="MALETA DE ARTE MAX STEEL"/>
        <s v="MALETA DE ARTE P/H"/>
        <s v="MALETA DE ARTE SPIDERMAN"/>
        <s v="MALETA ESCOLAR PLUM MAXS"/>
        <s v="MALETA FABULOSA MONSTER HIGH"/>
        <s v="MALETA GLAMOUR CON ACCESORIO BARBIE"/>
        <s v="PLAYGROUND- ANGRY BIRDS"/>
        <s v="PLAYGROUND AVENGERS"/>
        <s v="PLAYGROUND- HADAS"/>
        <s v="PLAYGROUND- MALETA STUDIO BARBIE"/>
        <s v="PLAYGROUND- MAX STEEL"/>
        <s v="PLAYGROUND OPEN BOX HADAS"/>
        <s v="PLAYGROUND- SPIDER"/>
        <s v="PLAYGROUND STAR WARS"/>
        <s v="SET MALETA PLUMONES LICENCIAS"/>
        <s v="SUPER MALETA BARB.71  PCS"/>
        <s v="ZZ. NO USAR. COD ERRONEO (MALET ART BARB)"/>
        <s v="BLISTER SELVATICO TRIS"/>
        <s v="PACK POLYBAGS HOT WHEELS"/>
        <s v="MARCADOR PUNTA FINA WAVE 12 COLORES"/>
        <s v="MARCADOR PUNTA FINA MEGA 24 COLORES"/>
        <s v="MARCADOR PUNTA FINA MEGA JUMBO 24 COLORES DOBLES"/>
        <s v="MARCADOR PUNTA GRUESA MEGA JUMBO 12 COLORES"/>
        <s v="MARCADOR PUNTA GRUESA SUPER 12 COLORES"/>
        <s v="PLUMON LAVABLE LIQUEO NEGRO 1"/>
        <s v="PLUMON LAVABLE LIQEO AZUL 1 UN"/>
        <s v="MARCADOR PUNTA FINA MEGA 12 COLORES"/>
        <s v="MARCADOR PUNTA FINA MEGA 36 COLORES"/>
        <s v="PLUMON PIZARRA UFFIZI M680 AZUL C/10"/>
        <s v="PLUMON PIZARRA UFFIZI M680 NEGRO C/10"/>
        <s v="PLUMON PTA GRUESA MEGA HIDRO  06 COLORES TRIS"/>
        <s v="PLUMONES DOBLES PTA FINA Y GRUESA 12 COLORES TRIS"/>
        <s v="PLUMONES MEGA 12 COLORES TRIS"/>
        <s v="PLUMONES PTA FINA 12 COLORES JUDY BRZ"/>
        <s v="PLUMONES PTA FINA 12 COLORES MOANA BRZ"/>
        <s v="PLUMONES PTA FINA 12UN GLOW"/>
        <s v="PLUMONES PTA FINA MEGA 6 COL. TRIS"/>
        <s v="PLUMONES PTA GRUESA BIG 06 COL. TRIS"/>
        <s v="PLUMONES PTA GRUESA BIG 12 COL. TRIS"/>
        <s v="PLUMONES PTA. FINA 12COL. CLASSIC TRIS"/>
        <s v="PLUMONES PTA. FINA CLASSIC 06 COL. - TRIS"/>
        <s v="PLUMONES PTA. FINA CLASSIC 24 COL. - TRIS"/>
        <s v="PLUMONES PTA.GRUESA 12COL. FROST TRIS"/>
        <s v="PLUMONES PTA.GRUESA 12COL. SHORTY TRIS"/>
        <s v="PLUMONES WAVE 24 COL. TRIS"/>
        <s v="PLUM. PF 12 COL. FROZEN"/>
        <s v="PLUM. PF 12 COL. SIMPSON"/>
        <s v="PLUMONES POTE ALCANCIA 12COL. MINN"/>
        <s v="PLUMONES POTE ALCANCIA 12COL.MARIE"/>
        <s v="PLUMONES PTA FINA 12 COLORES STAR WARS BRZ"/>
        <s v="PLUMONES PTA FINA 12UN AVENGERS"/>
        <s v="PLUMONES PTA FINA 12UN BARB"/>
        <s v="PLUMONES PTA FINA 12UN CARS"/>
        <s v="PLUMONES PTA FINA 12UN COLO COLO"/>
        <s v="PLUMONES PTA FINA 12UN HADAS"/>
        <s v="PLUMONES PTA FINA 12UN HOTW"/>
        <s v="PLUMONES PTA FINA 12UN M.UNIV"/>
        <s v="PLUMONES PTA FINA 12UN MARI"/>
        <s v="PLUMONES PTA FINA 12UN MAX"/>
        <s v="PLUMONES PTA FINA 12UN MIN"/>
        <s v="PLUMONES PTA FINA 12UN MINNIE"/>
        <s v="PLUMONES PTA FINA 12UN MONSTER"/>
        <s v="PLUMONES PTA FINA 12UN PLANES"/>
        <s v="PLUMONES PTA FINA 12UN POLLY"/>
        <s v="PLUMONES PTA FINA 12UN PRIN"/>
        <s v="PLUMONES PTA FINA 12UN SPIDER"/>
        <s v="PLUMONES PTA FINA 12UN SPIDER A."/>
        <s v="PLUMONES PTA FINA 12UN STAR"/>
        <s v="PLUMONES PTA FINA 12UN TOYS"/>
        <s v="PLUMONES PTA FINA 12UN U.DE CHILE"/>
        <s v="SUPER EST HOLOGRAM GLITT PLUM"/>
        <s v="PLUMONES MALETA 08 COL.POLL"/>
        <s v="PLUMONES MALETA 12 COL. CARS"/>
        <s v="PLUMONES MALETA 12 COL. PRIN"/>
        <s v="PLUMONES MALETA 12 COL. TOYS"/>
        <s v="PLUMONES MALETA 12 COL.COLO COLO"/>
        <s v="PLUMONES MALETA 12 COL.LICENCIAS"/>
        <s v="PLUMONES MALETA 12 COL.MONS HIGH"/>
        <s v="PLUMONES MALETA 12 COL.PLANES"/>
        <s v="PLUMONES MALETA 12 COL.STARW"/>
        <s v="PLUMONES MALETA 12COL. HADA"/>
        <s v="PLUMONES MALETA 12COL.AVENGERS"/>
        <s v="PLUMONES MALETA 12COL.BARB"/>
        <s v="PLUMONES MALETA 12COL.HOTW"/>
        <s v="PLUMONES MALETA 12COL.M.UNIV"/>
        <s v="PLUMONES MALETA 24 COL. PRIN"/>
        <s v="PLUMONES MALETA 24 COL.BARBIE"/>
        <s v="PLUMONES MALETA 24 COL.MONS"/>
        <s v="PLUMONES MALETA 24 COL.SPID"/>
        <s v="PLUMONES MALETA 36 COL.MONS (OPEN BOX)"/>
        <s v="MARCADOR POP OFFICE (VIDRIO. PIZARRA. VARIOS) SET 5 COLORES"/>
        <s v="PLUMON PERMANENTE T720 AZUL DSP 12 UN TRIS"/>
        <s v="PLUMON PERMANENTE T720 NEGRO DP 12 UN TRIS"/>
        <s v="PLUMON PERMANENTE T720 ROJO DSP 12 UN TRIS"/>
        <s v="PLUMON PIZARRA UFFIZI M680 ROJO C/10"/>
        <s v="MARCADOR TELA PUNTA MEDIA COLORES SURTIDOS"/>
        <s v="MASA EN BARRA PARA MODELAR SET 12 COLORES"/>
        <s v="MASA PARA MODELAR POTE 150GR VERDE SUPER SOFT"/>
        <s v="MASA PARA MODELAR POTE 150GR AMARILLO SUPER SOFT"/>
        <s v="MASA PARA MODELAR POTE 150GR AZUL SUPER SOFT"/>
        <s v="MASA PARA MODELAR POTE 150GR ROJO SUPER SOFT"/>
        <s v="TUBO MINA 0,7 MM  DSP. 36UN SHOCK TRIS"/>
        <s v="TUBO MINA 0,7 MM  DSP. 24UN BARBIE"/>
        <s v="TUBO MINA 0,7 MM  DSP. 24UN HADAS"/>
        <s v="TUBO MINA 0,7 MM  DSP. 24UN PRINCESAS"/>
        <s v="MOCHILA RIO"/>
        <s v="NOTAS AUTOADHES 100HJ 1X76MMX76MM TRIS"/>
        <s v="NOTAS MARCADOR PAG POP INDEX 3 FORMATOS 180 UNIDADES"/>
        <s v="NOTAS MARCADOR PAG POP T008 42X13MM 6 COLORES 160 UNIDADES"/>
        <s v="NOTAS AUTOADHES POP T001 51X38MM 3 CUBOS 6 COLORES 300HJS"/>
        <s v="NOTAS AUTOADHES POP T001G 75X75MM CUBO 5 COLORES 400HJS"/>
        <s v="NOTAS MARCADOR PAG POP OFFICE T005 11X43MM 120 UNIDADES"/>
        <s v="NOTAS AUTOADHES LOVE T001 70X75MM 4 COLORES BLISTER 100HJS"/>
        <s v="NOTAS AUTOADHES 76MMX76MM COLOR POP OFFICE TRIS"/>
        <s v="PORTA CINTA-ADHESIVA UFFIZI G050"/>
        <s v="PORTA CLIPS MAGNETICO UFFIZI M082"/>
        <s v="PORTALAPIZ SIN ACCESORIOS M.HIGH"/>
        <s v="ORGANIZADOR CON ACC STAR WARS"/>
        <s v="ORGANIZADOR ESTUCHE AVENGERS"/>
        <s v="ORGANIZADOR ESTUCHE BARBIE"/>
        <s v="ORGANIZADOR ESTUCHE HADAS"/>
        <s v="ORGANIZADOR ESTUCHE HOT W"/>
        <s v="ORGANIZADOR ESTUCHE MARIE"/>
        <s v="ORGANIZADOR ESTUCHE PRIN"/>
        <s v="PORTA RETRATO SUPER GLITTER BARBIE"/>
        <s v="PORTALAPIZ ORGANIZADOR SPID"/>
        <s v="PORTALAPIZ SIN ACCESORIOS MINNIE"/>
        <s v="PORTALAPIZ SIN ACCESORIOS PRINCESAS"/>
        <s v="SET CAJA ORGANIZADORA FROZEN"/>
        <s v="SET ESCRITORIO (PORTALAPIZ/SCOTCH/CLIP) M.HIGH"/>
        <s v="SET ESCRITORIO (PORTALAPIZ/SCOTCH/CLIP) MINNIE"/>
        <s v="SET ESCRITORIO (PORTALAPIZ/SCOTCH/CLIP) PRINCESAS"/>
        <s v="CODIGO NO VALIDO"/>
        <s v="TRASLADO MUEBLES VARIOS EMPRESA"/>
        <s v="RACK PORTA PALLET (Activo Fijo)"/>
        <s v="LAPIZ GRAF.C/GOMA POTE 48UN SPIDER"/>
        <s v="PACK ESCOLAR HOT WHEELS"/>
        <s v="ZZ. NO USAR. NO USAR"/>
        <s v="RENUEVA TU ESTUCHE"/>
        <s v="RENUEVA TU ESTUCHE NIÑA"/>
        <s v="PACK ARTISTICO"/>
        <s v="PACK MEGA MANUALIDADES"/>
        <s v="PACK ORGANIZADOR"/>
        <s v="PACK ESCRITORIO"/>
        <s v="PACK ENTRETENIDO"/>
        <s v="PACK MEGA COLORES"/>
        <s v="PACK MEGA TRABAJA EN CASA"/>
        <s v="PACK MEGA AHORRO"/>
        <s v="KIT ESCOLAR LEFTY"/>
        <s v="SET TRIS PACK 1"/>
        <s v="PACK JUVENIL"/>
        <s v="SET TRIS PACK 2"/>
        <s v="KIT ESCOLAR CLASS"/>
        <s v="KIT GRAFITO SACAPUNTA GOMA"/>
        <s v="SET BOTELLA PROMOCIONAL"/>
        <s v="KIT ESCOLAR 2"/>
        <s v="MINI PACK ESCOLAR TRIS"/>
        <s v="PACK 2 LAP. GRAFITO, BOL. AZUL, BOL ROJO, SACAPUNTA DEPS Y GOMA"/>
        <s v="PACK BOL. 3 UN. AZULES"/>
        <s v="PACK BOL. NEGRO, BOL. AZUL Y BOL. ROJO"/>
        <s v="PACK BOLIGRAFO AZUL 3 UN."/>
        <s v="PACK LAP. GRAFITO 04UN. GLITTER - TRIS"/>
        <s v="PACK LAPICES DE COLORES/2 LAPICES GRAFITO/TIJERA /SACAPUNTA CON DEP. Y GOMA"/>
        <s v="PACK PEGAMENTO BARRA 21G / COLA FRIA 40G TRIS"/>
        <s v="PACK PORTAMINA GLITTER/GOMA DE BORRAR TRIANGULAR"/>
        <s v="PACK SETS CREATIVOS 3 UN TRIS"/>
        <s v="PACK SOLUCION COMPLETA P/TS"/>
        <s v="PACK TRIS GOMA DE BORRAR - PACK GOMA DE BORRAR"/>
        <s v="GLITTER ECO SET SPIDERMAN"/>
        <s v="MOVING SET SPIDERMAN"/>
        <s v="PACK ESCOLAR PRINCESAS"/>
        <s v="SUPER ARTISTIC SET SPIDERMAN"/>
        <s v="SUPER PACK MAX STEEL"/>
        <s v="LAPICES DE COLORES MAS SACAPUNTA Y GOMA"/>
        <s v="TAMPON MAS TINTA"/>
        <s v="NOTAS AUTOADHESIVAS SET 2"/>
        <s v="PINTA Y CREA  SET LAPICES TIJERAS Y PEGAMENTO"/>
        <s v="NOTAS AUTOADHESIVAS SET 1"/>
        <s v="SET TIJERAS Y CORTANTES"/>
        <s v="TIJERAS SET CORTES PRECISOS"/>
        <s v="PEGAMENTO COLA FRIA 40GR. 1 UNIDAD"/>
        <s v="PEGAMENTO COLA FRIA 110GR. 1 UNIDAD"/>
        <s v="PEGAMENTO BARRA 10GR. BLISTER 1 UNIDAD"/>
        <s v="PEGAMENTO COLA FRIA 90GR. 1 UNIDAD"/>
        <s v="PEGAMENTO BARRA 10GR. DISPLAY 10 UNIDADES"/>
        <s v="COLA FRIA 40 GR DISP.12  TRIS"/>
        <s v="PEGAMENTO BARRA 21G DSP.12UN TRIS"/>
        <s v="PEGAMENTO BARRA 40G DSP. 9UN TRIS"/>
        <s v="PEGAMENTO BARRA 6G.POTE 24UN TRIS"/>
        <s v="PEGAMENTO BARRA PLUS 10G DSP. 24UN TRIS"/>
        <s v="PEGAMENTO BARRA PLUS 21G DSP. 12UN TRIS"/>
        <s v="PEGAMENTO BARRA PLUS 40G DSP. 9UN TRIS"/>
        <s v="PEGAMENTO C/GLITTER DSP.12UN AZUL TRIS"/>
        <s v="PEGAMENTO C/GLITTER DSP.12UN BLANCO TRIS"/>
        <s v="PEGAMENTO C/GLITTER DSP.12UN BRONCE TRIS"/>
        <s v="PEGAMENTO C/GLITTER DSP.12UN ORO TRIS"/>
        <s v="PEGAMENTO C/GLITTER DSP.12UN PLATA TRIS"/>
        <s v="PEGAMENTO C/GLITTER DSP.12UN ROJO TRIS"/>
        <s v="PEGAMENTO C/GLITTER DSP.12UN VERDE TRIS"/>
        <s v="PEGAMENTO C/GLITTER SET 6COL. TRIS"/>
        <s v="PEGAMENTO GLITTER TRIS SHINE - AZUL"/>
        <s v="PEGAMENTO GLITTER TRIS SHINE - BLANCO"/>
        <s v="PEGAMENTO GLITTER TRIS SHINE - BRONZE"/>
        <s v="PEGAMENTO GLITTER TRIS SHINE - ROJO"/>
        <s v="PEGAMENTO GLITTER TRIS SHINE - VERDE"/>
        <s v="PEGAMENTO MAGICO 10G DSP. 24UN TRIS"/>
        <s v="PEGAMENTO MAGICO 10G. BLIS/2UN TRIS"/>
        <s v="COLA FRIA 40G DSP 24UN MARI"/>
        <s v="COLA FRIA 40G DSP. 24UN CARS"/>
        <s v="COLA FRIA 40G DSP.24UN BARB"/>
        <s v="COLA FRIA 40G DSP.24UN HOTW"/>
        <s v="COLA FRIA 40G DSP.24UN PRIN"/>
        <s v="COLA FRIA 40G DSP.24UN SPID"/>
        <s v="COLA FRIA 40G DSP.24UN SPID A"/>
        <s v="COLA FRIA 40G DSP.24UN TOYS"/>
        <s v="COLA FRIA 40G. DSP.24UN HADA"/>
        <s v="GLITTER ART SET MARIE"/>
        <s v="GLITTER SET 4 COLORES FROZEN"/>
        <s v="PEGAMENTO + GOMA CHARM DISPLAY C/18 UN PRINCESAS"/>
        <s v="PEGAMENTO BARRA 15G BLIS A.BIRDS"/>
        <s v="PEGAMENTO BARRA 15G BLIS HADA"/>
        <s v="PEGAMENTO BARRA 15G BLIS HOTW"/>
        <s v="PEGAMENTO BARRA 15G BLIS M.HIGH"/>
        <s v="PEGAMENTO BARRA 15G BLIS MARI"/>
        <s v="PEGAMENTO BARRA 15G BLIS PRINCESA"/>
        <s v="PEGAMENTO BARRA 15G BLIS. CARS"/>
        <s v="PEGAMENTO BARRA 15G BLIS. SPID A."/>
        <s v="PEGAMENTO BARRA 15G BLIS.BARB"/>
        <s v="PEGAMENTO BARRA 15G DSP HADA"/>
        <s v="PEGAMENTO BARRA 15G DSP. BARB"/>
        <s v="PEGAMENTO BARRA 15G DSP. CARS"/>
        <s v="PEGAMENTO BARRA 15G DSP. MARIE"/>
        <s v="PEGAMENTO BARRA 15G DSP. MAXS"/>
        <s v="PEGAMENTO BARRA 15G DSP. PRIN"/>
        <s v="PEGAMENTO BARRA 15G DSP. SPID"/>
        <s v="PEGAMENTO BARRA 15G DSP. SPID A"/>
        <s v="PEGAMENTO BARRA 15G DSP.HOTW"/>
        <s v="PEGAMENTO BARRA 15G DSP.M.UNIV"/>
        <s v="SET COLA FRIA + PEG.BARRA"/>
        <s v="SET COLA FRIA + PEG.BARRA PLANES"/>
        <s v="SET COLA FRIA + PEG.BARRA SPID"/>
        <s v="PERFORADORA METAL T207 2 ORIFICIOS 30HJS BLACK 1 UNIDAD"/>
        <s v="PERFORADORA METAL T210 2 ORIFICIOS 30HJS BLACK 1 UNIDAD"/>
        <s v="PERFORADORA METAL T205 2 ORIFICIOS 20HJS BLACK 1 UNIDAD"/>
        <s v="PERFORADORA METAL T202 2 ORIFICIOS 10HJS BLACK 1 UNIDAD"/>
        <s v="PERFORADORA METAL T225 2 ORIFICIOS 60 HJS BLACK 1 UN TRIS"/>
        <s v="PERFORADORA P118 UFFIZI"/>
        <s v="PERFORADORA UFFIZI 2 AGUJEROS P104 BEIGE"/>
        <s v="PERFORADORA UFFIZI 2 AGUJEROS P109"/>
        <s v="PERFORADORA UFFIZI P119"/>
        <s v="PIZARRA 3 PCS M.UNIV"/>
        <s v="PIZARRA 3 PZAS MAXS STEEL"/>
        <s v="PIZARRA 3PZAS. MINNIE"/>
        <s v="PIZARRA 3PZAS. PRIN"/>
        <s v="PIZARRA 3PZAS. SPIDERMAN"/>
        <s v="PIZARRA 3PZAS. TOYS"/>
        <s v="PIZARRA 3PZAS.AVENGERS"/>
        <s v="PIZARRA 3PZAS.BARB BRZ"/>
        <s v="PIZARRA 3PZAS.COLO-COLO"/>
        <s v="PIZARRA 3PZAS.HOTW"/>
        <s v="PIZARRA 3PZAS.MARIE"/>
        <s v="PIZARRA 3PZAS.MINN"/>
        <s v="PIZARRA 3PZAS.MONS"/>
        <s v="PIZARRA 3PZAS.SPID"/>
        <s v="PIZARRA AVENGERS"/>
        <s v="PIZARRA CON BORRADOR LIC NINO"/>
        <s v="PIZARRA HORARIO + ACCESORIOS BARB"/>
        <s v="PIZARRAS LICENCIAS NINA"/>
        <s v="SET PIZARRA NIÑO LICENCIAS"/>
        <s v="PLASTILINA SET 12 COLORES"/>
        <s v="PLASTICINA 12 COL.TRIS"/>
        <s v="PLASTICINA POTE 150GR NARANJA SUPER SOFT TRIS"/>
        <s v="PLASTICINA POTE 150GR ROSADA SUPER SOFT TRIS"/>
        <s v="PLASTICINA 12 COL FROZEN"/>
        <s v="PLASTICINA 12 COL.BARB"/>
        <s v="PLASTICINA 12 COL.MARI"/>
        <s v="PLASTICINA 12 COL.MINNIE"/>
        <s v="PLASTICINA 12 COL.PLANES"/>
        <s v="PLASTICINA 12 COL.PRIN"/>
        <s v="PLASTICO BURBUJA ROLLO 1MTX5MT 1UN"/>
        <s v="PORTAMINA 0.7MM NEON C/GRIP DSP 24 UN COL. SURTID TRIS"/>
        <s v="PORTAMINA 0.7MM TECH PUNTA METAL +RPTO. BLISTER 1 UNIDAD"/>
        <s v="PORTAMINA 0.7MM NEON C/GRIP +RPTO BLISTER 1 UNIDAD"/>
        <s v="PORTAMINA 0.7MM POP DISPLAY 24 UNIDADES"/>
        <s v="REPUESTO MINA 0.7MM 2B DISPLAY 12 TUBOS C/24 MINAS"/>
        <s v="PORTAMINA 0.7MM POP +RPTO BLISTER 1 UNIDAD"/>
        <s v="DESTACADOR LIQEO PASTEL COLORES SET 3 UNIDADES"/>
        <s v="PORTAMINA 0,7 MM CITRUS"/>
        <s v="PORTAMINA 0.5MM DSP.24UN OFFICE TRIS"/>
        <s v="PORTAMINA 0.7MM DSP.12UN DARLING TRIS"/>
        <s v="PORTAMINA 0.7MM DSP.24UN GLITTER TRIS"/>
        <s v="PORTAMINA 0.7MM DSP.30UN MINI TRIS"/>
        <s v="PORTAMINA 0.7MM TECH BLS 2 UN TRIS"/>
        <s v="PORTAMINA 0.7MM TRIS SIGNATURE DSP18 UN"/>
        <s v="PORTAMINA 2MM SUPER DSP 12UN TRIS"/>
        <s v="PORTAMINA CHARM  0.7 MM TRIS"/>
        <s v="PORTAMINA SLIM 0.7MM COLORES DSP 24 UN TRIS"/>
        <s v="PORTAMINAS 0.7MM DSP 24UN ANTIDESLIZANTE TRIS"/>
        <s v="PORTAMINAS 0.7MM DSP.12UN SCHOOL COLORES TRANSP TRIS"/>
        <s v="PORTAMINAS 0.7MM DSP.24UN TOUCH TRIS"/>
        <s v="PORTAMINA + BOLIGRAFO +GOMA BLIS. PRIN"/>
        <s v="PORTAMINA + BOLIGRAFO BLIS. MAXS"/>
        <s v="PORTAMINA + BOLIGRAFO BLIST.SPID"/>
        <s v="PORTAMINA + BOLIGRAFO TOP BLIS MARIE"/>
        <s v="PORTAMINA 0,7 MM SET 2 UN HADS"/>
        <s v="PORTAMINA 0,7 MM SET 2 UN MARIE"/>
        <s v="PORTAMINA 0.5MM DSP.12UN TOP MARIE"/>
        <s v="PORTAMINA 0.7 MM BLISTER - HOTW"/>
        <s v="PORTAMINA 0.7MM DSP.24UN BARB"/>
        <s v="PORTAMINA 0.7MM DSP.24UN HOTW"/>
        <s v="PORTAMINA 0.7MM DSP.24UN SHAKE BARBIE"/>
        <s v="PORTAMINA 0.7MM DSP.24UN SHAKE HADAS"/>
        <s v="PORTAMINA 0.7MM DSP.24UN SHAKE HOTW"/>
        <s v="PORTAMINA 0.7MM DSP.24UN SHAKE MARIE"/>
        <s v="PORTAMINA SHAKE 0.7 MM BLIS.BARB"/>
        <s v="PORTAMINA SHAKE 0.7MM BLIS HADA"/>
        <s v="PORTAMINA SHAKE 0.7MM BLIS.HOTW"/>
        <s v="PORTAMINA SHAKE 0.7MM BLIS.MARIE"/>
        <s v="PORTAMINAS 0,7 MM BARBIE"/>
        <s v="ARTICULOS PROMOCIONALES"/>
        <s v="REGLA SET GEOMETRICO 30CM FLOPPY 04 UNIDADES"/>
        <s v="ESCALIMETRO 30CM TRIS"/>
        <s v="JUEGO DE ESCUADRAS TRIS LINE 20 CM"/>
        <s v="JUEGO DE ESCUADRAS TRIS LINE 25 CM"/>
        <s v="REGLA 30 CM. METAL FLEX TRIS"/>
        <s v="REGLA 30 CMS JUDY BRZ"/>
        <s v="REGLA 30 CMS. JELLY FLEXIBLE TRIS"/>
        <s v="REGLA 30 CMS. SPLASH TRIS"/>
        <s v="SET GEOMET DISEÑOS"/>
        <s v="SET GEOMETRICO  20 CMS TRIS"/>
        <s v="SET GEOMETRICO  30 CMS TRIS"/>
        <s v="REGLA 15CMS DSP.36 UN MINN"/>
        <s v="REGLA 30 CMS."/>
        <s v="REGLA 30 CMS. CARS"/>
        <s v="REGLA 30 CMS. HADAS"/>
        <s v="REGLA 30 CMS. HOTW"/>
        <s v="REGLA 30 CMS. M.UNIV"/>
        <s v="REGLA 30 CMS. MARIE"/>
        <s v="REGLA 30 CMS. PLANES"/>
        <s v="REGLA 30 CMS. PLEGABLE DSP.24UN CARS"/>
        <s v="REGLA 30 CMS. PLEGABLE DSP.24UN HOTW"/>
        <s v="REGLA 30 CMS. PLEGABLE DSP.24UN TOYS"/>
        <s v="REGLA 30 CMS. PRIN"/>
        <s v="REGLA 30 CMS. SPIDER A."/>
        <s v="REGLA ESPEJO DSP.24UN HADA"/>
        <s v="REGLA ESPEJO DSP.24UN PRIN"/>
        <s v="REGLA UND"/>
        <s v="REGLAS DSP 24 UN SURTIDO"/>
        <s v="SET GEOMETRICO  30 CMS M.HIGH"/>
        <s v="SET GEOMETRICO  30 CMS MINNI"/>
        <s v="SET GEOMETRICO  30 CMS PRINCESS"/>
        <s v="SET GEOMETRICO  30 CMS SPIDER"/>
        <s v="SACAPUNTAS C/DEPOSITO SU106 POTE 24 UNIDADES"/>
        <s v="SACAP. C/DEP. DOBLE TRIANGULAR SU260 BLS 1 UN TRIS"/>
        <s v="SACAPUNTAS SOBRE MESA SMART 1 UNIDAD"/>
        <s v="SACAPUNTAS C/DEPOSITO EMOTICON POTE 16 UNIDADES"/>
        <s v="SACAPUNTAS SOBRE MESA CERDITO 1 UNIDAD"/>
        <s v="SACAPUNTAS C/DEPOSITO ELIPTICO SU448 DISPLAY 24 UNIDADES"/>
        <s v="SACAPUNTAS DISEÑO ESPEJO POTE 24 UNIDADES"/>
        <s v="SACAPUNTAS METALICO DOBLE SU577 DISPLAY 12 UNIDADES"/>
        <s v="DESTACADOR FLUOR LIQEO COLORES SET 4 UNIDADES"/>
        <s v="LAPIZ GRAFITO HB C/GOMA GRUESO MINI SET 6 UNIDADES"/>
        <s v="SACAP. S/DEP SU607 PLASTIC DSP 36 UN TRIS"/>
        <s v="SACAP. BASICO COLORES DSP.24UN. SU-641 TRIS"/>
        <s v="SACAP. C/DEP SU110 PLAST BLS 1 UN TRIS"/>
        <s v="SACAP. C/DEP SU263 TRIANGULAR PLAST DSP 24UN TRIS"/>
        <s v="SACAP. S/DEP SU605 PLASTIC BLS 3 UN TRIS"/>
        <s v="SACAP. S/DEP SU983A METAL POTE 24UN TRIS"/>
        <s v="SACAP. SOBRE MESA GALAXY TRIS"/>
        <s v="SACAP. TIGRITO DSP.12 UN TRIS"/>
        <s v="SACAP.C/DEP. DISEÑOS C/GOMA INTERIOR SU-30 TRIS(ESTRELLA Y CPRAZON)"/>
        <s v="SACAP.C/DEP. ELIPTICO BLIS. SU-448 TRIS"/>
        <s v="SACAP.C/DEP. RECTANG. DSP.24UN. SU-660 TRIS"/>
        <s v="SACAP.C/DEP. RECTANG. DSP.24UN. SU-6887 TRIS"/>
        <s v="SACAP.C/DEP. REDONDO DSP.24UN. SU-101 TRIS"/>
        <s v="SACAP.C/DEP. Y TAPA RECTANG. DSP.24UN. SU-063 TRIS"/>
        <s v="SACAP.CONEJITO DSP. 16 UN TRIS"/>
        <s v="SACAP.METALICO COLORES DSP.24UN.SU-982A TRIS"/>
        <s v="SACAP.METALICO SIMPLE DSP.36UN.SU-981A TRIS"/>
        <s v="SACAP.MONITO DSP.18 UN TRIS"/>
        <s v="SACAP.PEL FUTBOL DSP.12 UN TRIS"/>
        <s v="SACAP.PESCADITO DSP.12 UN TRIS"/>
        <s v="SACAP.RATONCITO DSP.12 UN TRIS"/>
        <s v="SACAP.SAPITO DSP.12 UN TRIS"/>
        <s v="SACAPUNTA MANZANA BLIS TRIS"/>
        <s v="SACAPUNTA MANZANA DSP.16 TRIS"/>
        <s v="SACAPUNTA MONITO BLIS TRIS"/>
        <s v="SACAPUNTA PESCADITO BLIS TRIS"/>
        <s v="SACAPUNTA PINGUINO BLIS TRIS"/>
        <s v="SACAPUNTA PLAST S/DEP SU607 BLS 3UN TRIS BRZ"/>
        <s v="SACAPUNTA VAQUITA BLIS TRIS"/>
        <s v="SACAPUNTA PLAST REDONDO C/DEP POTE 18 UN MOANA BRZ"/>
        <s v="SACAP.C/DEP DSP.18UN FROZ"/>
        <s v="SACAPUNTA C/DEP.DSP.12UN DOBLE MINN"/>
        <s v="SACAPUNTA C/DEP.DSP.12UN DOBLE T.STORY"/>
        <s v="SACAPUNTA C/DEP.DSP.18UN BARB"/>
        <s v="SACAPUNTA C/DEP.DSP.18UN M.HIGH"/>
        <s v="SACAPUNTA C/DEP.DSP.18UN POLLY"/>
        <s v="SACAPUNTA C/DEP.DSP.24UN CARS"/>
        <s v="SACAPUNTA C/DEP.DSP.24UN HADA"/>
        <s v="SACAPUNTA C/DEP.DSP.24UN HOTW"/>
        <s v="SACAPUNTA C/DEP.DSP.24UN MARIE"/>
        <s v="SACAPUNTA C/DEP.DSP.24UN MAXS"/>
        <s v="SACAPUNTA C/DEP.DSP.24UN PRIN"/>
        <s v="SACAPUNTA C/DEP.DSP.24UN SPID"/>
        <s v="SACAPUNTA CORAZON C/DEPOSITO DISP.24 BARBIE"/>
        <s v="SUPER DESK SPIDERMAN"/>
        <s v="SET MEGA (LAP COLOR-PLUMON-GRAFITO) 26 UN TRIS"/>
        <s v="SET OFICINA POP OFFICE 185 UN COL. SURTIDOS TRIS"/>
        <s v="SET TRIS ART&amp;CRAFT SURTIDOS EN DISEÑOS"/>
        <s v="ACTION SET HOT WHEELS"/>
        <s v="ACTION SET MAX STEEL"/>
        <s v="ACTION SET SPIDERMAN"/>
        <s v="AUTO INCREIBLE"/>
        <s v="AVENTURA COMPACTA HOTW"/>
        <s v="BAG SET 8 PZAS BARBIE BRZ"/>
        <s v="BARBIE ARQUITECTA"/>
        <s v="BARBIE DISEÑADORA DE MODAS"/>
        <s v="BARBIE MAQUILLADORA"/>
        <s v="BEAUTY SET BARBIE"/>
        <s v="BIG RAINBOW CHALK (4 TIZAS) FISHER PRICE"/>
        <s v="BOOK PARA COLOREAR FISHER PRICE"/>
        <s v="CAJA ARTISTICA M.HIGH"/>
        <s v="CAJA CREATIVE MAX STEEL"/>
        <s v="CAJA CREATIVE SPIDERMAN"/>
        <s v="CAJA GLAM BARBIE"/>
        <s v="CAJA SWEET MARIE"/>
        <s v="CAJA TUERCA HOT WHEELS"/>
        <s v="CAJAS CREATIVE BARBIE"/>
        <s v="CAJAS CREATIVE HADAS"/>
        <s v="CANDIE SET DSP.12UN MARIE"/>
        <s v="CARRY ARTISTIC DESK (BOB) FISHER PRICE"/>
        <s v="CARTERA CON ACCESORIO BARBIE"/>
        <s v="CARTERA FASHION HADAS"/>
        <s v="CARTERA FLOWER SET 15 PZAS HADAS"/>
        <s v="CASTILLO DE PRINCESAS"/>
        <s v="CHARM SET 3 PZAS. M.HIGH"/>
        <s v="CHARM SET 3 PZAS. MARIE"/>
        <s v="CHARM SET 3 PZAS. MINNIE"/>
        <s v="CHARM SET 3 PZAS. PRIN"/>
        <s v="CHARM SET FROZEN"/>
        <s v="CHIC SET 8 PZAS HADAS"/>
        <s v="CRAFT SET 8 PZAS HADA"/>
        <s v="CRAFT SET 8 PZAS HOTW"/>
        <s v="CRAFT SET 8 PZAS POLLY"/>
        <s v="CREATIVE ERASE UNA VEZ PRINCESAS"/>
        <s v="CREATIVE TOWER AVENGERS"/>
        <s v="CREATIVE TOWER COLO COLO"/>
        <s v="CREATIVE YELLOW BIRD A.BIRDS"/>
        <s v="CUTE PAINTING SET MARIE"/>
        <s v="DOLL SET BARBIE"/>
        <s v="DREAM BLOCK SET MARIE"/>
        <s v="ELITE SQUAD STAR WARS"/>
        <s v="ESTUCHE FORMA LAPIZ CON ACC FROZEN"/>
        <s v="FASHION SET MARIE"/>
        <s v="FOIL ARTISTIC  BOOK BARBIE"/>
        <s v="GARAGE PORTA CARROS HOTW"/>
        <s v="GLAMOUR SET BARBIE BRZ"/>
        <s v="GLITZ SET POLLY BRZ"/>
        <s v="GORGEOUS SET 13 PZAS BARBIE"/>
        <s v="JOYERO CON ACCESORIOS 6 PZAS BARBIE"/>
        <s v="KIT FIGHTER SET STAR WARS"/>
        <s v="LIBRO ERASE UNA VEZ"/>
        <s v="LINE SET HOTW"/>
        <s v="LINE SET MAXS"/>
        <s v="LINE SET SPID"/>
        <s v="MECH SET 3PZAS. BARB"/>
        <s v="MECH SET 3PZAS. CARS"/>
        <s v="MECH SET 3PZAS. HOTW"/>
        <s v="MECH SET 3PZAS. MARIE"/>
        <s v="MECH SET 3PZAS. PRIN"/>
        <s v="MI MINSTRUO M.UNIV"/>
        <s v="MINI GLAMOUR SET BARBIE"/>
        <s v="MOCHILA ARTISTICA FISHER PRICE"/>
        <s v="MONSTER DELUXE SET M.HIGH"/>
        <s v="MONSTER FRAME SET ART M.HIGH"/>
        <s v="MULTISET MARIE"/>
        <s v="PAINTING ACTIVITY SET AVENGERS"/>
        <s v="PAINTING SET ANGRY BIRDS"/>
        <s v="PEARL SET BARBIE"/>
        <s v="PLAY SET 5 PZS POLLY"/>
        <s v="POP SET BARBIE"/>
        <s v="POSTER ART SET MARIE"/>
        <s v="RACE SPEEDY SET"/>
        <s v="ROLL SET  ANGRY BIRDS"/>
        <s v="ROMANTIC ART SET MARIE"/>
        <s v="SCARY MANUAL SET M.HIGH"/>
        <s v="SET 9 PZS FROZEN"/>
        <s v="SET 9 PZS PRINCESAS"/>
        <s v="SET ECONOMICO N°3 BARBIE"/>
        <s v="SET MONSTER ARTISTIC MONS"/>
        <s v="SET MONSTER PAINTING MONS"/>
        <s v="SET STATIONERY FIVE CLIP AVENGERS"/>
        <s v="SET STATIONERY FIVE CLIP RIO"/>
        <s v="SET STATIONERY FIVE CLIP SPIDER"/>
        <s v="SET STATIONERY TEN PCS AVENGERS"/>
        <s v="SET STATIONERY TEN PCS BARB"/>
        <s v="SET STATIONERY TEN PCS RIO"/>
        <s v="SHINNY BAG - CARTERA CON ACCESORIOS BARBIE"/>
        <s v="SUPER ARTISTIC SET MARIE"/>
        <s v="SUPER DESK SET MARIE"/>
        <s v="SUPER FANCY SET MARIE"/>
        <s v="SUPER GIFT SET  A.BIRDS"/>
        <s v="SUPER GIFT SET HOTW"/>
        <s v="SUPER GIFT SET MARIE"/>
        <s v="SUPER GIFT SET MAXS"/>
        <s v="SUPER GIFT SET PLUS MAXS"/>
        <s v="SUPER GIFT SET SPIDER"/>
        <s v="SUPER MONSTER DESK MONS"/>
        <s v="SWEET SET MARIE"/>
        <s v="TOP SET MARIE (LOVE GIFT)"/>
        <s v="TAMPON TIMBRE T160 10,6X6,8 CM NEGRO 1 UN TRIS"/>
        <s v="TEMPERAS 12 COL. FROZEN"/>
        <s v="TEMPERAS 12 COL. MONS"/>
        <s v="TEMPERAS 12 COL. PRIN"/>
        <s v="TIJERA PROFESIONAL T200 MAX 215MM AZUL/NEGRO 1 UNIDAD"/>
        <s v="TIJERA ESCOLAR CLASS BLISTER 1 UNIDAD"/>
        <s v="TIJERA PROFESIONAL T206S 203MM BLACK 1 UNIDAD"/>
        <s v="TIJERA PROFESIONAL T201 170MM BLACK 1 UNIDAD"/>
        <s v="TIJERA PROFESIONAL T208S 210MM BLACK 1 UNIDAD"/>
        <s v="TIJERA PROFESIONAL T205 ERGONOMETRICA 216MM 1 UNIDAD"/>
        <s v="TIJERA ESC. BLIS. CRAFT TRIS"/>
        <s v="TIJERA ESC. BLIS. TOP CUT TRIS"/>
        <s v="TIJERA ESC. C/ESTUCHE DSP 24UN TRIS BRZ"/>
        <s v="TIJERA ESC. LAM DEC 13CM BLS JUDY BRZ"/>
        <s v="TIJERA PROF T204 SUPER ERGONOMIC 178MM ROJ/NEG TRIS"/>
        <s v="TIJERA PROFESIONAL T800 BLIS. UFFIZI"/>
        <s v="TIJERA PROFESIONAL T810 BLIS. UFFIZI"/>
        <s v="TIJERA ESC.CORAZON DSP.18UN PRIN"/>
        <s v="TIJERA AVEN"/>
        <s v="TIJERA BARB CA"/>
        <s v="TIJERA CORAZON BLIS. BARB"/>
        <s v="TIJERA CORAZON BLIS. MARIE"/>
        <s v="TIJERA CORAZON BLIS. PRINCESAS"/>
        <s v="TIJERA ESC S/EST. MINNIE"/>
        <s v="TIJERA ESC.  MINNIE"/>
        <s v="TIJERA ESC. BLIS. CARS"/>
        <s v="TIJERA ESC. BLIS. HADA"/>
        <s v="TIJERA ESC. BLIS. HOTW"/>
        <s v="TIJERA ESC. BLIS. MARIE"/>
        <s v="TIJERA ESC. BLIS. MAXS"/>
        <s v="TIJERA ESC. BLIS. POLL"/>
        <s v="TIJERA ESC. BLIS. STAR WARS"/>
        <s v="TIJERA ESC. BLIS. TOYS"/>
        <s v="TIJERA ESC. BLIS.BARBIE"/>
        <s v="TIJERA ESC. BLIS.PRINCESAS"/>
        <s v="TIJERA ESC. C/ESTUCHE SIMPSON"/>
        <s v="TIJERA ESC.C/ESTUCHE  ANGRY BIRD"/>
        <s v="TIJERA ESC.C/ESTUCHE  CARS"/>
        <s v="TIJERA ESC.C/ESTUCHE  COLO COLO"/>
        <s v="TIJERA ESC.C/ESTUCHE  DSP.12UN CARS"/>
        <s v="TIJERA ESC.C/ESTUCHE  M.UNIV"/>
        <s v="TIJERA ESC.C/ESTUCHE  MINNIE B"/>
        <s v="TIJERA ESC.C/ESTUCHE  PLANES"/>
        <s v="TIJERA ESC.C/ESTUCHE  SPIDER A"/>
        <s v="TIJERA ESC.C/ESTUCHE  UNIV.CHILE"/>
        <s v="TIJERA ESC.C/ESTUCHE FROZEN"/>
        <s v="TIJERA ESC.CORAZON DSP.18UN BARB"/>
        <s v="TIJERA ESC.CORAZON DSP.18UN MARI"/>
        <s v="TIJERA ESC.DSP.18UN MARIE"/>
        <s v="TIJERA ESC.DSP.18UN MAXS"/>
        <s v="TIJERA ESC.DSP.18UN TOYS"/>
        <s v="TIJERA ESC.MONSTER HIGH BLIS"/>
        <s v="TIJERA ESCOLAR  BLS 1 UN BARBIE"/>
        <s v="TIJERA ESCOLAR 13 CM STAR WARS"/>
        <s v="TIJERA ESCOLAR BLS C/EST AV"/>
        <s v="TIJERA ESCOLAR LICENCIAS FR"/>
        <s v="TIJERA FROZEN"/>
        <s v="TIJERA PRIN"/>
        <s v="TIJERA SPID"/>
        <s v="TIMBRE BARBIE"/>
        <s v="TIMBRE MARIE"/>
        <s v="TIMBRES DISEÑO 3UN BLIS. BARB"/>
        <s v="TIMBRES DISEÑO 3UN BLIS. HADA"/>
        <s v="TIMBRES DISEÑO 3UN BLIS. HOTW"/>
        <s v="TIMBRES DISEÑO 3UN BLIS. MARIE"/>
        <s v="TIMBRES DISEÑO DSP. 12UN BARB"/>
        <s v="TIMBRES DISEÑO DSP. 12UN HADAS"/>
        <s v="TIMBRES DISEÑO DSP. 12UN HOT W"/>
        <s v="TIMBRES DISEÑO DSP. 12UN MARIE"/>
        <s v="TINTA TAMPON T325 40ML AZUL 1 UNIDAD"/>
        <s v="TINTA TAMPON T325 40ML NEGRO 1 UNIDAD"/>
        <s v="Pack 03 cinta embalaje transparente 48x100 mt"/>
        <s v="ETIQUETA ADHESIVA 100X50mm BCA ROLLO 100 UN."/>
        <s v="BOLIGRAFO FINELINER LIQEO SET 10 COLORES"/>
        <s v="LAPICES DE COLOR MEGA SOFT 72 COLORES ESTUCHE METAL"/>
        <s v="CORCHETERA METALICA T510 26/6 BLACK 25HJS 1 UNIDAD"/>
        <s v="CORCHETERA METALICA T571 26/6 SILVER 25HJS 1 UNIDAD"/>
        <s v="CORCHETERA ROSADA T304  26/6 1 UNIDAD"/>
        <s v="CORCHETERA 26/6 T327 13CM 20HJS BCO/NEG 1 UNIDAD"/>
        <s v="CORCHETERA METALICA 26/6 T945 BLACK 20HJS 1 UNIDAD"/>
        <s v="CORCHETERA METALICA 26/6 T316 BLACK 25HJS 1 UNIDAD"/>
        <s v="GOMA DE BORRAR SUMMER BLISTER 2 UNIDADES"/>
        <s v="TINTA GUACHE NEON TUBO-PINCEL SET 6 COLORES"/>
        <s v="TINTA GUACHE GLITTER TUBO-PINCEL SET 6 COLORES"/>
        <s v="BOLIGRAFO GEL PASTEL/GLITTER/NEON SET 12 COLORES"/>
        <s v="LAPICES DE COLOR MEGA 12 COLORES + 3 GRAFITOS GALAXY"/>
        <s v="LAPICES DE COLOR MEGA 12 COLORES + 3 GRAFITOS STAR"/>
        <s v="BASIC SET (SACAP+GOMA) EMOTICON"/>
        <s v="BOLIGRAFO GEL EFECTO GLITTER SET 6 COLORES"/>
        <s v="BOLIGRAFO GEL PASTEL SET 6 COLORES"/>
        <s v="LAPICES DE CERA GRUESOS 12 COLORES"/>
        <s v="LAPICES DE COLOR MEGA SOFT 12 COLORES"/>
        <s v="DESTACADOR LITTLE LIGHT SET 6 COLORES"/>
        <s v="MARCADOR PUNTA FINA CLASSIC PLUS 12 COLORES"/>
        <s v="SET LONCHERA PROMOCIONAL"/>
      </sharedItems>
    </cacheField>
    <cacheField name="LICENCIADOR" numFmtId="1">
      <sharedItems containsBlank="1">
        <s v="SUMMIT"/>
        <s v="MARVEL"/>
        <s v="DISNEY"/>
        <s v="ROVIO"/>
        <s v="MATTEL"/>
        <s v="AGOSIN"/>
        <s v="LUCAS"/>
        <s v="CONSIGNACION"/>
        <s v="FOX"/>
        <s v="SANRIO"/>
        <m/>
      </sharedItems>
    </cacheField>
    <cacheField name="LICEN" numFmtId="49">
      <sharedItems containsBlank="1">
        <s v="TRIS"/>
        <s v="SPID"/>
        <s v="FROZ"/>
        <s v="TMMH"/>
        <s v="ANGR"/>
        <s v="MONS"/>
        <s v="EMB"/>
        <s v="COLO"/>
        <s v="UCHI"/>
        <s v="SUMM"/>
        <s v="STAR"/>
        <s v="CONSIGNACION"/>
        <s v="BARB"/>
        <s v="MOAN"/>
        <s v="PRIN"/>
        <s v="MARI"/>
        <s v="HADA"/>
        <s v="POLL"/>
        <s v="AVEN"/>
        <s v="UFFI"/>
        <s v="RIO2"/>
        <s v="MUNI"/>
        <s v="MINN"/>
        <s v="PLAN"/>
        <s v="HOTW"/>
        <s v="MAXS"/>
        <s v="HKIT"/>
        <s v="OTROS"/>
        <s v="CARS"/>
        <s v="MICK"/>
        <s v="SIMP"/>
        <s v="TOYS"/>
        <s v="TMCJ"/>
        <s v="JUDY"/>
        <m/>
        <s v="TMTP"/>
        <s v="FISH"/>
      </sharedItems>
    </cacheField>
    <cacheField name="RUBRO" numFmtId="49">
      <sharedItems>
        <s v="OFICINA"/>
        <s v="ESCOLAR"/>
        <s v="DIDACTICOS"/>
        <s v="EMBALAJES"/>
        <s v="REGALERIA"/>
        <s v="PRODUCTO TERMINADO"/>
        <s v="CONSIGNACION"/>
        <s v="Z.OTROS"/>
        <s v="PACK"/>
        <s v="PRODUCTO TER"/>
      </sharedItems>
    </cacheField>
    <cacheField name="FAMILIA" numFmtId="49">
      <sharedItems containsBlank="1">
        <s v="NOTAS AUTOADHESIVAS"/>
        <s v="SACAPUNTAS"/>
        <s v="TIJERAS"/>
        <s v="GOMAS"/>
        <s v="MARCADORES OFICINA"/>
        <s v="PORTAMINAS"/>
        <s v="BOLIGRAFOS"/>
        <s v="DESTACADORES"/>
        <s v="PEGAMENTOS"/>
        <s v="CUADERNOS"/>
        <s v="SETS"/>
        <s v="GRAFITOS"/>
        <s v="JUEGOS DIDACTICOS"/>
        <s v="SACACORCHETES"/>
        <s v="PLASTICO BURBUJA"/>
        <s v="BASIC SET"/>
        <s v="CAJAS"/>
        <s v="CAJAS CARTON"/>
        <s v="CALCULADORAS"/>
        <s v="CERAS"/>
        <s v="CINTAS EMBALAJE"/>
        <s v="COLORES"/>
        <s v="CONSIGNACION"/>
        <s v="CORCHETERAS"/>
        <s v="CORRECTOR"/>
        <s v="CORRECTORES"/>
        <s v="DIDACTICOS"/>
        <s v="EMPAQUES"/>
        <s v="EXHIBIDORES"/>
        <s v="FILM STRETCH"/>
        <s v="KITS"/>
        <s v="MALETA BOX"/>
        <s v="MALETA DE ARTE"/>
        <s v="MAQUILAS"/>
        <s v="MARCADORES"/>
        <s v="MOCHILA"/>
        <s v="OTROS"/>
        <s v="PACK"/>
        <s v="PACK CINTAS EMBALAJE"/>
        <s v="PACKS"/>
        <s v="PIZARRAS"/>
        <s v="REGLAS"/>
        <s v="ROLLOS CARTON"/>
        <s v="PROD"/>
        <s v="LATAM"/>
        <s v="CARPETAS"/>
        <s v="CLIPS"/>
        <s v="DISPENSADORES"/>
        <s v="CERA / OIL"/>
        <s v="CORCHETES"/>
        <s v="TINTAS"/>
        <s v="ACCESORIOS"/>
        <s v="ACUARELAS"/>
        <s v="BORRADOR PIZARRA"/>
        <s v="CARTONEROS"/>
        <s v="CATALOGOS"/>
        <s v="COMPAS"/>
        <s v="CRAFT SET"/>
        <s v="CUBOS"/>
        <s v="ESQUINEROS"/>
        <s v="ESTUCHES"/>
        <s v="ETIQUETAS"/>
        <s v="MARCADORES MALETA"/>
        <s v="MARCADORES TELA"/>
        <s v="MASAS"/>
        <s v="MINAS"/>
        <s v="ORGANIZADORES"/>
        <s v="PACKS MRIPLEY"/>
        <s v="PERFORADORES"/>
        <s v="PLASTICINAS"/>
        <s v="PROMOCIONES"/>
        <s v="TAMPONES"/>
        <s v="TEMPERAS"/>
        <s v="TIMBRES"/>
        <m/>
      </sharedItems>
    </cacheField>
    <cacheField name="SUB FAMILIA" numFmtId="49">
      <sharedItems containsBlank="1">
        <s v="NOTAS AUTOADHESIVAS"/>
        <s v="DISEÑOS CON DEPOSITO"/>
        <s v="TRAZADOR DISEÑOS"/>
        <s v="DISEÑOS"/>
        <s v="PLUMONES PIZARRA"/>
        <s v="REPUESTO MINA"/>
        <s v="0.5 MM"/>
        <s v="TINTA"/>
        <s v="0.9 MM"/>
        <s v="DOBLES"/>
        <s v="0.7 MM"/>
        <s v="PLASTICOS CON DEPOSITO"/>
        <s v="FINELINER"/>
        <s v="2.0 MM"/>
        <s v="TRADICIONAL"/>
        <s v="BLANCAS"/>
        <s v="GLITTER"/>
        <s v="CUADERNOS UNIVERSITARIOS"/>
        <s v="PUNTA LAPIZ"/>
        <s v="ESCOLAR BASICO"/>
        <s v="CLASICA"/>
        <s v="GEL"/>
        <s v="COLOR"/>
        <m/>
        <s v="PALANCA"/>
        <s v="ERGONOMETRICA"/>
        <s v="BASICOS"/>
        <s v="CONSIGNACION"/>
        <s v="POP"/>
        <s v="MINI"/>
        <s v="2 EN 1"/>
        <s v="LAPIZ"/>
        <s v="CINTA"/>
        <s v="RETRACTIL"/>
        <s v="CUADERNOS COLLEGE"/>
        <s v="PASTEL"/>
        <s v="FLUOR"/>
        <s v="FILM STRETCH"/>
        <s v="ARTE"/>
        <s v="LAPIZ GOMA"/>
        <s v="JUMBO"/>
        <s v="PACK"/>
        <s v="PACK EMBALAJE"/>
        <s v="PACKS"/>
        <s v="EN BARRA"/>
        <s v="CLASICA NEON"/>
        <s v="LATAM"/>
        <s v="CUADERNOS COLLEGE 80"/>
        <s v="CUADERNOS COLLEGE 100"/>
        <s v="ZURDOS"/>
        <s v="MEGA SOFT"/>
        <s v="PUNTA GRUESA"/>
        <s v="PUNTA FINA"/>
        <s v="CARPETAS PASTIFICADAS"/>
        <s v="PORTAGOMA"/>
        <s v="NEON"/>
        <s v="BULLDOG"/>
        <s v="FLEXIBLES"/>
        <s v="OLEO PASTEL"/>
        <s v="CORCHETES"/>
        <s v="TAMPON"/>
        <s v="ACUARELABLES"/>
        <s v="ESCALIMETROS"/>
        <s v="PLASTICAS"/>
        <s v="ACUARELA SOLIDA"/>
        <s v="ACUARELA LIQUIDA"/>
        <s v="SACAPUNTA-GOMA"/>
        <s v="BASIC SET"/>
        <s v="CARTONEROS PLASTICOS"/>
        <s v="CARTONEROS METALICOS"/>
        <s v="REPUESTOS CARTONEROS"/>
        <s v="TRIANGULAR"/>
        <s v="ESTUCHE METAL"/>
        <s v="TONOS PASTEL"/>
        <s v="TONOS PIEL"/>
        <s v="ARCOIRIS"/>
        <s v="COMPAS"/>
        <s v="METALICAS"/>
        <s v="UNIVERSITARIOS"/>
        <s v="COLOREA"/>
        <s v="GRIP"/>
        <s v="MARCADORES OFICINA"/>
        <s v="PLUMONES PARA VIDRIO"/>
        <s v="PLUMONES PERMANENTE"/>
        <s v="PUNTA MEDIA"/>
        <s v="POTE"/>
        <s v="MARCA PAGINAS"/>
        <s v="COLA FRIA"/>
        <s v="30 HOJAS"/>
        <s v="20 HOJAS"/>
        <s v="10 HOJAS"/>
        <s v="60 HOJAS"/>
        <s v="SETS"/>
        <s v="SOBREMESA"/>
        <s v="DISEÑOS SIN DEPOSITO"/>
        <s v="METALICOS"/>
        <s v="PLASTICOS S/DEPOSITO"/>
        <s v="LAPICES COLOR"/>
        <s v="TIJERAS"/>
        <s v="ESCOLAR"/>
        <s v="TINTAS"/>
        <s v="GRUESOS"/>
      </sharedItems>
    </cacheField>
    <cacheField name="TIPO" numFmtId="49">
      <sharedItems containsBlank="1">
        <s v="A"/>
        <s v="C"/>
        <s v="B"/>
        <s v="OBS"/>
        <m/>
      </sharedItems>
    </cacheField>
    <cacheField name="SKU ORIGEN" numFmtId="49">
      <sharedItems>
        <s v="677446"/>
        <s v="643045"/>
        <s v="643069q"/>
        <s v="619941"/>
        <s v="622729"/>
        <s v="687377"/>
        <s v="686516"/>
        <s v="603353"/>
        <s v="663616"/>
        <s v="621043"/>
        <s v="686882q"/>
        <s v="672502"/>
        <s v="686912"/>
        <s v="686660"/>
        <s v="685250"/>
        <s v="687520q"/>
        <s v="672496"/>
        <s v="681160"/>
        <s v="625638"/>
        <s v="676425"/>
        <s v="681399"/>
        <s v="687360"/>
        <s v="688374"/>
        <s v="681429"/>
        <s v="673332q"/>
        <s v="685854q"/>
        <s v="681405"/>
        <s v="676395"/>
        <s v="688312"/>
        <s v="690919"/>
        <s v="603360"/>
        <s v="601588"/>
        <s v="666426q"/>
        <s v="687667q"/>
        <s v="681412"/>
        <s v="686530"/>
        <s v="688145q"/>
        <s v="687124"/>
        <s v="659497"/>
        <s v="691367q"/>
        <s v="691350q"/>
        <s v="681382"/>
        <s v="685205q"/>
        <s v="688299"/>
        <s v="688473"/>
        <s v="665849"/>
        <s v="635910w"/>
        <s v="634692"/>
        <s v="651453w"/>
        <s v="690469w"/>
        <s v="691367"/>
        <s v="690117"/>
        <s v="690728"/>
        <s v="688152w"/>
        <s v="650487w"/>
        <s v="648040p"/>
        <s v="676654w"/>
        <s v="684093w"/>
        <s v="678917s"/>
        <s v="684529"/>
        <s v="684567w"/>
        <s v="684529A"/>
        <s v="684567"/>
        <s v="666426"/>
        <s v="684451w"/>
        <s v="684451"/>
        <s v="687520"/>
        <s v="686271w"/>
        <s v="686271"/>
        <s v="687537w"/>
        <s v="672489w"/>
        <s v="672519w"/>
        <s v="651453"/>
        <s v="672489wz"/>
        <s v="672519"/>
        <s v="667409"/>
        <s v="687537"/>
        <s v="687124a"/>
        <s v="672496xz"/>
        <s v="663616AA"/>
        <s v="685854"/>
        <s v="672502xz"/>
        <s v="684468xz"/>
        <s v="685151xz"/>
        <s v="686233xz"/>
        <s v="672489"/>
        <s v="672496AA"/>
        <s v="672502AA"/>
        <s v="673998"/>
        <s v="668307"/>
        <s v="671215xz"/>
        <s v="668307p"/>
        <s v="673360"/>
        <s v="678986"/>
        <s v="690186xz"/>
        <s v="674896"/>
        <s v="684468"/>
        <s v="686233"/>
        <s v="685151"/>
        <s v="684840xx"/>
        <s v="667409s"/>
        <s v="667409p"/>
        <s v="672878"/>
        <s v="690490"/>
        <s v="673295xx"/>
        <s v="673301xx"/>
        <s v="682778p"/>
        <s v="672878p"/>
        <s v="671383xx"/>
        <s v="650718"/>
        <s v="659495"/>
        <s v="690469"/>
        <s v="674889xx"/>
        <s v="673318xx"/>
        <s v="673325xx"/>
        <s v="680712"/>
        <s v="680712p"/>
        <s v="671215"/>
        <s v="677354xx"/>
        <s v="677347xx"/>
        <s v="677354"/>
        <s v="677347"/>
        <s v="648736xx"/>
        <s v="680798xx"/>
        <s v="680798"/>
        <s v="687018cc"/>
        <s v="676555cc"/>
        <s v="649207c"/>
        <s v="649207"/>
        <s v="687018"/>
        <s v="652139c"/>
        <s v="688220cc"/>
        <s v="688220"/>
        <s v="652139"/>
        <s v="673349c"/>
        <s v="673318"/>
        <s v="673325"/>
        <s v="673363"/>
        <s v="673301"/>
        <s v="673295"/>
        <s v="691121c"/>
        <s v="603643c"/>
        <s v="603643"/>
        <s v="685953"/>
        <s v="685953c"/>
        <s v="685045"/>
        <s v="685045c"/>
        <s v="690179"/>
        <s v="625638aa"/>
        <s v="605654p"/>
        <s v="605647p"/>
        <s v="605685p"/>
        <s v="605678p"/>
        <s v="666945"/>
        <s v="222223"/>
        <s v="222223p"/>
        <s v="222222"/>
        <s v="222222p"/>
        <s v="657325c"/>
        <s v="690094"/>
        <s v="673080"/>
        <s v="682785"/>
        <s v="687797"/>
        <s v="687797c"/>
        <s v="686400"/>
        <s v="687773c"/>
        <s v="686400c"/>
        <s v="622729p"/>
        <s v="659497aa"/>
        <s v="664293"/>
        <s v="664293c"/>
        <s v="664279c"/>
        <s v="686882"/>
        <s v="635576c"/>
        <s v="635576"/>
        <s v="676395a"/>
        <s v="684802c"/>
        <s v="684802"/>
        <s v="687766c"/>
        <s v="676418"/>
        <s v="676418c"/>
        <s v="687766"/>
        <s v="676432"/>
        <s v="676432c"/>
        <s v="676425a"/>
        <s v="684840"/>
        <s v="682761"/>
        <s v="667300"/>
        <s v="684840p"/>
        <s v="667300p"/>
        <s v="678917p"/>
        <s v="645193"/>
        <s v="676654"/>
        <s v="687278c"/>
        <s v="687650c"/>
        <s v="676661c"/>
        <s v="687667"/>
        <s v="660424c"/>
        <s v="660424"/>
        <s v="688145"/>
        <s v="687681c"/>
        <s v="687681"/>
        <s v="634128c"/>
        <s v="687674c"/>
        <s v="688565c"/>
        <s v="687650"/>
        <s v="684161c"/>
        <s v="687278"/>
        <s v="687674"/>
        <s v="634128"/>
        <s v="688565"/>
        <s v="684161"/>
        <s v="685205"/>
        <s v="684093"/>
        <s v="678979c"/>
        <s v="690476"/>
        <s v="690858"/>
        <s v="657325"/>
        <s v="673349"/>
        <s v="673332"/>
        <s v="682785p"/>
        <s v="678979"/>
        <s v="679013p"/>
        <s v="645193p"/>
        <s v="678979p"/>
        <s v="657325p"/>
        <s v="691350"/>
        <s v="685250a"/>
        <s v="619941p"/>
        <s v="677446p"/>
        <s v="674155"/>
        <s v="674155p"/>
        <s v="682792s"/>
        <s v="682785s"/>
        <s v="679013"/>
        <s v="632100s"/>
        <s v="659251"/>
        <s v="659268"/>
        <s v="659244"/>
        <s v="690483"/>
        <s v="679136"/>
        <s v="679136p"/>
        <s v="687384c"/>
        <s v="687377c"/>
        <s v="687384x"/>
        <s v="687360d"/>
        <s v="690162"/>
        <s v="687384"/>
        <s v="690148"/>
        <s v="690766d"/>
        <s v="687360a"/>
        <s v="687377ds"/>
        <s v="674049"/>
        <s v="674049p"/>
        <s v="690131"/>
        <s v="672922p"/>
        <s v="672922"/>
        <s v="650718p"/>
        <s v="659495p"/>
        <s v="643052p"/>
        <s v="690131p"/>
        <s v="676654p"/>
        <s v="624365p"/>
        <s v="603643p"/>
        <s v="655604p+z"/>
        <s v="691121p"/>
        <s v="643052p+z"/>
        <s v="690476p"/>
        <s v="690858p"/>
        <s v="614168z"/>
        <s v="619392z"/>
        <s v="690490z"/>
        <s v="690483z"/>
        <s v="659251z"/>
        <s v="648040"/>
        <s v="605678z"/>
        <s v="619392z."/>
        <s v="690117z"/>
        <s v="674896z"/>
        <s v="673360z"/>
        <s v="643052"/>
        <s v="659244z"/>
        <s v="672922z"/>
        <s v="679044"/>
        <s v="690148z"/>
        <s v="690124z"/>
        <s v="659268z"/>
        <s v="666945z"/>
        <s v="690179z"/>
        <s v="673363z"/>
        <s v="673998z"/>
        <s v="648491z"/>
        <s v="682679z"/>
        <s v="619415"/>
        <s v="674896za"/>
        <s v="690933za"/>
        <s v="690162za"/>
        <s v="690094za"/>
        <s v="682815za"/>
        <s v="690728za"/>
        <s v="690544"/>
        <s v="614168"/>
        <s v="632100sa"/>
        <s v="632100"/>
        <s v="636054sa"/>
        <s v="619392"/>
        <s v="673271"/>
        <s v="690537"/>
        <s v="614168p"/>
        <s v="619392p"/>
        <s v="636054p"/>
        <s v="614175p"/>
        <s v="674896p"/>
        <s v="678986p"/>
        <s v="678986s"/>
        <s v="619415p"/>
        <s v="636054s"/>
        <s v="614175"/>
        <s v="679044p"/>
        <s v="690544p"/>
        <s v="690537p"/>
        <s v="673271p"/>
        <s v="681238c"/>
        <s v="681443c"/>
        <s v="681238"/>
        <s v="681252"/>
        <s v="681252c"/>
        <s v="681399aa"/>
        <s v="681382aa"/>
        <s v="681412aa"/>
        <s v="681443"/>
        <s v="681429aa"/>
        <s v="681405a"/>
        <s v="690629c"/>
        <s v="648484"/>
        <s v="668246"/>
        <s v="604985"/>
        <s v="648484p"/>
        <s v="668246p"/>
        <s v="604985p"/>
        <s v="682815"/>
        <s v="673363s"/>
        <s v="690629"/>
        <s v="690124"/>
        <s v="688299a"/>
        <s v="681160c"/>
        <s v="688374q"/>
        <s v="681160x"/>
        <s v="686479"/>
        <s v="686660q"/>
        <s v="686479c"/>
        <s v="686912q"/>
        <s v="603353Q"/>
        <s v="603360a"/>
        <s v="688312q"/>
        <s v="621043q"/>
        <s v="686516Q"/>
        <s v="686530a"/>
        <s v="682808"/>
        <s v="671383"/>
        <s v="682778"/>
        <s v="690155"/>
        <s v="674889"/>
        <s v="605654"/>
        <s v="636054"/>
        <s v="605647"/>
        <s v="605685"/>
        <s v="605678"/>
        <s v="678917"/>
        <s v="665849aa"/>
        <s v="676487c"/>
        <s v="617763c"/>
        <s v="685229c"/>
        <s v="685229"/>
        <s v="643045p"/>
        <s v="688138c"/>
        <s v="676487"/>
        <s v="635910"/>
        <s v="635910c"/>
        <s v="643069"/>
        <s v="685250aa"/>
        <s v="688152"/>
        <s v="617763"/>
        <s v="688138"/>
        <s v="648491"/>
        <s v="690186"/>
        <s v="690186p"/>
        <s v="690933"/>
        <s v="673165"/>
        <s v="673158"/>
        <s v="690155s"/>
        <s v="682730"/>
        <s v="682761s"/>
        <s v="682778s"/>
        <s v="673080s"/>
        <s v="682754"/>
        <s v="682679"/>
        <s v="682808s"/>
        <s v="672793"/>
        <s v="690919P"/>
        <s v="690155p"/>
        <s v="674889p"/>
        <s v="682679p"/>
        <s v="673165p"/>
        <s v="673158p"/>
        <s v="682730p"/>
        <s v="682754p"/>
        <s v="672793p"/>
        <s v="643519c"/>
        <s v="688473aa"/>
        <s v="690766"/>
        <s v="634692W"/>
        <s v="619941aa"/>
        <s v="601588aa"/>
        <s v="650487"/>
        <s v="655604"/>
        <s v="682792"/>
        <s v="655604p"/>
        <s v="648736"/>
        <s v="676555"/>
        <s v="691121"/>
        <s v="687773"/>
        <s v="664279"/>
        <s v="676661"/>
        <s v="643519"/>
        <s v="624365"/>
        <s v="678047"/>
        <s v="672861"/>
        <s v="691862"/>
        <s v="691879"/>
        <s v="619972"/>
        <s v="680187"/>
        <s v="676548"/>
        <s v="683720"/>
        <s v="691411"/>
        <s v="680255"/>
        <s v="676463"/>
        <s v="618678"/>
        <s v="629711"/>
        <s v="691596"/>
        <s v="663425"/>
        <s v="676456"/>
        <s v="686981"/>
        <s v="681368"/>
        <s v="672458"/>
        <s v="676401"/>
        <s v="635989"/>
        <s v="681436"/>
        <s v="668062"/>
        <s v="628165"/>
        <s v="691886"/>
        <s v="667584"/>
        <s v="668048"/>
        <s v="680224"/>
        <s v="664743"/>
        <s v="664767"/>
        <s v="648385"/>
        <s v="677453"/>
        <s v="691015"/>
        <s v="682068"/>
        <s v="687490"/>
        <s v="690902"/>
        <s v="686684"/>
        <s v="665320"/>
        <s v="684055"/>
        <s v="681375"/>
        <s v="667874"/>
        <s v="691381"/>
        <s v="691398"/>
        <s v="691404"/>
        <s v="682631"/>
        <s v="691275"/>
        <s v="621616"/>
        <s v="665061"/>
        <s v="676647"/>
        <s v="633695"/>
        <s v="681047"/>
        <s v="680743"/>
        <s v="691282"/>
        <s v="691299"/>
        <s v="691206"/>
        <s v="691213"/>
        <s v="691220"/>
        <s v="691244"/>
        <s v="691251"/>
        <s v="691268"/>
        <s v="691374"/>
        <s v="691343"/>
        <s v="644271"/>
        <s v="644325"/>
        <s v="644400"/>
        <s v="644363"/>
        <s v="644332"/>
        <s v="659480"/>
        <s v="660035"/>
        <s v="690506"/>
        <s v="622859"/>
        <s v="686998"/>
        <s v="688497"/>
        <s v="602615"/>
        <s v="686349"/>
        <s v="686363"/>
        <s v="681078"/>
        <s v="681085"/>
        <s v="648668"/>
        <s v="673677"/>
        <s v="673684"/>
        <s v="690872"/>
        <s v="690001"/>
        <s v="673691"/>
        <s v="656212"/>
        <s v="629308"/>
        <s v="675015"/>
        <s v="671314"/>
        <s v="630939"/>
        <s v="675770"/>
        <s v="637945"/>
        <s v="631172"/>
        <s v="680729"/>
        <s v="678870"/>
        <s v="631974"/>
        <s v="663555"/>
        <s v="670324"/>
        <s v="631585"/>
        <s v="638522"/>
        <s v="638140"/>
        <s v="662749"/>
        <s v="670577"/>
        <s v="645230"/>
        <s v="636795"/>
        <s v="674209"/>
        <s v="675541"/>
        <s v="680637"/>
        <s v="662862"/>
        <s v="677897"/>
        <s v="675107"/>
        <s v="637280"/>
        <s v="679150"/>
        <s v="686226"/>
        <s v="687568"/>
        <s v="684499"/>
        <s v="684512"/>
        <s v="680736"/>
        <s v="661681"/>
        <s v="691107"/>
        <s v="685564"/>
        <s v="651446"/>
        <s v="672526"/>
        <s v="663425p"/>
        <s v="682822"/>
        <s v="625478"/>
        <s v="625492"/>
        <s v="651477"/>
        <s v="628912"/>
        <s v="619385"/>
        <s v="619408"/>
        <s v="628905"/>
        <s v="633817"/>
        <s v="685137"/>
        <s v="684444"/>
        <s v="672915"/>
        <s v="674001"/>
        <s v="674162"/>
        <s v="673882"/>
        <s v="672786"/>
        <s v="625539"/>
        <s v="684505"/>
        <s v="686240"/>
        <s v="630007"/>
        <s v="626062"/>
        <s v="626048"/>
        <s v="684734"/>
        <s v="685007"/>
        <s v="684550"/>
        <s v="684994"/>
        <s v="684642"/>
        <s v="684635"/>
        <s v="633534"/>
        <s v="633558"/>
        <s v="633572"/>
        <s v="666464"/>
        <s v="666440"/>
        <s v="687544"/>
        <s v="686431"/>
        <s v="684659"/>
        <s v="684666"/>
        <s v="623290"/>
        <s v="606088"/>
        <s v="606101"/>
        <s v="606095"/>
        <s v="626680"/>
        <s v="647272"/>
        <s v="623252"/>
        <s v="623276"/>
        <s v="626024"/>
        <s v="687452"/>
        <s v="682846"/>
        <s v="677958"/>
        <s v="663630"/>
        <s v="638188"/>
        <s v="679037"/>
        <s v="666747"/>
        <s v="667850"/>
        <s v="666761"/>
        <s v="666808"/>
        <s v="666785"/>
        <s v="667027"/>
        <s v="667034"/>
        <s v="672977"/>
        <s v="674124"/>
        <s v="673066"/>
        <s v="673981"/>
        <s v="674131"/>
        <s v="671406"/>
        <s v="672762"/>
        <s v="673967"/>
        <s v="674117"/>
        <s v="673974"/>
        <s v="675466"/>
        <s v="675558"/>
        <s v="631202"/>
        <s v="670423"/>
        <s v="631646"/>
        <s v="633190"/>
        <s v="644479"/>
        <s v="663036"/>
        <s v="631219"/>
        <s v="631653"/>
        <s v="633206"/>
        <s v="644455"/>
        <s v="632049"/>
        <s v="631684"/>
        <s v="632346"/>
        <s v="633237"/>
        <s v="650586"/>
        <s v="632056"/>
        <s v="631691"/>
        <s v="633244"/>
        <s v="650593"/>
        <s v="631707"/>
        <s v="637341"/>
        <s v="644035"/>
        <s v="627564"/>
        <s v="678153"/>
        <s v="631714"/>
        <s v="643694"/>
        <s v="616834"/>
        <s v="668345"/>
        <s v="644042"/>
        <s v="627540"/>
        <s v="680316"/>
        <s v="678160"/>
        <s v="636610"/>
        <s v="636603"/>
        <s v="671178"/>
        <s v="671321"/>
        <s v="682914"/>
        <s v="643687"/>
        <s v="678924"/>
        <s v="627786"/>
        <s v="616827"/>
        <s v="682907"/>
        <s v="668321"/>
        <s v="690247"/>
        <s v="673264"/>
        <s v="677965"/>
        <s v="678122"/>
        <s v="644523"/>
        <s v="638669"/>
        <s v="636597"/>
        <s v="637013"/>
        <s v="636580"/>
        <s v="691893"/>
        <s v="669496"/>
        <s v="677934"/>
        <s v="674224"/>
        <s v="672816"/>
        <s v="673622"/>
        <s v="673281"/>
        <s v="600703"/>
        <s v="691046"/>
        <s v="691084"/>
        <s v="691077"/>
        <s v="691992"/>
        <s v="692012"/>
        <s v="692029"/>
        <s v="692036"/>
        <s v="692043"/>
        <s v="692425"/>
        <s v="692432"/>
        <s v="692449"/>
        <s v="664781"/>
        <s v="626673"/>
        <s v="621395"/>
        <s v="621418"/>
        <s v="691596P"/>
        <s v="691602"/>
        <s v="691619"/>
        <s v="667997"/>
        <s v="667997D"/>
        <s v="690841"/>
        <s v="664965"/>
        <s v="664989"/>
        <s v="601175"/>
        <s v="668017"/>
        <s v="CA0302"/>
        <s v="686936"/>
        <s v="659343"/>
        <s v="686448"/>
        <s v="687001"/>
        <s v="684338"/>
        <s v="644981"/>
        <s v="684765"/>
        <s v="685489"/>
        <s v="673257"/>
        <s v="682150"/>
        <s v="678863"/>
        <s v="675909"/>
        <s v="676302"/>
        <s v="654010"/>
        <s v="627588"/>
        <s v="654133"/>
        <s v="623016"/>
        <s v="617220"/>
        <s v="671154"/>
        <s v="673097"/>
        <s v="673004"/>
        <s v="657530"/>
        <s v="670348"/>
        <s v="666723"/>
        <s v="657615"/>
        <s v="662596"/>
        <s v="670515"/>
        <s v="657554"/>
        <s v="668383"/>
        <s v="637440"/>
        <s v="648057"/>
        <s v="648071"/>
        <s v="644837"/>
        <s v="654072"/>
        <s v="647951"/>
        <s v="644790"/>
        <s v="644851"/>
        <s v="664729"/>
        <s v="667928"/>
        <s v="602806"/>
        <s v="602820"/>
        <s v="684062"/>
        <s v="682327"/>
        <s v="682037"/>
        <s v="687841"/>
        <s v="687735"/>
        <s v="687711"/>
        <s v="682341"/>
        <s v="682334"/>
        <s v="654348"/>
        <s v="683942"/>
        <s v="635088"/>
        <s v="636283"/>
        <s v="633664"/>
        <s v="676227"/>
        <s v="635163"/>
        <s v="643915"/>
        <s v="643557"/>
        <s v="678832"/>
        <s v="679143"/>
        <s v="672809"/>
        <s v="644240"/>
        <s v="657707"/>
        <s v="670539"/>
        <s v="670287"/>
        <s v="670911"/>
        <s v="671284"/>
        <s v="675848"/>
        <s v="627601"/>
        <s v="645353"/>
        <s v="627861"/>
        <s v="623337"/>
        <s v="638577"/>
        <s v="638911"/>
        <s v="662633"/>
        <s v="663456"/>
        <s v="654232"/>
        <s v="662848"/>
        <s v="637501"/>
        <s v="637037"/>
        <s v="635293"/>
        <s v="680439"/>
        <s v="680644"/>
        <s v="676296"/>
        <s v="684987"/>
        <s v="678047P"/>
        <s v="629032"/>
        <s v="607900"/>
        <s v="603322"/>
        <s v="676531"/>
        <s v="659084"/>
        <s v="671247"/>
        <s v="671221"/>
        <s v="830898"/>
        <s v="671211"/>
        <s v="671212"/>
        <s v="671213"/>
        <s v="671214"/>
        <s v="671233"/>
        <s v="626341"/>
        <s v="671241"/>
        <s v="671411"/>
        <s v="674047"/>
        <s v="671234"/>
        <s v="671402"/>
        <s v="665900"/>
        <s v="665160"/>
        <s v="677361"/>
        <s v="665252"/>
        <s v="686554"/>
        <s v="615998"/>
        <s v="620183"/>
        <s v="616018"/>
        <s v="634432"/>
        <s v="648729"/>
        <s v="665306"/>
        <s v="665283"/>
        <s v="616216"/>
        <s v="616230"/>
        <s v="687025"/>
        <s v="668109"/>
        <s v="685472"/>
        <s v="685496"/>
        <s v="655444"/>
        <s v="631851"/>
        <s v="690612"/>
        <s v="690599"/>
        <s v="690605"/>
        <s v="690582"/>
        <s v="690568"/>
        <s v="690988"/>
        <s v="690575"/>
        <s v="658810"/>
        <s v="637167"/>
        <s v="676340"/>
        <s v="691831"/>
        <s v="691848"/>
        <s v="673670"/>
        <s v="691626"/>
        <s v="691633"/>
        <s v="691640"/>
        <s v="691657"/>
        <s v="691664"/>
        <s v="673707"/>
        <s v="650050"/>
        <s v="673714"/>
        <s v="673721"/>
        <s v="627076"/>
        <s v="605630"/>
        <s v="605661"/>
        <s v="627083"/>
        <s v="685083"/>
        <s v="672533"/>
        <s v="633916"/>
        <s v="674186"/>
        <s v="679112"/>
        <s v="679105"/>
        <s v="671222"/>
        <s v="679075"/>
        <s v="679068"/>
        <s v="678108"/>
        <s v="673288"/>
        <s v="T00002"/>
        <s v="T00003"/>
        <s v="T00004"/>
        <s v="T00007"/>
        <s v="T00009"/>
        <s v="1"/>
        <s v="691091"/>
        <s v="674193"/>
        <s v="672731"/>
        <s v="672748"/>
        <s v="672830"/>
        <s v="674100"/>
        <s v="667089"/>
        <s v="673769"/>
        <s v="671208"/>
        <s v="671352"/>
        <s v="668260"/>
        <s v="672823"/>
        <s v="669489"/>
        <s v="669458"/>
        <s v="669465"/>
        <s v="669472"/>
        <s v="682686"/>
        <s v="653990"/>
        <s v="692272"/>
        <s v="777777"/>
        <s v="EX0056"/>
        <s v="888888"/>
        <s v="333333"/>
        <s v="444444"/>
        <s v="555555"/>
        <s v="111111"/>
        <s v="681092"/>
        <s v="683782"/>
        <s v="676449"/>
        <s v="686417"/>
        <s v="687780"/>
        <s v="664316"/>
        <s v="659718"/>
        <s v="622767"/>
        <s v="648637"/>
        <s v="687803"/>
        <s v="607351"/>
        <s v="649955"/>
        <s v="649979"/>
        <s v="687810"/>
        <s v="607344"/>
        <s v="643656"/>
        <s v="627670"/>
        <s v="679181"/>
        <s v="627939"/>
        <s v="644004"/>
        <s v="616728"/>
        <s v="638409"/>
        <s v="638157"/>
        <s v="662602"/>
        <s v="663364"/>
        <s v="650029"/>
        <s v="654140"/>
        <s v="670607"/>
        <s v="638034"/>
        <s v="657684"/>
        <s v="677927"/>
        <s v="672892"/>
        <s v="681917"/>
        <s v="657486"/>
        <s v="657462"/>
        <s v="657936"/>
        <s v="632018"/>
        <s v="632575"/>
        <s v="680453"/>
        <s v="690261"/>
        <s v="690278"/>
        <s v="690285"/>
        <s v="672854"/>
        <s v="678078"/>
        <s v="670331"/>
        <s v="629711P"/>
        <s v="684086"/>
        <s v="691855"/>
        <s v="634142"/>
        <s v="643250"/>
        <s v="684079"/>
        <s v="684147"/>
        <s v="687704"/>
        <s v="628158"/>
        <s v="633480"/>
        <s v="659459"/>
        <s v="659435"/>
        <s v="662350"/>
        <s v="690896"/>
        <s v="628172"/>
        <s v="686943"/>
        <s v="681351"/>
        <s v="687698"/>
        <s v="687636"/>
        <s v="660349"/>
        <s v="683966"/>
        <s v="690865"/>
        <s v="678955"/>
        <s v="673059"/>
        <s v="690339"/>
        <s v="678177"/>
        <s v="678993"/>
        <s v="679006"/>
        <s v="677910"/>
        <s v="678849"/>
        <s v="657332"/>
        <s v="680248"/>
        <s v="679228"/>
        <s v="675572"/>
        <s v="671291"/>
        <s v="643571"/>
        <s v="657844"/>
        <s v="637181"/>
        <s v="673608"/>
        <s v="638249"/>
        <s v="643939"/>
        <s v="670294"/>
        <s v="636719"/>
        <s v="638591"/>
        <s v="662664"/>
        <s v="663470"/>
        <s v="675053"/>
        <s v="645179"/>
        <s v="654195"/>
        <s v="662978"/>
        <s v="644264"/>
        <s v="637549"/>
        <s v="670546"/>
        <s v="636726"/>
        <s v="643588"/>
        <s v="637198"/>
        <s v="638256"/>
        <s v="643946"/>
        <s v="638607"/>
        <s v="637563"/>
        <s v="637051"/>
        <s v="670553"/>
        <s v="670533"/>
        <s v="657264"/>
        <s v="657271"/>
        <s v="657288"/>
        <s v="663487"/>
        <s v="657301"/>
        <s v="662640"/>
        <s v="645186"/>
        <s v="657493"/>
        <s v="671031"/>
        <s v="691312"/>
        <s v="691336"/>
        <s v="691329"/>
        <s v="691237"/>
        <s v="691305"/>
        <s v="646886"/>
        <s v="646961"/>
        <s v="647210"/>
        <s v="646909"/>
        <s v="646862"/>
        <s v="647197"/>
        <s v="647128"/>
        <s v="646831"/>
        <s v="647173"/>
        <s v="646794"/>
        <s v="647135"/>
        <s v="647142"/>
        <s v="646800"/>
        <s v="647159"/>
        <s v="646817"/>
        <s v="647166"/>
        <s v="646824"/>
        <s v="647258"/>
        <s v="646947"/>
        <s v="646923"/>
        <s v="647234"/>
        <s v="640082"/>
        <s v="673110"/>
        <s v="673127"/>
        <s v="666532"/>
        <s v="674115"/>
        <s v="690421"/>
        <s v="690452"/>
        <s v="671106"/>
        <s v="673219"/>
        <s v="638218"/>
        <s v="690940"/>
        <s v="673660"/>
        <s v="673776"/>
        <s v="673790"/>
        <s v="667348"/>
        <s v="673783"/>
        <s v="674223"/>
        <s v="653907"/>
        <s v="631882"/>
        <s v="650036"/>
        <s v="658841"/>
        <s v="682860"/>
        <s v="686387"/>
        <s v="690971"/>
        <s v="677323"/>
        <s v="681849"/>
        <s v="675961"/>
        <s v="682884"/>
        <s v="679020"/>
        <s v="671116"/>
        <s v="660141"/>
        <s v="671185"/>
        <s v="673073"/>
        <s v="638225"/>
        <s v="653624"/>
        <s v="671710"/>
        <s v="679051"/>
        <s v="660929"/>
        <s v="677972"/>
        <s v="679259"/>
        <s v="676326"/>
        <s v="666495"/>
        <s v="683805"/>
        <s v="690889"/>
        <s v="632070"/>
        <s v="618692"/>
        <s v="683706"/>
        <s v="683744"/>
        <s v="683737"/>
        <s v="633749"/>
        <s v="600468"/>
        <s v="600451"/>
        <s v="683690"/>
        <s v="683713"/>
        <s v="621142"/>
        <s v="621180"/>
        <s v="633725"/>
        <s v="626277"/>
        <s v="683751"/>
        <s v="654324"/>
        <s v="683775"/>
        <s v="644905"/>
        <s v="683683"/>
        <s v="633602"/>
        <s v="623122"/>
        <s v="606163"/>
        <s v="606156"/>
        <s v="606170"/>
        <s v="659305"/>
        <s v="626291"/>
        <s v="656175"/>
        <s v="678856"/>
        <s v="673011"/>
        <s v="632506"/>
        <s v="632551"/>
        <s v="631905"/>
        <s v="682075"/>
        <s v="671376"/>
        <s v="643533"/>
        <s v="627519"/>
        <s v="673370"/>
        <s v="638171"/>
        <s v="643878"/>
        <s v="670362"/>
        <s v="635224"/>
        <s v="638478"/>
        <s v="632483"/>
        <s v="662695"/>
        <s v="663333"/>
        <s v="670584"/>
        <s v="645278"/>
        <s v="635262"/>
        <s v="644202"/>
        <s v="663098"/>
        <s v="677880"/>
        <s v="637464"/>
        <s v="673387"/>
        <s v="675732"/>
        <s v="650272"/>
        <s v="627533"/>
        <s v="629353"/>
        <s v="637488"/>
        <s v="673394"/>
        <s v="678085"/>
        <s v="690759"/>
        <s v="673806"/>
        <s v="678825"/>
        <s v="632209"/>
        <s v="671390"/>
        <s v="645131"/>
        <s v="654034"/>
        <s v="671055"/>
        <s v="650333"/>
        <s v="668369"/>
        <s v="666884"/>
        <s v="666822"/>
        <s v="673738"/>
        <s v="686455"/>
        <s v="671925"/>
        <s v="671918"/>
        <s v="671932"/>
        <s v="621128"/>
        <s v="691800"/>
        <s v="684222"/>
        <s v="688428"/>
        <s v="688435"/>
        <s v="688411"/>
        <s v="688404"/>
        <s v="650531"/>
        <s v="657967"/>
        <s v="632179"/>
        <s v="633343"/>
        <s v="671277"/>
        <s v="668024"/>
        <s v="687445"/>
        <s v="687476"/>
        <s v="687506"/>
        <s v="687483"/>
        <s v="677460"/>
        <s v="687513"/>
        <s v="681009"/>
        <s v="621340"/>
        <s v="635903"/>
        <s v="674933"/>
        <s v="682693"/>
        <s v="674803"/>
        <s v="666907"/>
        <s v="666921"/>
        <s v="674216"/>
        <s v="631837"/>
        <s v="637068"/>
        <s v="671093"/>
        <s v="667324"/>
        <s v="674834"/>
        <s v="674919"/>
        <s v="678900"/>
        <s v="674926"/>
        <s v="674827"/>
        <s v="674902"/>
        <s v="643076"/>
        <s v="666666"/>
        <s v="638362"/>
        <s v="662954"/>
        <s v="631745"/>
        <s v="674226"/>
        <s v="671161"/>
        <s v="671382"/>
        <s v="243651"/>
        <s v="243652"/>
        <s v="690018"/>
        <s v="690100"/>
        <s v="690049"/>
        <s v="690032"/>
        <s v="690025"/>
        <s v="690087"/>
        <s v="690513"/>
        <s v="690070"/>
        <s v="685267"/>
        <s v="603377"/>
        <s v="690056"/>
        <s v="614069"/>
        <s v="243696"/>
        <s v="722214"/>
        <s v="243658"/>
        <s v="691589"/>
        <s v="692005"/>
        <s v="604978"/>
        <s v="632322"/>
        <s v="647289"/>
        <s v="636016"/>
        <s v="636023"/>
        <s v="631462"/>
        <s v="632568"/>
        <s v="690063"/>
        <s v="647296"/>
        <s v="678109"/>
        <s v="673653"/>
        <s v="635996"/>
        <s v="631431"/>
        <s v="631455"/>
        <s v="678009"/>
        <s v="631264"/>
        <s v="690414"/>
        <s v="632223"/>
        <s v="631486"/>
        <s v="632315"/>
        <s v="620428"/>
        <s v="632216"/>
        <s v="631493"/>
        <s v="631769"/>
        <s v="635101"/>
        <s v="691053"/>
        <s v="681290"/>
        <s v="664125"/>
        <s v="681276"/>
        <s v="635095"/>
        <s v="607986"/>
        <s v="614021"/>
        <s v="608013"/>
        <s v="659145"/>
        <s v="662299"/>
        <s v="662312"/>
        <s v="662336"/>
        <s v="605289"/>
        <s v="611808"/>
        <s v="605326"/>
        <s v="604954"/>
        <s v="604961"/>
        <s v="605258"/>
        <s v="605302"/>
        <s v="603087"/>
        <s v="605296"/>
        <s v="611839"/>
        <s v="605333"/>
        <s v="605265"/>
        <s v="605319"/>
        <s v="648477"/>
        <s v="653594"/>
        <s v="631813"/>
        <s v="631318"/>
        <s v="643847"/>
        <s v="644165"/>
        <s v="636924"/>
        <s v="644370"/>
        <s v="662992"/>
        <s v="637389"/>
        <s v="632155"/>
        <s v="667164"/>
        <s v="678115"/>
        <s v="636979"/>
        <s v="671017"/>
        <s v="628004"/>
        <s v="644158"/>
        <s v="673240"/>
        <s v="628103"/>
        <s v="647982"/>
        <s v="631288"/>
        <s v="664224"/>
        <s v="643830"/>
        <s v="627984"/>
        <s v="643809"/>
        <s v="631295"/>
        <s v="628080"/>
        <s v="650098"/>
        <s v="647968"/>
        <s v="648026"/>
        <s v="662893"/>
        <s v="644127"/>
        <s v="670409"/>
        <s v="680279"/>
        <s v="680422"/>
        <s v="671062"/>
        <s v="675428"/>
        <s v="687612"/>
        <s v="665399"/>
        <s v="665382"/>
        <s v="665368"/>
        <s v="681023"/>
        <s v="634449"/>
        <s v="616155"/>
        <s v="621302"/>
        <s v="634463"/>
        <s v="673745"/>
        <s v="678962"/>
        <s v="690773"/>
        <s v="633435"/>
        <s v="690803"/>
        <s v="637495"/>
        <s v="671338"/>
        <s v="660134"/>
        <s v="673356"/>
        <s v="653846"/>
        <s v="639338"/>
        <s v="657448"/>
        <s v="663531"/>
        <s v="667041"/>
        <s v="657431"/>
        <s v="673752"/>
        <s v="653747"/>
        <s v="678948"/>
        <s v="682648"/>
        <s v="688695"/>
        <s v="672946"/>
        <s v="688459"/>
        <s v="688442"/>
        <s v="677903"/>
        <s v="672953"/>
        <s v="672960"/>
        <s v="674810"/>
        <s v="672984"/>
        <s v="672991"/>
        <s v="691008"/>
        <s v="688336"/>
        <s v="686929"/>
        <s v="688343"/>
        <s v="681139"/>
        <s v="686493"/>
        <s v="681153"/>
        <s v="690384"/>
        <s v="660127"/>
        <s v="611297"/>
        <s v="649597"/>
        <s v="623214"/>
        <s v="659756"/>
        <s v="648750"/>
        <s v="681054"/>
        <s v="688350"/>
        <s v="681184"/>
        <s v="634067"/>
        <s v="686677"/>
        <s v="611303"/>
        <s v="621876"/>
        <s v="649030"/>
        <s v="633275"/>
        <s v="638546"/>
        <s v="653167"/>
        <s v="635422"/>
        <s v="627847"/>
        <s v="616766"/>
        <s v="631912"/>
        <s v="644097"/>
        <s v="643755"/>
        <s v="644103"/>
        <s v="648293"/>
        <s v="648125"/>
        <s v="648330"/>
        <s v="648163"/>
        <s v="648323"/>
        <s v="648156"/>
        <s v="648361"/>
        <s v="648194"/>
        <s v="643748"/>
        <s v="999999"/>
        <s v="686615"/>
        <s v="621615"/>
        <s v="635378"/>
        <s v="635408"/>
        <s v="676586"/>
        <s v="659848"/>
        <s v="643502"/>
        <s v="648422"/>
        <s v="682839"/>
        <s v="648446"/>
        <s v="648460"/>
        <s v="632605"/>
        <s v="675459"/>
        <s v="675589"/>
        <s v="627731"/>
        <s v="660059"/>
        <s v="648118"/>
        <s v="670355"/>
        <s v="628592"/>
        <s v="670522"/>
        <s v="631363"/>
        <s v="644066"/>
        <s v="637648"/>
        <s v="628578"/>
        <s v="663111"/>
        <s v="632254"/>
        <s v="633442"/>
        <s v="648095"/>
        <s v="643717"/>
        <s v="690308"/>
        <s v="672779"/>
        <s v="672755"/>
        <s v="690315"/>
        <s v="676494"/>
        <s v="686905"/>
        <s v="676517"/>
        <s v="664378"/>
        <s v="659329"/>
        <s v="644868"/>
        <s v="660417"/>
        <s v="626239"/>
        <s v="690353"/>
        <s v="690391"/>
        <s v="685281"/>
        <s v="602714"/>
        <s v="685236"/>
        <s v="688077"/>
        <s v="688121"/>
        <s v="634401"/>
        <s v="674292"/>
        <s v="658964"/>
        <s v="659558"/>
        <s v="648521"/>
        <s v="605555"/>
        <s v="608044"/>
        <s v="614953"/>
        <s v="617756"/>
        <s v="664576"/>
        <s v="634395"/>
        <s v="634388"/>
        <s v="649641"/>
        <s v="664354"/>
        <s v="626215"/>
        <s v="649733"/>
        <s v="649689"/>
        <s v="659985"/>
        <s v="658988"/>
        <s v="649672"/>
        <s v="626222"/>
        <s v="661384"/>
        <s v="685274"/>
        <s v="649832"/>
        <s v="685342"/>
        <s v="679167"/>
        <s v="632278"/>
        <s v="637303"/>
        <s v="657868"/>
        <s v="663340"/>
        <s v="659879"/>
        <s v="631141"/>
        <s v="631981"/>
        <s v="643984"/>
        <s v="631592"/>
        <s v="638386"/>
        <s v="633091"/>
        <s v="644295"/>
        <s v="643632"/>
        <s v="620893"/>
        <s v="691060"/>
        <s v="677477"/>
        <s v="679099"/>
        <s v="653891"/>
        <s v="638508"/>
        <s v="653150"/>
        <s v="671109"/>
        <s v="671130"/>
        <s v="653693"/>
        <s v="671086"/>
        <s v="671123"/>
        <s v="670508"/>
        <s v="653778"/>
        <s v="672724"/>
        <s v="672847"/>
        <s v="674865"/>
        <s v="690643"/>
        <s v="690674"/>
        <s v="690445"/>
        <s v="690438"/>
        <s v="690292"/>
        <s v="690650"/>
        <s v="690667"/>
        <s v="636641"/>
        <s v="672885"/>
        <s v="660363"/>
        <s v="673141"/>
        <s v="660226"/>
        <s v="673202"/>
        <s v="673615"/>
        <s v="636627"/>
        <s v="673646"/>
        <s v="636801"/>
        <s v="682709"/>
        <s v="659688"/>
        <s v="660189"/>
        <s v="658797"/>
        <s v="650258"/>
        <s v="673226"/>
        <s v="671345"/>
        <s v="673233"/>
        <s v="674148"/>
        <s v="667126"/>
        <s v="653716"/>
        <s v="667140"/>
        <s v="682662"/>
        <s v="682669"/>
        <s v="678894"/>
        <s v="636689"/>
        <s v="674940"/>
        <s v="673103"/>
        <s v="653679"/>
        <s v="670263"/>
        <s v="653730"/>
        <s v="653877"/>
        <s v="682652"/>
        <s v="682655"/>
        <s v="673196"/>
        <s v="653839"/>
        <s v="638485"/>
        <s v="644509"/>
        <s v="653945"/>
        <s v="637242"/>
        <s v="653969"/>
        <s v="636696"/>
        <s v="650319"/>
        <s v="673134"/>
        <s v="690780"/>
        <s v="672908"/>
        <s v="674858"/>
        <s v="674841"/>
        <s v="636658"/>
        <s v="671369"/>
        <s v="671246"/>
        <s v="653792"/>
        <s v="642109"/>
        <s v="666501"/>
        <s v="667188"/>
        <s v="690797"/>
        <s v="671253"/>
        <s v="667201"/>
        <s v="674872"/>
        <s v="682716"/>
        <s v="682723"/>
        <s v="690230"/>
        <s v="666969"/>
        <s v="666983"/>
        <s v="668284"/>
        <s v="667386"/>
        <s v="672939"/>
        <s v="673639"/>
        <s v="682891"/>
        <s v="667065"/>
        <s v="674018"/>
        <s v="667225"/>
        <s v="667263"/>
        <s v="667249"/>
        <s v="671260"/>
        <s v="653754"/>
        <s v="631950"/>
        <s v="650197"/>
        <s v="660240"/>
        <s v="660936"/>
        <s v="667003"/>
        <s v="650067"/>
        <s v="673912"/>
        <s v="664637"/>
        <s v="678092"/>
        <s v="673042"/>
        <s v="690209"/>
        <s v="667546"/>
        <s v="601571"/>
        <s v="667522"/>
        <s v="665467"/>
        <s v="667508"/>
        <s v="667560"/>
        <s v="619996"/>
        <s v="650517"/>
        <s v="664538"/>
        <s v="659824"/>
        <s v="667461"/>
        <s v="622170"/>
        <s v="622194"/>
        <s v="649009"/>
        <s v="675442"/>
        <s v="675800"/>
        <s v="654256"/>
        <s v="648965"/>
        <s v="648996"/>
        <s v="662725"/>
        <s v="632643"/>
        <s v="627717"/>
        <s v="627977"/>
        <s v="643977"/>
        <s v="623641"/>
        <s v="638300"/>
        <s v="645209"/>
        <s v="677941"/>
        <s v="637679"/>
        <s v="643618"/>
        <s v="623627"/>
        <s v="673035"/>
        <s v="670904"/>
        <s v="657363"/>
        <s v="673400"/>
        <s v="657370"/>
        <s v="670379"/>
        <s v="667362"/>
        <s v="670591"/>
        <s v="663135"/>
        <s v="673417"/>
        <s v="678887"/>
        <s v="643625"/>
        <s v="648972"/>
        <s v="636788"/>
        <s v="650203"/>
        <s v="637693"/>
        <s v="663395"/>
        <s v="683812"/>
        <s v="675084"/>
        <s v="671307"/>
        <s v="679235"/>
        <s v="680309"/>
        <s v="680699"/>
        <s v="675596"/>
        <s v="675893"/>
        <s v="677316"/>
        <s v="673424"/>
        <s v="632124"/>
        <s v="673431"/>
        <s v="631783"/>
        <s v="653952"/>
        <s v="632131"/>
        <s v="654102"/>
        <s v="631790"/>
        <s v="665504"/>
        <s v="668086"/>
        <s v="692098"/>
        <s v="692371"/>
        <s v="685458"/>
        <s v="687247"/>
        <s v="665085"/>
        <s v="680774"/>
        <s v="665924"/>
        <s v="665931"/>
        <s v="665146"/>
        <s v="665184"/>
        <s v="687827"/>
        <s v="682365"/>
        <s v="681306"/>
        <s v="603056"/>
        <s v="603506"/>
        <s v="603490"/>
        <s v="688503"/>
        <s v="651422"/>
        <s v="603049"/>
        <s v="684321"/>
        <s v="684116"/>
        <s v="648927"/>
        <s v="657714"/>
        <s v="691985"/>
      </sharedItems>
    </cacheField>
    <cacheField name="STPP" numFmtId="0">
      <sharedItems containsBlank="1">
        <m/>
        <s v="A"/>
      </sharedItems>
    </cacheField>
  </cacheFields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J82" sheet="Ordenes de Produccion"/>
  </cacheSource>
  <cacheFields>
    <cacheField name="FECHA" numFmtId="165">
      <sharedItems containsSemiMixedTypes="0" containsDate="1" containsString="0">
        <d v="2025-03-21T00:00:00Z"/>
        <d v="2025-03-22T00:00:00Z"/>
        <d v="2025-03-25T00:00:00Z"/>
        <d v="2025-03-27T00:00:00Z"/>
        <d v="2025-03-28T00:00:00Z"/>
        <d v="2025-04-02T00:00:00Z"/>
        <d v="2025-04-04T00:00:00Z"/>
        <d v="2025-04-07T00:00:00Z"/>
      </sharedItems>
    </cacheField>
    <cacheField name="OC" numFmtId="0">
      <sharedItems>
        <s v="AjusteEasy1"/>
        <s v="AjusteSodimac01"/>
        <s v="250325S-1"/>
        <s v="260325S-1"/>
        <s v="270325S-2"/>
        <s v="280325S-1"/>
        <s v="310325-1"/>
        <s v="010325S"/>
        <s v="020425"/>
        <s v="030425"/>
        <s v="070425"/>
      </sharedItems>
    </cacheField>
    <cacheField name="CLIENTE" numFmtId="0">
      <sharedItems>
        <s v="Easy"/>
        <s v="Sodimac"/>
        <s v="MX"/>
        <s v="Sodimac "/>
      </sharedItems>
    </cacheField>
    <cacheField name="SKU ORIGEN" numFmtId="0">
      <sharedItems containsString="0" containsBlank="1" containsNumber="1" containsInteger="1">
        <n v="692425.0"/>
        <n v="600567.0"/>
        <n v="600673.0"/>
        <m/>
        <n v="692012.0"/>
        <n v="692043.0"/>
        <n v="692036.0"/>
        <n v="692029.0"/>
        <n v="605678.0"/>
        <n v="682778.0"/>
        <n v="674889.0"/>
        <n v="692265.0"/>
      </sharedItems>
    </cacheField>
    <cacheField name="SKU" numFmtId="0">
      <sharedItems containsSemiMixedTypes="0" containsString="0" containsNumber="1" containsInteger="1">
        <n v="692425.0"/>
        <n v="600567.0"/>
        <n v="600673.0"/>
        <n v="691992.0"/>
        <n v="685151.0"/>
        <n v="600482.0"/>
        <n v="692012.0"/>
        <n v="692043.0"/>
        <n v="692036.0"/>
        <n v="692029.0"/>
        <n v="605678.0"/>
        <n v="682778.0"/>
        <n v="674889.0"/>
        <n v="692265.0"/>
      </sharedItems>
    </cacheField>
    <cacheField name="DESCRIPCION" numFmtId="0">
      <sharedItems>
        <s v="CAJA CARTON PISQUERA 31x23x31 CM"/>
        <s v="SEPARADORES PLATOS 32X23X32"/>
        <s v="ROLLO PAPEL KRAFT 35GR 25 MT"/>
        <s v="CAJA CARTON CORRUGADO 50x30x30 PACK 5 UND"/>
        <s v="CAJA CARTON PISQUERA 31x23x31 CM. PACK 5 UND"/>
        <s v="CAJA CARTON CON ASAS 40X30X30 CM 5UN EASY"/>
        <s v="CAJA CARTON CORRUGADO 50x40x30 "/>
        <s v="CAJA CARTON CORRUGADO 60x60x50 CM "/>
        <s v="CAJA CARTON CORRUGADO 47x31x31 "/>
        <s v="CAJA CARTON CORRUGADO 60x40x40 "/>
        <s v="ROLLO CARTON CORRUGADO 1.20X73Mt aprox. 25K"/>
        <s v="ROLLO CARTON CORRUGADO 1.20X25 MT"/>
        <s v="ROLLO CARTON CORRUGADO 0.80X24 MT"/>
        <s v="ROLLO CARTON CORRUGADO 0.80X100 MT"/>
      </sharedItems>
    </cacheField>
    <cacheField name="MAXIMO A PROD" numFmtId="0">
      <sharedItems containsSemiMixedTypes="0" containsString="0" containsNumber="1" containsInteger="1">
        <n v="400.0"/>
        <n v="525.0"/>
        <n v="178.0"/>
        <n v="276.0"/>
        <n v="97.0"/>
        <n v="77.0"/>
        <n v="176.0"/>
        <n v="91.0"/>
        <n v="80.0"/>
        <n v="150.0"/>
        <n v="300.0"/>
        <n v="350.0"/>
        <n v="225.0"/>
        <n v="200.0"/>
        <n v="40.0"/>
        <n v="12.0"/>
        <n v="20.0"/>
        <n v="65.0"/>
        <n v="325.0"/>
        <n v="45.0"/>
        <n v="175.0"/>
        <n v="25.0"/>
        <n v="165.0"/>
        <n v="100.0"/>
        <n v="55.0"/>
        <n v="90.0"/>
        <n v="70.0"/>
        <n v="13.0"/>
        <n v="50.0"/>
        <n v="338.0"/>
        <n v="37.0"/>
        <n v="349.0"/>
        <n v="140.0"/>
        <n v="24.0"/>
        <n v="11.0"/>
        <n v="29.0"/>
        <n v="33.0"/>
        <n v="241.0"/>
      </sharedItems>
    </cacheField>
    <cacheField name="UBICACION" numFmtId="0">
      <sharedItems>
        <s v="PATIO-1-5"/>
        <s v="3-1-2B"/>
        <s v="3-1-3A"/>
        <s v="3-6-4A"/>
        <s v="3-6-5A"/>
        <s v="2-4-1"/>
        <s v="2-5-1"/>
        <s v="2-2-3"/>
        <s v="2-3-1"/>
        <s v="PATIO-1-6"/>
        <s v="CASINO-1-6"/>
        <s v="3-2-4B"/>
        <s v="3-3-4B"/>
        <s v="3-5-4A"/>
        <s v="3-5-5A"/>
        <s v="3-NV-3"/>
        <s v="PATIO-1-12"/>
        <s v="PATIO-1-13"/>
        <s v="PATIO-1-14"/>
        <s v="PATIO-1-15"/>
        <s v="PATIO-1-16"/>
        <s v="3-PROD-2"/>
        <s v="2-3-3"/>
        <s v="2-4-2"/>
        <s v="2-4-3"/>
        <s v="2-5-2"/>
        <s v="2-5-3"/>
        <s v="3-NV-2"/>
        <s v="CASINO-1-11"/>
        <s v="3-4-2B"/>
        <s v="3-4-3A"/>
        <s v="3-5-1B"/>
        <s v="3-2-4A"/>
        <s v="3-5-1A"/>
        <s v="3-2-3B"/>
        <s v="3-NV-4"/>
        <s v="3-5-2A"/>
        <s v="3-2-2B"/>
        <s v="3-2-2A"/>
        <s v="CASINO-1-5"/>
        <s v="3-3-3B"/>
        <s v="CASINO-1-4"/>
        <s v="CASINO-1-3"/>
        <s v="3-2-3A"/>
        <s v="3-3-4A"/>
        <s v="ANDEN-1-3"/>
        <s v="T-1-12"/>
        <s v="T-1-13"/>
        <s v="T-1-14"/>
        <s v="T-1-15"/>
      </sharedItems>
    </cacheField>
    <cacheField name="CANTIDAD UTILIZADA" numFmtId="0">
      <sharedItems containsSemiMixedTypes="0" containsString="0" containsNumber="1" containsInteger="1">
        <n v="125.0"/>
        <n v="100.0"/>
        <n v="178.0"/>
        <n v="276.0"/>
        <n v="25.0"/>
        <n v="77.0"/>
        <n v="176.0"/>
        <n v="91.0"/>
        <n v="80.0"/>
        <n v="150.0"/>
        <n v="300.0"/>
        <n v="200.0"/>
        <n v="40.0"/>
        <n v="12.0"/>
        <n v="20.0"/>
        <n v="65.0"/>
        <n v="60.0"/>
        <n v="50.0"/>
        <n v="225.0"/>
        <n v="250.0"/>
        <n v="102.0"/>
        <n v="15.0"/>
        <n v="4.0"/>
        <n v="10.0"/>
        <n v="70.0"/>
        <n v="130.0"/>
        <n v="1.0"/>
        <n v="6.0"/>
        <n v="7.0"/>
        <n v="175.0"/>
        <n v="9.0"/>
        <n v="8.0"/>
        <n v="16.0"/>
        <n v="75.0"/>
        <n v="349.0"/>
        <n v="24.0"/>
        <n v="11.0"/>
        <n v="17.0"/>
        <n v="28.0"/>
        <n v="241.0"/>
      </sharedItems>
    </cacheField>
    <cacheField name="STATUS" numFmtId="0">
      <sharedItems>
        <s v="DESPACHADO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pivotTable1.xml><?xml version="1.0" encoding="utf-8"?>
<pivotTableDefinition xmlns="http://schemas.openxmlformats.org/spreadsheetml/2006/main" name="INVENTARIO 10-03-2025" cacheId="0" dataCaption="" compact="0" compactData="0">
  <location ref="A2:B26" firstHeaderRow="0" firstDataRow="1" firstDataCol="0"/>
  <pivotFields>
    <pivotField name="DESCRIPCION" axis="axisRow" compact="0" outline="0" multipleItemSelectionAllowed="1" showAll="0" sortType="ascending">
      <items>
        <item x="12"/>
        <item x="10"/>
        <item x="9"/>
        <item x="13"/>
        <item x="14"/>
        <item x="11"/>
        <item x="15"/>
        <item x="16"/>
        <item x="4"/>
        <item x="1"/>
        <item x="17"/>
        <item x="8"/>
        <item x="0"/>
        <item x="21"/>
        <item x="3"/>
        <item x="5"/>
        <item x="7"/>
        <item x="19"/>
        <item x="20"/>
        <item x="6"/>
        <item x="22"/>
        <item x="2"/>
        <item x="18"/>
        <item t="default"/>
      </items>
    </pivotField>
    <pivotField name="CANTIDAD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</pivotFields>
  <rowFields>
    <field x="0"/>
  </rowFields>
  <dataFields>
    <dataField name="TOTAL" fld="1" baseField="0"/>
  </dataFields>
</pivotTableDefinition>
</file>

<file path=xl/pivotTables/pivotTable2.xml><?xml version="1.0" encoding="utf-8"?>
<pivotTableDefinition xmlns="http://schemas.openxmlformats.org/spreadsheetml/2006/main" name="Detalle Pallet Multicodigo" cacheId="1" dataCaption="" rowGrandTotals="0" compact="0" compactData="0">
  <location ref="G1:J100" firstHeaderRow="0" firstDataRow="3" firstDataCol="0"/>
  <pivotFields>
    <pivotField name="N° PALLET" axis="axisRow" compact="0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</items>
    </pivotField>
    <pivotField name="SKU" axis="axisRow" compact="0" numFmtId="49" outline="0" multipleItemSelectionAllowed="1" showAll="0" sortType="ascending" defaultSubtotal="0">
      <items>
        <item x="39"/>
        <item x="25"/>
        <item x="0"/>
        <item x="64"/>
        <item x="24"/>
        <item x="38"/>
        <item x="8"/>
        <item x="12"/>
        <item x="28"/>
        <item x="48"/>
        <item x="65"/>
        <item x="2"/>
        <item x="19"/>
        <item x="51"/>
        <item x="56"/>
        <item x="61"/>
        <item x="53"/>
        <item x="29"/>
        <item x="41"/>
        <item x="43"/>
        <item x="60"/>
        <item x="52"/>
        <item x="42"/>
        <item x="55"/>
        <item x="54"/>
        <item x="14"/>
        <item x="59"/>
        <item x="3"/>
        <item x="40"/>
        <item x="47"/>
        <item x="67"/>
        <item x="15"/>
        <item x="46"/>
        <item x="13"/>
        <item x="11"/>
        <item x="49"/>
        <item x="32"/>
        <item x="50"/>
        <item x="37"/>
        <item x="9"/>
        <item x="16"/>
        <item x="20"/>
        <item x="31"/>
        <item x="33"/>
        <item x="34"/>
        <item x="35"/>
        <item x="30"/>
        <item x="27"/>
        <item x="36"/>
        <item x="45"/>
        <item x="44"/>
        <item x="58"/>
        <item x="1"/>
        <item x="63"/>
        <item x="6"/>
        <item x="21"/>
        <item x="18"/>
        <item x="7"/>
        <item x="17"/>
        <item x="66"/>
        <item x="62"/>
        <item x="22"/>
        <item x="23"/>
        <item x="10"/>
        <item x="5"/>
        <item x="4"/>
        <item x="26"/>
        <item x="57"/>
      </items>
    </pivotField>
    <pivotField name="DESCRIPCION" axis="axisRow" compact="0" numFmtId="49" outline="0" multipleItemSelectionAllowed="1" showAll="0" sortType="ascending">
      <items>
        <item x="29"/>
        <item x="41"/>
        <item x="44"/>
        <item x="61"/>
        <item x="62"/>
        <item x="40"/>
        <item x="47"/>
        <item x="43"/>
        <item x="60"/>
        <item x="52"/>
        <item x="42"/>
        <item x="55"/>
        <item x="39"/>
        <item x="28"/>
        <item x="36"/>
        <item x="11"/>
        <item x="13"/>
        <item x="49"/>
        <item x="48"/>
        <item x="12"/>
        <item x="16"/>
        <item x="19"/>
        <item x="65"/>
        <item x="15"/>
        <item x="46"/>
        <item x="14"/>
        <item x="53"/>
        <item x="17"/>
        <item x="18"/>
        <item x="67"/>
        <item x="50"/>
        <item x="21"/>
        <item x="37"/>
        <item x="45"/>
        <item x="66"/>
        <item x="32"/>
        <item x="22"/>
        <item x="23"/>
        <item x="20"/>
        <item x="31"/>
        <item x="33"/>
        <item x="35"/>
        <item x="30"/>
        <item x="34"/>
        <item x="27"/>
        <item x="0"/>
        <item x="6"/>
        <item x="5"/>
        <item x="64"/>
        <item x="7"/>
        <item x="8"/>
        <item x="9"/>
        <item x="10"/>
        <item x="4"/>
        <item x="56"/>
        <item x="1"/>
        <item x="63"/>
        <item x="54"/>
        <item x="58"/>
        <item x="51"/>
        <item x="57"/>
        <item x="59"/>
        <item x="25"/>
        <item x="3"/>
        <item x="2"/>
        <item x="24"/>
        <item x="38"/>
        <item x="26"/>
        <item t="default"/>
      </items>
    </pivotField>
    <pivotField name="CANTIDAD TOTAL UNIDADES" dataField="1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t="default"/>
      </items>
    </pivotField>
  </pivotFields>
  <rowFields>
    <field x="0"/>
    <field x="1"/>
    <field x="2"/>
  </rowFields>
  <dataFields>
    <dataField name="SUM CANTIDAD TOTAL" fld="3" baseField="0"/>
  </dataFields>
</pivotTableDefinition>
</file>

<file path=xl/pivotTables/pivotTable3.xml><?xml version="1.0" encoding="utf-8"?>
<pivotTableDefinition xmlns="http://schemas.openxmlformats.org/spreadsheetml/2006/main" name="MSMT" cacheId="2" dataCaption="" rowGrandTotals="0" compact="0" compactData="0">
  <location ref="N5:P46" firstHeaderRow="0" firstDataRow="2" firstDataCol="0" rowPageCount="2" colPageCount="1"/>
  <pivotFields>
    <pivotField name="STATUS" axis="axisPage" compact="0" numFmtId="49" outline="0" multipleItemSelectionAllowed="1" showAll="0">
      <items>
        <item x="0"/>
        <item h="1" x="1"/>
        <item h="1" x="2"/>
        <item h="1" x="3"/>
        <item t="default"/>
      </items>
    </pivotField>
    <pivotField name="COD DEF.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t="default"/>
      </items>
    </pivotField>
    <pivotField name="SKU" axis="axisRow" compact="0" numFmtId="49" outline="0" multipleItemSelectionAllowed="1" showAll="0" sortType="ascending">
      <items>
        <item x="873"/>
        <item x="899"/>
        <item x="156"/>
        <item x="157"/>
        <item x="154"/>
        <item x="155"/>
        <item x="1210"/>
        <item x="1211"/>
        <item x="1226"/>
        <item x="1224"/>
        <item x="896"/>
        <item x="897"/>
        <item x="898"/>
        <item x="1094"/>
        <item x="1093"/>
        <item x="679"/>
        <item x="703"/>
        <item x="1595"/>
        <item x="31"/>
        <item x="413"/>
        <item x="499"/>
        <item x="1440"/>
        <item x="745"/>
        <item x="746"/>
        <item x="1679"/>
        <item x="1674"/>
        <item x="1273"/>
        <item x="794"/>
        <item x="7"/>
        <item x="352"/>
        <item x="30"/>
        <item x="353"/>
        <item x="1221"/>
        <item x="1676"/>
        <item x="1675"/>
        <item x="142"/>
        <item x="141"/>
        <item x="263"/>
        <item x="1269"/>
        <item x="1270"/>
        <item x="1229"/>
        <item x="336"/>
        <item x="339"/>
        <item x="1271"/>
        <item x="1277"/>
        <item x="1266"/>
        <item x="1274"/>
        <item x="1272"/>
        <item x="1278"/>
        <item x="1268"/>
        <item x="1276"/>
        <item x="1449"/>
        <item x="854"/>
        <item x="365"/>
        <item x="150"/>
        <item x="363"/>
        <item x="149"/>
        <item x="855"/>
        <item x="367"/>
        <item x="152"/>
        <item x="275"/>
        <item x="366"/>
        <item x="151"/>
        <item x="587"/>
        <item x="589"/>
        <item x="588"/>
        <item x="1109"/>
        <item x="1108"/>
        <item x="1110"/>
        <item x="914"/>
        <item x="910"/>
        <item x="793"/>
        <item x="1259"/>
        <item x="1261"/>
        <item x="1450"/>
        <item x="1363"/>
        <item x="1373"/>
        <item x="1267"/>
        <item x="1275"/>
        <item x="1260"/>
        <item x="1223"/>
        <item x="301"/>
        <item x="308"/>
        <item x="269"/>
        <item x="317"/>
        <item x="311"/>
        <item x="1451"/>
        <item x="816"/>
        <item x="818"/>
        <item x="1322"/>
        <item x="823"/>
        <item x="824"/>
        <item x="920"/>
        <item x="1381"/>
        <item x="660"/>
        <item x="646"/>
        <item x="723"/>
        <item x="1452"/>
        <item x="382"/>
        <item x="371"/>
        <item x="437"/>
        <item x="1088"/>
        <item x="554"/>
        <item x="305"/>
        <item x="309"/>
        <item x="270"/>
        <item x="276"/>
        <item x="555"/>
        <item x="293"/>
        <item x="315"/>
        <item x="3"/>
        <item x="412"/>
        <item x="228"/>
        <item x="430"/>
        <item x="1600"/>
        <item x="817"/>
        <item x="1249"/>
        <item x="1483"/>
        <item x="9"/>
        <item x="355"/>
        <item x="1164"/>
        <item x="1097"/>
        <item x="1098"/>
        <item x="1323"/>
        <item x="1184"/>
        <item x="693"/>
        <item x="694"/>
        <item x="1397"/>
        <item x="472"/>
        <item x="1374"/>
        <item x="1605"/>
        <item x="1606"/>
        <item x="4"/>
        <item x="167"/>
        <item x="907"/>
        <item x="496"/>
        <item x="722"/>
        <item x="1107"/>
        <item x="1365"/>
        <item x="592"/>
        <item x="593"/>
        <item x="586"/>
        <item x="777"/>
        <item x="1624"/>
        <item x="1618"/>
        <item x="425"/>
        <item x="262"/>
        <item x="550"/>
        <item x="551"/>
        <item x="565"/>
        <item x="18"/>
        <item x="148"/>
        <item x="594"/>
        <item x="570"/>
        <item x="569"/>
        <item x="1458"/>
        <item x="1464"/>
        <item x="1436"/>
        <item x="1100"/>
        <item x="1112"/>
        <item x="805"/>
        <item x="692"/>
        <item x="590"/>
        <item x="853"/>
        <item x="856"/>
        <item x="1122"/>
        <item x="1142"/>
        <item x="649"/>
        <item x="642"/>
        <item x="720"/>
        <item x="774"/>
        <item x="916"/>
        <item x="1615"/>
        <item x="1410"/>
        <item x="659"/>
        <item x="1380"/>
        <item x="776"/>
        <item x="918"/>
        <item x="1616"/>
        <item x="1302"/>
        <item x="1294"/>
        <item x="1305"/>
        <item x="1297"/>
        <item x="953"/>
        <item x="449"/>
        <item x="959"/>
        <item x="1419"/>
        <item x="1414"/>
        <item x="556"/>
        <item x="553"/>
        <item x="792"/>
        <item x="511"/>
        <item x="1143"/>
        <item x="438"/>
        <item x="945"/>
        <item x="568"/>
        <item x="514"/>
        <item x="1475"/>
        <item x="517"/>
        <item x="620"/>
        <item x="626"/>
        <item x="1244"/>
        <item x="1299"/>
        <item x="1304"/>
        <item x="1282"/>
        <item x="1416"/>
        <item x="1241"/>
        <item x="1242"/>
        <item x="1234"/>
        <item x="1247"/>
        <item x="1251"/>
        <item x="523"/>
        <item x="1478"/>
        <item x="622"/>
        <item x="627"/>
        <item x="631"/>
        <item x="636"/>
        <item x="639"/>
        <item x="644"/>
        <item x="1206"/>
        <item x="1252"/>
        <item x="1654"/>
        <item x="1658"/>
        <item x="1281"/>
        <item x="1192"/>
        <item x="830"/>
        <item x="1061"/>
        <item x="1118"/>
        <item x="1382"/>
        <item x="1583"/>
        <item x="520"/>
        <item x="1476"/>
        <item x="936"/>
        <item x="630"/>
        <item x="635"/>
        <item x="1087"/>
        <item x="303"/>
        <item x="235"/>
        <item x="302"/>
        <item x="1652"/>
        <item x="1656"/>
        <item x="1289"/>
        <item x="1173"/>
        <item x="1150"/>
        <item x="1250"/>
        <item x="1246"/>
        <item x="1421"/>
        <item x="1470"/>
        <item x="1248"/>
        <item x="1230"/>
        <item x="632"/>
        <item x="1129"/>
        <item x="1116"/>
        <item x="1117"/>
        <item x="1235"/>
        <item x="937"/>
        <item x="1407"/>
        <item x="1614"/>
        <item x="1480"/>
        <item x="623"/>
        <item x="628"/>
        <item x="633"/>
        <item x="637"/>
        <item x="1376"/>
        <item x="1174"/>
        <item x="1328"/>
        <item x="1422"/>
        <item x="954"/>
        <item x="577"/>
        <item x="578"/>
        <item x="579"/>
        <item x="1106"/>
        <item x="759"/>
        <item x="475"/>
        <item x="1099"/>
        <item x="1092"/>
        <item x="557"/>
        <item x="859"/>
        <item x="1371"/>
        <item x="209"/>
        <item x="202"/>
        <item x="948"/>
        <item x="1455"/>
        <item x="1454"/>
        <item x="1444"/>
        <item x="819"/>
        <item x="1321"/>
        <item x="1324"/>
        <item x="47"/>
        <item x="411"/>
        <item x="757"/>
        <item x="1258"/>
        <item x="1253"/>
        <item x="761"/>
        <item x="1127"/>
        <item x="1134"/>
        <item x="786"/>
        <item x="1398"/>
        <item x="1399"/>
        <item x="1379"/>
        <item x="174"/>
        <item x="173"/>
        <item x="1185"/>
        <item x="377"/>
        <item x="378"/>
        <item x="46"/>
        <item x="446"/>
        <item x="1240"/>
        <item x="1232"/>
        <item x="1233"/>
        <item x="364"/>
        <item x="310"/>
        <item x="316"/>
        <item x="304"/>
        <item x="758"/>
        <item x="671"/>
        <item x="669"/>
        <item x="653"/>
        <item x="652"/>
        <item x="1514"/>
        <item x="1507"/>
        <item x="1555"/>
        <item x="1532"/>
        <item x="1548"/>
        <item x="987"/>
        <item x="998"/>
        <item x="1638"/>
        <item x="529"/>
        <item x="1516"/>
        <item x="1285"/>
        <item x="1292"/>
        <item x="670"/>
        <item x="785"/>
        <item x="1005"/>
        <item x="1193"/>
        <item x="839"/>
        <item x="982"/>
        <item x="1000"/>
        <item x="1546"/>
        <item x="536"/>
        <item x="1471"/>
        <item x="640"/>
        <item x="1288"/>
        <item x="735"/>
        <item x="1138"/>
        <item x="1144"/>
        <item x="1330"/>
        <item x="784"/>
        <item x="996"/>
        <item x="1004"/>
        <item x="1418"/>
        <item x="1622"/>
        <item x="1640"/>
        <item x="516"/>
        <item x="928"/>
        <item x="525"/>
        <item x="922"/>
        <item x="1124"/>
        <item x="599"/>
        <item x="1052"/>
        <item x="1076"/>
        <item x="984"/>
        <item x="1001"/>
        <item x="1619"/>
        <item x="1204"/>
        <item x="1479"/>
        <item x="921"/>
        <item x="1128"/>
        <item x="1543"/>
        <item x="1488"/>
        <item x="524"/>
        <item x="1377"/>
        <item x="778"/>
        <item x="988"/>
        <item x="1003"/>
        <item x="668"/>
        <item x="779"/>
        <item x="1335"/>
        <item x="1043"/>
        <item x="1559"/>
        <item x="1"/>
        <item x="374"/>
        <item x="280"/>
        <item x="259"/>
        <item x="266"/>
        <item x="379"/>
        <item x="2"/>
        <item x="1202"/>
        <item x="949"/>
        <item x="1402"/>
        <item x="424"/>
        <item x="408"/>
        <item x="1121"/>
        <item x="763"/>
        <item x="980"/>
        <item x="999"/>
        <item x="1623"/>
        <item x="1636"/>
        <item x="1482"/>
        <item x="915"/>
        <item x="657"/>
        <item x="645"/>
        <item x="1424"/>
        <item x="1394"/>
        <item x="1384"/>
        <item x="1303"/>
        <item x="1301"/>
        <item x="1283"/>
        <item x="1125"/>
        <item x="762"/>
        <item x="985"/>
        <item x="1002"/>
        <item x="1617"/>
        <item x="1477"/>
        <item x="919"/>
        <item x="641"/>
        <item x="648"/>
        <item x="1417"/>
        <item x="1383"/>
        <item x="1385"/>
        <item x="1310"/>
        <item x="1295"/>
        <item x="1284"/>
        <item x="1135"/>
        <item x="767"/>
        <item x="995"/>
        <item x="488"/>
        <item x="1481"/>
        <item x="489"/>
        <item x="492"/>
        <item x="491"/>
        <item x="1286"/>
        <item x="490"/>
        <item x="629"/>
        <item x="624"/>
        <item x="1544"/>
        <item x="667"/>
        <item x="741"/>
        <item x="738"/>
        <item x="742"/>
        <item x="1434"/>
        <item x="1104"/>
        <item x="711"/>
        <item x="1152"/>
        <item x="992"/>
        <item x="1014"/>
        <item x="191"/>
        <item x="223"/>
        <item x="1620"/>
        <item x="528"/>
        <item x="1133"/>
        <item x="775"/>
        <item x="1031"/>
        <item x="1034"/>
        <item x="1036"/>
        <item x="1038"/>
        <item x="1029"/>
        <item x="1026"/>
        <item x="1022"/>
        <item x="1025"/>
        <item x="1041"/>
        <item x="1040"/>
        <item x="1023"/>
        <item x="1028"/>
        <item x="1032"/>
        <item x="1033"/>
        <item x="1035"/>
        <item x="1037"/>
        <item x="1030"/>
        <item x="1027"/>
        <item x="1024"/>
        <item x="1042"/>
        <item x="1039"/>
        <item x="591"/>
        <item x="1231"/>
        <item x="1237"/>
        <item x="740"/>
        <item x="1307"/>
        <item x="1298"/>
        <item x="1308"/>
        <item x="274"/>
        <item x="55"/>
        <item x="736"/>
        <item x="737"/>
        <item x="1423"/>
        <item x="1412"/>
        <item x="1387"/>
        <item x="1391"/>
        <item x="1389"/>
        <item x="1393"/>
        <item x="1386"/>
        <item x="1390"/>
        <item x="1388"/>
        <item x="1392"/>
        <item x="456"/>
        <item x="1403"/>
        <item x="1405"/>
        <item x="1406"/>
        <item x="1279"/>
        <item x="334"/>
        <item x="337"/>
        <item x="384"/>
        <item x="291"/>
        <item x="1448"/>
        <item x="908"/>
        <item x="504"/>
        <item x="820"/>
        <item x="418"/>
        <item x="122"/>
        <item x="1367"/>
        <item x="1682"/>
        <item x="1611"/>
        <item x="1637"/>
        <item x="1612"/>
        <item x="1607"/>
        <item x="1375"/>
        <item x="128"/>
        <item x="127"/>
        <item x="1364"/>
        <item x="1456"/>
        <item x="1463"/>
        <item x="1460"/>
        <item x="1459"/>
        <item x="1467"/>
        <item x="911"/>
        <item x="912"/>
        <item x="925"/>
        <item x="1062"/>
        <item x="850"/>
        <item x="1588"/>
        <item x="1306"/>
        <item x="1584"/>
        <item x="1639"/>
        <item x="1521"/>
        <item x="1141"/>
        <item x="1549"/>
        <item x="1155"/>
        <item x="414"/>
        <item x="54"/>
        <item x="1601"/>
        <item x="1171"/>
        <item x="634"/>
        <item x="638"/>
        <item x="109"/>
        <item x="257"/>
        <item x="1678"/>
        <item x="546"/>
        <item x="72"/>
        <item x="48"/>
        <item x="552"/>
        <item x="133"/>
        <item x="130"/>
        <item x="1489"/>
        <item x="1378"/>
        <item x="1280"/>
        <item x="1077"/>
        <item x="1535"/>
        <item x="1492"/>
        <item x="1527"/>
        <item x="1537"/>
        <item x="1341"/>
        <item x="1582"/>
        <item x="1496"/>
        <item x="1558"/>
        <item x="1542"/>
        <item x="1334"/>
        <item x="1538"/>
        <item x="1487"/>
        <item x="1060"/>
        <item x="1545"/>
        <item x="1655"/>
        <item x="1547"/>
        <item x="891"/>
        <item x="719"/>
        <item x="1153"/>
        <item x="739"/>
        <item x="1657"/>
        <item x="721"/>
        <item x="926"/>
        <item x="993"/>
        <item x="782"/>
        <item x="1610"/>
        <item x="1102"/>
        <item x="755"/>
        <item x="829"/>
        <item x="415"/>
        <item x="417"/>
        <item x="264"/>
        <item x="1113"/>
        <item x="510"/>
        <item x="1008"/>
        <item x="1009"/>
        <item x="1010"/>
        <item x="1012"/>
        <item x="217"/>
        <item x="158"/>
        <item x="225"/>
        <item x="975"/>
        <item x="1627"/>
        <item x="1629"/>
        <item x="1339"/>
        <item x="1336"/>
        <item x="934"/>
        <item x="933"/>
        <item x="1015"/>
        <item x="727"/>
        <item x="733"/>
        <item x="730"/>
        <item x="929"/>
        <item x="768"/>
        <item x="1683"/>
        <item x="981"/>
        <item x="1472"/>
        <item x="935"/>
        <item x="1172"/>
        <item x="1520"/>
        <item x="838"/>
        <item x="1063"/>
        <item x="1446"/>
        <item x="1462"/>
        <item x="796"/>
        <item x="1262"/>
        <item x="238"/>
        <item x="281"/>
        <item x="236"/>
        <item x="273"/>
        <item x="237"/>
        <item x="286"/>
        <item x="1111"/>
        <item x="1433"/>
        <item x="707"/>
        <item x="956"/>
        <item x="955"/>
        <item x="493"/>
        <item x="110"/>
        <item x="258"/>
        <item x="38"/>
        <item x="168"/>
        <item x="1447"/>
        <item x="1518"/>
        <item x="906"/>
        <item x="1366"/>
        <item x="1603"/>
        <item x="1401"/>
        <item x="1474"/>
        <item x="1461"/>
        <item x="494"/>
        <item x="1411"/>
        <item x="1362"/>
        <item x="1332"/>
        <item x="1073"/>
        <item x="1519"/>
        <item x="1511"/>
        <item x="1585"/>
        <item x="964"/>
        <item x="1509"/>
        <item x="1435"/>
        <item x="198"/>
        <item x="197"/>
        <item x="1080"/>
        <item x="1586"/>
        <item x="1465"/>
        <item x="543"/>
        <item x="1263"/>
        <item x="1264"/>
        <item x="1265"/>
        <item x="957"/>
        <item x="731"/>
        <item x="923"/>
        <item x="780"/>
        <item x="1013"/>
        <item x="989"/>
        <item x="1130"/>
        <item x="1613"/>
        <item x="526"/>
        <item x="783"/>
        <item x="533"/>
        <item x="1309"/>
        <item x="1205"/>
        <item x="994"/>
        <item x="1287"/>
        <item x="625"/>
        <item x="1136"/>
        <item x="1420"/>
        <item x="1633"/>
        <item x="1131"/>
        <item x="1473"/>
        <item x="924"/>
        <item x="1641"/>
        <item x="440"/>
        <item x="548"/>
        <item x="781"/>
        <item x="990"/>
        <item x="1011"/>
        <item x="1337"/>
        <item x="521"/>
        <item x="8"/>
        <item x="79"/>
        <item x="598"/>
        <item x="1256"/>
        <item x="1300"/>
        <item x="422"/>
        <item x="171"/>
        <item x="169"/>
        <item x="170"/>
        <item x="905"/>
        <item x="1457"/>
        <item x="1432"/>
        <item x="1602"/>
        <item x="1453"/>
        <item x="1590"/>
        <item x="743"/>
        <item x="454"/>
        <item x="455"/>
        <item x="691"/>
        <item x="701"/>
        <item x="702"/>
        <item x="473"/>
        <item x="1665"/>
        <item x="1669"/>
        <item x="812"/>
        <item x="1670"/>
        <item x="814"/>
        <item x="822"/>
        <item x="821"/>
        <item x="463"/>
        <item x="1319"/>
        <item x="1318"/>
        <item x="1317"/>
        <item x="1597"/>
        <item x="1659"/>
        <item x="45"/>
        <item x="369"/>
        <item x="811"/>
        <item x="1667"/>
        <item x="1668"/>
        <item x="63"/>
        <item x="32"/>
        <item x="581"/>
        <item x="580"/>
        <item x="1084"/>
        <item x="1560"/>
        <item x="1046"/>
        <item x="1203"/>
        <item x="729"/>
        <item x="601"/>
        <item x="603"/>
        <item x="605"/>
        <item x="604"/>
        <item x="1158"/>
        <item x="1157"/>
        <item x="1189"/>
        <item x="1190"/>
        <item x="153"/>
        <item x="287"/>
        <item x="1569"/>
        <item x="1570"/>
        <item x="1587"/>
        <item x="606"/>
        <item x="607"/>
        <item x="1338"/>
        <item x="1576"/>
        <item x="880"/>
        <item x="1526"/>
        <item x="1528"/>
        <item x="1290"/>
        <item x="1561"/>
        <item x="1564"/>
        <item x="1578"/>
        <item x="1580"/>
        <item x="1579"/>
        <item x="187"/>
        <item x="189"/>
        <item x="1195"/>
        <item x="1057"/>
        <item x="1631"/>
        <item x="1572"/>
        <item x="75"/>
        <item x="101"/>
        <item x="100"/>
        <item x="1604"/>
        <item x="1598"/>
        <item x="1596"/>
        <item x="1594"/>
        <item x="1599"/>
        <item x="451"/>
        <item x="602"/>
        <item x="466"/>
        <item x="744"/>
        <item x="698"/>
        <item x="699"/>
        <item x="704"/>
        <item x="1176"/>
        <item x="452"/>
        <item x="448"/>
        <item x="1660"/>
        <item x="826"/>
        <item x="335"/>
        <item x="338"/>
        <item x="884"/>
        <item x="1571"/>
        <item x="89"/>
        <item x="91"/>
        <item x="662"/>
        <item x="647"/>
        <item x="1156"/>
        <item x="734"/>
        <item x="887"/>
        <item x="888"/>
        <item x="889"/>
        <item x="886"/>
        <item x="673"/>
        <item x="1536"/>
        <item x="770"/>
        <item x="986"/>
        <item x="522"/>
        <item x="944"/>
        <item x="728"/>
        <item x="1413"/>
        <item x="1126"/>
        <item x="1630"/>
        <item x="1311"/>
        <item x="621"/>
        <item x="1495"/>
        <item x="732"/>
        <item x="1415"/>
        <item x="1007"/>
        <item x="769"/>
        <item x="997"/>
        <item x="1006"/>
        <item x="527"/>
        <item x="1132"/>
        <item x="1632"/>
        <item x="927"/>
        <item x="1626"/>
        <item x="771"/>
        <item x="1293"/>
        <item x="1016"/>
        <item x="1154"/>
        <item x="1314"/>
        <item x="1493"/>
        <item x="1194"/>
        <item x="1050"/>
        <item x="1490"/>
        <item x="1072"/>
        <item x="1494"/>
        <item x="1491"/>
        <item x="724"/>
        <item x="1208"/>
        <item x="654"/>
        <item x="1074"/>
        <item x="882"/>
        <item x="800"/>
        <item x="801"/>
        <item x="802"/>
        <item x="803"/>
        <item x="117"/>
        <item x="90"/>
        <item x="798"/>
        <item x="863"/>
        <item x="804"/>
        <item x="809"/>
        <item x="806"/>
        <item x="1557"/>
        <item x="797"/>
        <item x="1563"/>
        <item x="1581"/>
        <item x="1175"/>
        <item x="772"/>
        <item x="979"/>
        <item x="1644"/>
        <item x="513"/>
        <item x="655"/>
        <item x="1331"/>
        <item x="1523"/>
        <item x="883"/>
        <item x="1556"/>
        <item x="1120"/>
        <item x="1209"/>
        <item x="359"/>
        <item x="108"/>
        <item x="1151"/>
        <item x="810"/>
        <item x="613"/>
        <item x="807"/>
        <item x="1078"/>
        <item x="1162"/>
        <item x="1161"/>
        <item x="1163"/>
        <item x="444"/>
        <item x="85"/>
        <item x="70"/>
        <item x="73"/>
        <item x="16"/>
        <item x="86"/>
        <item x="78"/>
        <item x="11"/>
        <item x="87"/>
        <item x="81"/>
        <item x="74"/>
        <item x="71"/>
        <item x="547"/>
        <item x="858"/>
        <item x="1497"/>
        <item x="876"/>
        <item x="877"/>
        <item x="1427"/>
        <item x="614"/>
        <item x="1426"/>
        <item x="564"/>
        <item x="398"/>
        <item x="407"/>
        <item x="766"/>
        <item x="676"/>
        <item x="885"/>
        <item x="878"/>
        <item x="1498"/>
        <item x="942"/>
        <item x="427"/>
        <item x="102"/>
        <item x="107"/>
        <item x="1508"/>
        <item x="931"/>
        <item x="1552"/>
        <item x="560"/>
        <item x="256"/>
        <item x="255"/>
        <item x="282"/>
        <item x="1573"/>
        <item x="1345"/>
        <item x="1349"/>
        <item x="1350"/>
        <item x="608"/>
        <item x="1352"/>
        <item x="1353"/>
        <item x="726"/>
        <item x="1115"/>
        <item x="1625"/>
        <item x="1592"/>
        <item x="968"/>
        <item x="610"/>
        <item x="1075"/>
        <item x="160"/>
        <item x="394"/>
        <item x="725"/>
        <item x="1534"/>
        <item x="1044"/>
        <item x="1045"/>
        <item x="1550"/>
        <item x="1510"/>
        <item x="389"/>
        <item x="404"/>
        <item x="388"/>
        <item x="403"/>
        <item x="1541"/>
        <item x="1512"/>
        <item x="1051"/>
        <item x="1522"/>
        <item x="1524"/>
        <item x="1296"/>
        <item x="714"/>
        <item x="664"/>
        <item x="306"/>
        <item x="321"/>
        <item x="678"/>
        <item x="867"/>
        <item x="139"/>
        <item x="104"/>
        <item x="138"/>
        <item x="105"/>
        <item x="135"/>
        <item x="113"/>
        <item x="136"/>
        <item x="114"/>
        <item x="219"/>
        <item x="24"/>
        <item x="218"/>
        <item x="134"/>
        <item x="1333"/>
        <item x="92"/>
        <item x="279"/>
        <item x="137"/>
        <item x="341"/>
        <item x="289"/>
        <item x="1123"/>
        <item x="1139"/>
        <item x="1145"/>
        <item x="1628"/>
        <item x="1634"/>
        <item x="1651"/>
        <item x="1653"/>
        <item x="983"/>
        <item x="1513"/>
        <item x="677"/>
        <item x="1574"/>
        <item x="1515"/>
        <item x="1239"/>
        <item x="1054"/>
        <item x="843"/>
        <item x="505"/>
        <item x="506"/>
        <item x="509"/>
        <item x="849"/>
        <item x="851"/>
        <item x="852"/>
        <item x="1159"/>
        <item x="1325"/>
        <item x="1340"/>
        <item x="881"/>
        <item x="1055"/>
        <item x="1058"/>
        <item x="1056"/>
        <item x="1148"/>
        <item x="563"/>
        <item x="1589"/>
        <item x="615"/>
        <item x="617"/>
        <item x="611"/>
        <item x="88"/>
        <item x="290"/>
        <item x="561"/>
        <item x="1577"/>
        <item x="808"/>
        <item x="252"/>
        <item x="253"/>
        <item x="879"/>
        <item x="1047"/>
        <item x="616"/>
        <item x="609"/>
        <item x="612"/>
        <item x="1525"/>
        <item x="230"/>
        <item x="231"/>
        <item x="562"/>
        <item x="860"/>
        <item x="875"/>
        <item x="530"/>
        <item x="1191"/>
        <item x="1059"/>
        <item x="675"/>
        <item x="1207"/>
        <item x="1445"/>
        <item x="1188"/>
        <item x="1351"/>
        <item x="1200"/>
        <item x="1196"/>
        <item x="1554"/>
        <item x="1553"/>
        <item x="1499"/>
        <item x="1565"/>
        <item x="362"/>
        <item x="401"/>
        <item x="112"/>
        <item x="95"/>
        <item x="312"/>
        <item x="278"/>
        <item x="294"/>
        <item x="1201"/>
        <item x="1197"/>
        <item x="1199"/>
        <item x="1186"/>
        <item x="1533"/>
        <item x="512"/>
        <item x="991"/>
        <item x="1643"/>
        <item x="535"/>
        <item x="1315"/>
        <item x="1608"/>
        <item x="1408"/>
        <item x="618"/>
        <item x="531"/>
        <item x="619"/>
        <item x="978"/>
        <item x="1409"/>
        <item x="1648"/>
        <item x="1140"/>
        <item x="515"/>
        <item x="1609"/>
        <item x="773"/>
        <item x="1649"/>
        <item x="717"/>
        <item x="1069"/>
        <item x="760"/>
        <item x="789"/>
        <item x="718"/>
        <item x="1083"/>
        <item x="840"/>
        <item x="27"/>
        <item x="175"/>
        <item x="445"/>
        <item x="179"/>
        <item x="180"/>
        <item x="19"/>
        <item x="184"/>
        <item x="182"/>
        <item x="183"/>
        <item x="902"/>
        <item x="441"/>
        <item x="436"/>
        <item x="376"/>
        <item x="370"/>
        <item x="1429"/>
        <item x="1431"/>
        <item x="795"/>
        <item x="432"/>
        <item x="419"/>
        <item x="126"/>
        <item x="1400"/>
        <item x="474"/>
        <item x="192"/>
        <item x="261"/>
        <item x="56"/>
        <item x="423"/>
        <item x="195"/>
        <item x="1650"/>
        <item x="1067"/>
        <item x="121"/>
        <item x="119"/>
        <item x="120"/>
        <item x="118"/>
        <item x="813"/>
        <item x="0"/>
        <item x="229"/>
        <item x="457"/>
        <item x="1181"/>
        <item x="1485"/>
        <item x="1137"/>
        <item x="534"/>
        <item x="1348"/>
        <item x="973"/>
        <item x="930"/>
        <item x="674"/>
        <item x="1621"/>
        <item x="597"/>
        <item x="665"/>
        <item x="1081"/>
        <item x="1243"/>
        <item x="426"/>
        <item x="791"/>
        <item x="943"/>
        <item x="1146"/>
        <item x="1591"/>
        <item x="866"/>
        <item x="1238"/>
        <item x="1291"/>
        <item x="666"/>
        <item x="643"/>
        <item x="651"/>
        <item x="970"/>
        <item x="1149"/>
        <item x="764"/>
        <item x="974"/>
        <item x="1114"/>
        <item x="716"/>
        <item x="519"/>
        <item x="1635"/>
        <item x="1531"/>
        <item x="1198"/>
        <item x="368"/>
        <item x="190"/>
        <item x="58"/>
        <item x="658"/>
        <item x="1342"/>
        <item x="967"/>
        <item x="1326"/>
        <item x="221"/>
        <item x="214"/>
        <item x="224"/>
        <item x="93"/>
        <item x="313"/>
        <item x="314"/>
        <item x="971"/>
        <item x="972"/>
        <item x="234"/>
        <item x="222"/>
        <item x="1071"/>
        <item x="600"/>
        <item x="283"/>
        <item x="318"/>
        <item x="1079"/>
        <item x="865"/>
        <item x="864"/>
        <item x="1486"/>
        <item x="862"/>
        <item x="861"/>
        <item x="240"/>
        <item x="241"/>
        <item x="765"/>
        <item x="537"/>
        <item x="1469"/>
        <item x="917"/>
        <item x="977"/>
        <item x="1645"/>
        <item x="1082"/>
        <item x="431"/>
        <item x="453"/>
        <item x="976"/>
        <item x="435"/>
        <item x="1312"/>
        <item x="1646"/>
        <item x="650"/>
        <item x="1313"/>
        <item x="787"/>
        <item x="938"/>
        <item x="532"/>
        <item x="788"/>
        <item x="1647"/>
        <item x="115"/>
        <item x="116"/>
        <item x="518"/>
        <item x="542"/>
        <item x="477"/>
        <item x="1666"/>
        <item x="124"/>
        <item x="123"/>
        <item x="1183"/>
        <item x="1320"/>
        <item x="476"/>
        <item x="1368"/>
        <item x="502"/>
        <item x="503"/>
        <item x="900"/>
        <item x="1358"/>
        <item x="1360"/>
        <item x="17"/>
        <item x="345"/>
        <item x="347"/>
        <item x="1370"/>
        <item x="324"/>
        <item x="322"/>
        <item x="325"/>
        <item x="326"/>
        <item x="1257"/>
        <item x="1255"/>
        <item x="1673"/>
        <item x="961"/>
        <item x="443"/>
        <item x="465"/>
        <item x="41"/>
        <item x="328"/>
        <item x="20"/>
        <item x="327"/>
        <item x="26"/>
        <item x="332"/>
        <item x="34"/>
        <item x="329"/>
        <item x="23"/>
        <item x="331"/>
        <item x="447"/>
        <item x="330"/>
        <item x="323"/>
        <item x="1068"/>
        <item x="932"/>
        <item x="749"/>
        <item x="459"/>
        <item x="1119"/>
        <item x="715"/>
        <item x="748"/>
        <item x="754"/>
        <item x="753"/>
        <item x="1672"/>
        <item x="470"/>
        <item x="1343"/>
        <item x="1539"/>
        <item x="1540"/>
        <item x="1529"/>
        <item x="1530"/>
        <item x="396"/>
        <item x="402"/>
        <item x="292"/>
        <item x="890"/>
        <item x="1187"/>
        <item x="1517"/>
        <item x="1566"/>
        <item x="1567"/>
        <item x="391"/>
        <item x="405"/>
        <item x="395"/>
        <item x="406"/>
        <item x="186"/>
        <item x="392"/>
        <item x="360"/>
        <item x="106"/>
        <item x="393"/>
        <item x="161"/>
        <item x="220"/>
        <item x="233"/>
        <item x="416"/>
        <item x="232"/>
        <item x="358"/>
        <item x="397"/>
        <item x="340"/>
        <item x="298"/>
        <item x="549"/>
        <item x="1404"/>
        <item x="596"/>
        <item x="1064"/>
        <item x="1070"/>
        <item x="1575"/>
        <item x="661"/>
        <item x="656"/>
        <item x="1105"/>
        <item x="1095"/>
        <item x="1089"/>
        <item x="1096"/>
        <item x="433"/>
        <item x="1091"/>
        <item x="1090"/>
        <item x="1101"/>
        <item x="1103"/>
        <item x="901"/>
        <item x="1085"/>
        <item x="1642"/>
        <item x="756"/>
        <item x="965"/>
        <item x="464"/>
        <item x="747"/>
        <item x="950"/>
        <item x="946"/>
        <item x="213"/>
        <item x="57"/>
        <item x="1681"/>
        <item x="951"/>
        <item x="211"/>
        <item x="206"/>
        <item x="1166"/>
        <item x="1680"/>
        <item x="710"/>
        <item x="559"/>
        <item x="65"/>
        <item x="64"/>
        <item x="96"/>
        <item x="82"/>
        <item x="540"/>
        <item x="566"/>
        <item x="541"/>
        <item x="59"/>
        <item x="61"/>
        <item x="573"/>
        <item x="62"/>
        <item x="60"/>
        <item x="576"/>
        <item x="575"/>
        <item x="584"/>
        <item x="585"/>
        <item x="571"/>
        <item x="712"/>
        <item x="177"/>
        <item x="176"/>
        <item x="185"/>
        <item x="188"/>
        <item x="99"/>
        <item x="790"/>
        <item x="574"/>
        <item x="572"/>
        <item x="145"/>
        <item x="146"/>
        <item x="857"/>
        <item x="558"/>
        <item x="98"/>
        <item x="83"/>
        <item x="212"/>
        <item x="42"/>
        <item x="373"/>
        <item x="372"/>
        <item x="1441"/>
        <item x="14"/>
        <item x="227"/>
        <item x="380"/>
        <item x="1220"/>
        <item x="1466"/>
        <item x="1439"/>
        <item x="1468"/>
        <item x="1663"/>
        <item x="827"/>
        <item x="713"/>
        <item x="828"/>
        <item x="545"/>
        <item x="80"/>
        <item x="25"/>
        <item x="143"/>
        <item x="144"/>
        <item x="538"/>
        <item x="97"/>
        <item x="84"/>
        <item x="567"/>
        <item x="68"/>
        <item x="67"/>
        <item x="500"/>
        <item x="501"/>
        <item x="1065"/>
        <item x="164"/>
        <item x="166"/>
        <item x="903"/>
        <item x="583"/>
        <item x="708"/>
        <item x="1160"/>
        <item x="348"/>
        <item x="350"/>
        <item x="1359"/>
        <item x="6"/>
        <item x="356"/>
        <item x="35"/>
        <item x="357"/>
        <item x="815"/>
        <item x="1396"/>
        <item x="13"/>
        <item x="349"/>
        <item x="1372"/>
        <item x="462"/>
        <item x="172"/>
        <item x="10"/>
        <item x="1430"/>
        <item x="12"/>
        <item x="351"/>
        <item x="1356"/>
        <item x="706"/>
        <item x="960"/>
        <item x="442"/>
        <item x="497"/>
        <item x="709"/>
        <item x="129"/>
        <item x="125"/>
        <item x="825"/>
        <item x="37"/>
        <item x="77"/>
        <item x="1664"/>
        <item x="207"/>
        <item x="193"/>
        <item x="21"/>
        <item x="250"/>
        <item x="245"/>
        <item x="5"/>
        <item x="243"/>
        <item x="251"/>
        <item x="247"/>
        <item x="242"/>
        <item x="244"/>
        <item x="1177"/>
        <item x="595"/>
        <item x="1178"/>
        <item x="1180"/>
        <item x="460"/>
        <item x="1179"/>
        <item x="1182"/>
        <item x="66"/>
        <item x="15"/>
        <item x="76"/>
        <item x="69"/>
        <item x="582"/>
        <item x="539"/>
        <item x="1316"/>
        <item x="963"/>
        <item x="205"/>
        <item x="194"/>
        <item x="196"/>
        <item x="33"/>
        <item x="208"/>
        <item x="203"/>
        <item x="201"/>
        <item x="200"/>
        <item x="962"/>
        <item x="952"/>
        <item x="752"/>
        <item x="751"/>
        <item x="181"/>
        <item x="178"/>
        <item x="421"/>
        <item x="165"/>
        <item x="904"/>
        <item x="162"/>
        <item x="163"/>
        <item x="909"/>
        <item x="913"/>
        <item x="1671"/>
        <item x="750"/>
        <item x="1442"/>
        <item x="1443"/>
        <item x="383"/>
        <item x="375"/>
        <item x="199"/>
        <item x="36"/>
        <item x="381"/>
        <item x="53"/>
        <item x="132"/>
        <item x="131"/>
        <item x="43"/>
        <item x="344"/>
        <item x="28"/>
        <item x="354"/>
        <item x="1355"/>
        <item x="1357"/>
        <item x="1369"/>
        <item x="22"/>
        <item x="346"/>
        <item x="1170"/>
        <item x="1169"/>
        <item x="1167"/>
        <item x="1168"/>
        <item x="1347"/>
        <item x="1346"/>
        <item x="44"/>
        <item x="409"/>
        <item x="498"/>
        <item x="1677"/>
        <item x="210"/>
        <item x="204"/>
        <item x="1344"/>
        <item x="508"/>
        <item x="1212"/>
        <item x="1216"/>
        <item x="1215"/>
        <item x="1214"/>
        <item x="1222"/>
        <item x="1236"/>
        <item x="1219"/>
        <item x="1217"/>
        <item x="159"/>
        <item x="297"/>
        <item x="1213"/>
        <item x="51"/>
        <item x="277"/>
        <item x="343"/>
        <item x="285"/>
        <item x="254"/>
        <item x="260"/>
        <item x="248"/>
        <item x="284"/>
        <item x="361"/>
        <item x="400"/>
        <item x="390"/>
        <item x="246"/>
        <item x="296"/>
        <item x="147"/>
        <item x="288"/>
        <item x="385"/>
        <item x="386"/>
        <item x="94"/>
        <item x="1593"/>
        <item x="1568"/>
        <item x="663"/>
        <item x="939"/>
        <item x="940"/>
        <item x="941"/>
        <item x="1504"/>
        <item x="1425"/>
        <item x="1428"/>
        <item x="969"/>
        <item x="1437"/>
        <item x="1361"/>
        <item x="1438"/>
        <item x="1245"/>
        <item x="1048"/>
        <item x="1503"/>
        <item x="1502"/>
        <item x="1049"/>
        <item x="111"/>
        <item x="49"/>
        <item x="215"/>
        <item x="267"/>
        <item x="239"/>
        <item x="272"/>
        <item x="103"/>
        <item x="271"/>
        <item x="495"/>
        <item x="1218"/>
        <item x="307"/>
        <item x="320"/>
        <item x="300"/>
        <item x="319"/>
        <item x="835"/>
        <item x="837"/>
        <item x="834"/>
        <item x="832"/>
        <item x="833"/>
        <item x="831"/>
        <item x="342"/>
        <item x="333"/>
        <item x="1500"/>
        <item x="1505"/>
        <item x="1506"/>
        <item x="1501"/>
        <item x="52"/>
        <item x="299"/>
        <item x="1147"/>
        <item x="410"/>
        <item x="249"/>
        <item x="1327"/>
        <item x="1551"/>
        <item x="1562"/>
        <item x="1329"/>
        <item x="700"/>
        <item x="216"/>
        <item x="268"/>
        <item x="966"/>
        <item x="507"/>
        <item x="1086"/>
        <item x="958"/>
        <item x="461"/>
        <item x="29"/>
        <item x="399"/>
        <item x="387"/>
        <item x="295"/>
        <item x="1053"/>
        <item x="1066"/>
        <item x="836"/>
        <item x="1354"/>
        <item x="458"/>
        <item x="680"/>
        <item x="1254"/>
        <item x="1484"/>
        <item x="682"/>
        <item x="681"/>
        <item x="874"/>
        <item x="544"/>
        <item x="420"/>
        <item x="140"/>
        <item x="265"/>
        <item x="480"/>
        <item x="481"/>
        <item x="482"/>
        <item x="1020"/>
        <item x="483"/>
        <item x="484"/>
        <item x="485"/>
        <item x="471"/>
        <item x="478"/>
        <item x="479"/>
        <item x="1021"/>
        <item x="1017"/>
        <item x="1019"/>
        <item x="1018"/>
        <item x="487"/>
        <item x="226"/>
        <item x="40"/>
        <item x="50"/>
        <item x="39"/>
        <item x="486"/>
        <item x="467"/>
        <item x="468"/>
        <item x="469"/>
        <item x="434"/>
        <item x="1227"/>
        <item x="439"/>
        <item x="695"/>
        <item x="696"/>
        <item x="697"/>
        <item x="844"/>
        <item x="845"/>
        <item x="846"/>
        <item x="847"/>
        <item x="848"/>
        <item x="1165"/>
        <item x="841"/>
        <item x="842"/>
        <item x="947"/>
        <item x="428"/>
        <item x="429"/>
        <item x="450"/>
        <item x="672"/>
        <item x="1684"/>
        <item x="683"/>
        <item x="1228"/>
        <item x="684"/>
        <item x="685"/>
        <item x="686"/>
        <item x="687"/>
        <item x="1661"/>
        <item x="892"/>
        <item x="1662"/>
        <item x="688"/>
        <item x="689"/>
        <item x="690"/>
        <item x="1225"/>
        <item x="893"/>
        <item x="799"/>
        <item x="895"/>
        <item x="1395"/>
        <item x="705"/>
        <item x="894"/>
        <item x="868"/>
        <item x="869"/>
        <item x="870"/>
        <item x="871"/>
        <item x="872"/>
        <item t="default"/>
      </items>
    </pivotField>
    <pivotField name="DESCRIPCION" axis="axisRow" compact="0" outline="0" multipleItemSelectionAllowed="1" showAll="0" sortType="ascending" defaultSubtotal="0">
      <items>
        <item x="702"/>
        <item x="1457"/>
        <item x="1458"/>
        <item x="1459"/>
        <item x="491"/>
        <item x="492"/>
        <item x="490"/>
        <item x="488"/>
        <item x="842"/>
        <item x="153"/>
        <item x="278"/>
        <item x="214"/>
        <item x="1366"/>
        <item x="1460"/>
        <item x="1461"/>
        <item x="1462"/>
        <item x="1463"/>
        <item x="1464"/>
        <item x="1465"/>
        <item x="503"/>
        <item x="504"/>
        <item x="505"/>
        <item x="506"/>
        <item x="507"/>
        <item x="501"/>
        <item x="493"/>
        <item x="495"/>
        <item x="1645"/>
        <item x="496"/>
        <item x="508"/>
        <item x="509"/>
        <item x="502"/>
        <item x="510"/>
        <item x="511"/>
        <item x="512"/>
        <item x="513"/>
        <item x="514"/>
        <item x="515"/>
        <item x="494"/>
        <item x="497"/>
        <item x="516"/>
        <item x="517"/>
        <item x="518"/>
        <item x="498"/>
        <item x="499"/>
        <item x="519"/>
        <item x="520"/>
        <item x="521"/>
        <item x="480"/>
        <item x="522"/>
        <item x="523"/>
        <item x="524"/>
        <item x="525"/>
        <item x="500"/>
        <item x="526"/>
        <item x="1466"/>
        <item x="1467"/>
        <item x="1064"/>
        <item x="538"/>
        <item x="82"/>
        <item x="539"/>
        <item x="540"/>
        <item x="83"/>
        <item x="84"/>
        <item x="541"/>
        <item x="542"/>
        <item x="543"/>
        <item x="544"/>
        <item x="545"/>
        <item x="546"/>
        <item x="588"/>
        <item x="85"/>
        <item x="86"/>
        <item x="87"/>
        <item x="547"/>
        <item x="69"/>
        <item x="528"/>
        <item x="431"/>
        <item x="537"/>
        <item x="8"/>
        <item x="79"/>
        <item x="587"/>
        <item x="529"/>
        <item x="530"/>
        <item x="534"/>
        <item x="64"/>
        <item x="65"/>
        <item x="62"/>
        <item x="60"/>
        <item x="68"/>
        <item x="67"/>
        <item x="32"/>
        <item x="63"/>
        <item x="74"/>
        <item x="71"/>
        <item x="589"/>
        <item x="590"/>
        <item x="591"/>
        <item x="592"/>
        <item x="593"/>
        <item x="594"/>
        <item x="595"/>
        <item x="596"/>
        <item x="548"/>
        <item x="597"/>
        <item x="598"/>
        <item x="90"/>
        <item x="599"/>
        <item x="600"/>
        <item x="549"/>
        <item x="550"/>
        <item x="551"/>
        <item x="552"/>
        <item x="601"/>
        <item x="602"/>
        <item x="603"/>
        <item x="604"/>
        <item x="605"/>
        <item x="606"/>
        <item x="553"/>
        <item x="88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554"/>
        <item x="631"/>
        <item x="61"/>
        <item x="59"/>
        <item x="555"/>
        <item x="556"/>
        <item x="632"/>
        <item x="633"/>
        <item x="634"/>
        <item x="635"/>
        <item x="636"/>
        <item x="637"/>
        <item x="66"/>
        <item x="25"/>
        <item x="15"/>
        <item x="1631"/>
        <item x="80"/>
        <item x="533"/>
        <item x="557"/>
        <item x="558"/>
        <item x="559"/>
        <item x="72"/>
        <item x="48"/>
        <item x="1646"/>
        <item x="535"/>
        <item x="560"/>
        <item x="638"/>
        <item x="527"/>
        <item x="77"/>
        <item x="37"/>
        <item x="532"/>
        <item x="75"/>
        <item x="1647"/>
        <item x="1642"/>
        <item x="639"/>
        <item x="640"/>
        <item x="641"/>
        <item x="561"/>
        <item x="562"/>
        <item x="563"/>
        <item x="564"/>
        <item x="565"/>
        <item x="566"/>
        <item x="567"/>
        <item x="568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569"/>
        <item x="570"/>
        <item x="571"/>
        <item x="531"/>
        <item x="76"/>
        <item x="70"/>
        <item x="73"/>
        <item x="468"/>
        <item x="536"/>
        <item x="16"/>
        <item x="78"/>
        <item x="572"/>
        <item x="573"/>
        <item x="574"/>
        <item x="11"/>
        <item x="81"/>
        <item x="575"/>
        <item x="654"/>
        <item x="576"/>
        <item x="577"/>
        <item x="578"/>
        <item x="579"/>
        <item x="580"/>
        <item x="581"/>
        <item x="582"/>
        <item x="583"/>
        <item x="850"/>
        <item x="851"/>
        <item x="852"/>
        <item x="853"/>
        <item x="854"/>
        <item x="250"/>
        <item x="1468"/>
        <item x="660"/>
        <item x="1026"/>
        <item x="1469"/>
        <item x="678"/>
        <item x="97"/>
        <item x="674"/>
        <item x="93"/>
        <item x="671"/>
        <item x="672"/>
        <item x="94"/>
        <item x="673"/>
        <item x="666"/>
        <item x="675"/>
        <item x="95"/>
        <item x="677"/>
        <item x="96"/>
        <item x="425"/>
        <item x="676"/>
        <item x="98"/>
        <item x="667"/>
        <item x="99"/>
        <item x="1470"/>
        <item x="1471"/>
        <item x="662"/>
        <item x="663"/>
        <item x="92"/>
        <item x="1472"/>
        <item x="449"/>
        <item x="664"/>
        <item x="665"/>
        <item x="1027"/>
        <item x="1028"/>
        <item x="1473"/>
        <item x="1474"/>
        <item x="661"/>
        <item x="1475"/>
        <item x="1476"/>
        <item x="855"/>
        <item x="679"/>
        <item x="680"/>
        <item x="681"/>
        <item x="682"/>
        <item x="100"/>
        <item x="1477"/>
        <item x="430"/>
        <item x="1478"/>
        <item x="1479"/>
        <item x="1480"/>
        <item x="1481"/>
        <item x="668"/>
        <item x="686"/>
        <item x="687"/>
        <item x="688"/>
        <item x="689"/>
        <item x="690"/>
        <item x="1482"/>
        <item x="693"/>
        <item x="102"/>
        <item x="1483"/>
        <item x="1484"/>
        <item x="1485"/>
        <item x="1486"/>
        <item x="1487"/>
        <item x="1488"/>
        <item x="813"/>
        <item x="108"/>
        <item x="109"/>
        <item x="110"/>
        <item x="732"/>
        <item x="731"/>
        <item x="730"/>
        <item x="733"/>
        <item x="445"/>
        <item x="446"/>
        <item x="1179"/>
        <item x="1232"/>
        <item x="1254"/>
        <item x="1255"/>
        <item x="1256"/>
        <item x="1257"/>
        <item x="1258"/>
        <item x="1259"/>
        <item x="1260"/>
        <item x="1261"/>
        <item x="1262"/>
        <item x="777"/>
        <item x="584"/>
        <item x="776"/>
        <item x="775"/>
        <item x="778"/>
        <item x="779"/>
        <item x="784"/>
        <item x="788"/>
        <item x="806"/>
        <item x="807"/>
        <item x="794"/>
        <item x="1636"/>
        <item x="799"/>
        <item x="796"/>
        <item x="1638"/>
        <item x="464"/>
        <item x="1637"/>
        <item x="797"/>
        <item x="795"/>
        <item x="1633"/>
        <item x="1634"/>
        <item x="798"/>
        <item x="122"/>
        <item x="409"/>
        <item x="123"/>
        <item x="124"/>
        <item x="118"/>
        <item x="120"/>
        <item x="119"/>
        <item x="121"/>
        <item x="1635"/>
        <item x="800"/>
        <item x="801"/>
        <item x="802"/>
        <item x="805"/>
        <item x="454"/>
        <item x="804"/>
        <item x="126"/>
        <item x="410"/>
        <item x="125"/>
        <item x="133"/>
        <item x="130"/>
        <item x="131"/>
        <item x="132"/>
        <item x="810"/>
        <item x="811"/>
        <item x="809"/>
        <item x="1489"/>
        <item x="1490"/>
        <item x="1491"/>
        <item x="821"/>
        <item x="822"/>
        <item x="823"/>
        <item x="849"/>
        <item x="1492"/>
        <item x="1493"/>
        <item x="1494"/>
        <item x="1495"/>
        <item x="420"/>
        <item x="139"/>
        <item x="419"/>
        <item x="138"/>
        <item x="137"/>
        <item x="136"/>
        <item x="826"/>
        <item x="24"/>
        <item x="441"/>
        <item x="134"/>
        <item x="824"/>
        <item x="825"/>
        <item x="135"/>
        <item x="782"/>
        <item x="832"/>
        <item x="833"/>
        <item x="834"/>
        <item x="835"/>
        <item x="1496"/>
        <item x="839"/>
        <item x="18"/>
        <item x="148"/>
        <item x="836"/>
        <item x="1407"/>
        <item x="144"/>
        <item x="143"/>
        <item x="145"/>
        <item x="146"/>
        <item x="411"/>
        <item x="837"/>
        <item x="149"/>
        <item x="838"/>
        <item x="150"/>
        <item x="151"/>
        <item x="152"/>
        <item x="140"/>
        <item x="1333"/>
        <item x="1650"/>
        <item x="141"/>
        <item x="142"/>
        <item x="147"/>
        <item x="840"/>
        <item x="841"/>
        <item x="380"/>
        <item x="843"/>
        <item x="844"/>
        <item x="845"/>
        <item x="846"/>
        <item x="847"/>
        <item x="848"/>
        <item x="450"/>
        <item x="1497"/>
        <item x="1498"/>
        <item x="1499"/>
        <item x="1368"/>
        <item x="856"/>
        <item x="1500"/>
        <item x="857"/>
        <item x="858"/>
        <item x="859"/>
        <item x="860"/>
        <item x="861"/>
        <item x="1630"/>
        <item x="874"/>
        <item x="460"/>
        <item x="875"/>
        <item x="876"/>
        <item x="878"/>
        <item x="879"/>
        <item x="880"/>
        <item x="379"/>
        <item x="381"/>
        <item x="1501"/>
        <item x="158"/>
        <item x="159"/>
        <item x="160"/>
        <item x="161"/>
        <item x="1502"/>
        <item x="1503"/>
        <item x="1504"/>
        <item x="1263"/>
        <item x="1215"/>
        <item x="1264"/>
        <item x="1505"/>
        <item x="885"/>
        <item x="412"/>
        <item x="165"/>
        <item x="166"/>
        <item x="164"/>
        <item x="163"/>
        <item x="162"/>
        <item x="432"/>
        <item x="19"/>
        <item x="184"/>
        <item x="183"/>
        <item x="182"/>
        <item x="427"/>
        <item x="429"/>
        <item x="4"/>
        <item x="167"/>
        <item x="434"/>
        <item x="882"/>
        <item x="883"/>
        <item x="886"/>
        <item x="887"/>
        <item x="177"/>
        <item x="17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483"/>
        <item x="909"/>
        <item x="888"/>
        <item x="171"/>
        <item x="413"/>
        <item x="889"/>
        <item x="174"/>
        <item x="173"/>
        <item x="884"/>
        <item x="437"/>
        <item x="466"/>
        <item x="890"/>
        <item x="181"/>
        <item x="178"/>
        <item x="891"/>
        <item x="910"/>
        <item x="27"/>
        <item x="175"/>
        <item x="436"/>
        <item x="180"/>
        <item x="179"/>
        <item x="892"/>
        <item x="893"/>
        <item x="894"/>
        <item x="911"/>
        <item x="58"/>
        <item x="912"/>
        <item x="913"/>
        <item x="442"/>
        <item x="38"/>
        <item x="168"/>
        <item x="1639"/>
        <item x="169"/>
        <item x="170"/>
        <item x="185"/>
        <item x="895"/>
        <item x="433"/>
        <item x="10"/>
        <item x="172"/>
        <item x="1001"/>
        <item x="914"/>
        <item x="915"/>
        <item x="1506"/>
        <item x="484"/>
        <item x="485"/>
        <item x="1507"/>
        <item x="1369"/>
        <item x="1370"/>
        <item x="476"/>
        <item x="998"/>
        <item x="996"/>
        <item x="997"/>
        <item x="478"/>
        <item x="473"/>
        <item x="50"/>
        <item x="39"/>
        <item x="475"/>
        <item x="469"/>
        <item x="470"/>
        <item x="477"/>
        <item x="226"/>
        <item x="40"/>
        <item x="462"/>
        <item x="999"/>
        <item x="1000"/>
        <item x="472"/>
        <item x="474"/>
        <item x="471"/>
        <item x="655"/>
        <item x="382"/>
        <item x="803"/>
        <item x="1202"/>
        <item x="1199"/>
        <item x="1195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508"/>
        <item x="1022"/>
        <item x="1200"/>
        <item x="228"/>
        <item x="227"/>
        <item x="229"/>
        <item x="1023"/>
        <item x="1024"/>
        <item x="1025"/>
        <item x="703"/>
        <item x="704"/>
        <item x="742"/>
        <item x="743"/>
        <item x="739"/>
        <item x="751"/>
        <item x="752"/>
        <item x="112"/>
        <item x="948"/>
        <item x="949"/>
        <item x="950"/>
        <item x="951"/>
        <item x="952"/>
        <item x="953"/>
        <item x="705"/>
        <item x="753"/>
        <item x="754"/>
        <item x="755"/>
        <item x="744"/>
        <item x="745"/>
        <item x="756"/>
        <item x="757"/>
        <item x="758"/>
        <item x="750"/>
        <item x="759"/>
        <item x="113"/>
        <item x="760"/>
        <item x="746"/>
        <item x="747"/>
        <item x="761"/>
        <item x="749"/>
        <item x="762"/>
        <item x="763"/>
        <item x="748"/>
        <item x="764"/>
        <item x="765"/>
        <item x="766"/>
        <item x="767"/>
        <item x="768"/>
        <item x="769"/>
        <item x="114"/>
        <item x="770"/>
        <item x="932"/>
        <item x="934"/>
        <item x="935"/>
        <item x="936"/>
        <item x="937"/>
        <item x="215"/>
        <item x="938"/>
        <item x="954"/>
        <item x="955"/>
        <item x="939"/>
        <item x="940"/>
        <item x="941"/>
        <item x="942"/>
        <item x="943"/>
        <item x="944"/>
        <item x="945"/>
        <item x="418"/>
        <item x="417"/>
        <item x="1648"/>
        <item x="695"/>
        <item x="694"/>
        <item x="453"/>
        <item x="696"/>
        <item x="697"/>
        <item x="698"/>
        <item x="1643"/>
        <item x="1644"/>
        <item x="467"/>
        <item x="736"/>
        <item x="461"/>
        <item x="1649"/>
        <item x="422"/>
        <item x="735"/>
        <item x="740"/>
        <item x="444"/>
        <item x="741"/>
        <item x="426"/>
        <item x="455"/>
        <item x="734"/>
        <item x="1632"/>
        <item x="737"/>
        <item x="738"/>
        <item x="416"/>
        <item x="111"/>
        <item x="771"/>
        <item x="115"/>
        <item x="1220"/>
        <item x="946"/>
        <item x="956"/>
        <item x="256"/>
        <item x="700"/>
        <item x="701"/>
        <item x="706"/>
        <item x="707"/>
        <item x="708"/>
        <item x="709"/>
        <item x="710"/>
        <item x="711"/>
        <item x="712"/>
        <item x="713"/>
        <item x="714"/>
        <item x="104"/>
        <item x="715"/>
        <item x="716"/>
        <item x="717"/>
        <item x="718"/>
        <item x="719"/>
        <item x="720"/>
        <item x="721"/>
        <item x="722"/>
        <item x="105"/>
        <item x="103"/>
        <item x="723"/>
        <item x="724"/>
        <item x="725"/>
        <item x="726"/>
        <item x="727"/>
        <item x="728"/>
        <item x="729"/>
        <item x="699"/>
        <item x="808"/>
        <item x="129"/>
        <item x="423"/>
        <item x="127"/>
        <item x="128"/>
        <item x="814"/>
        <item x="815"/>
        <item x="816"/>
        <item x="817"/>
        <item x="818"/>
        <item x="819"/>
        <item x="820"/>
        <item x="812"/>
        <item x="916"/>
        <item x="917"/>
        <item x="918"/>
        <item x="896"/>
        <item x="919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479"/>
        <item x="983"/>
        <item x="984"/>
        <item x="985"/>
        <item x="986"/>
        <item x="987"/>
        <item x="988"/>
        <item x="989"/>
        <item x="990"/>
        <item x="991"/>
        <item x="992"/>
        <item x="217"/>
        <item x="1182"/>
        <item x="218"/>
        <item x="993"/>
        <item x="219"/>
        <item x="994"/>
        <item x="995"/>
        <item x="57"/>
        <item x="213"/>
        <item x="465"/>
        <item x="56"/>
        <item x="192"/>
        <item x="927"/>
        <item x="928"/>
        <item x="211"/>
        <item x="206"/>
        <item x="929"/>
        <item x="202"/>
        <item x="209"/>
        <item x="193"/>
        <item x="207"/>
        <item x="212"/>
        <item x="42"/>
        <item x="930"/>
        <item x="197"/>
        <item x="198"/>
        <item x="203"/>
        <item x="208"/>
        <item x="1408"/>
        <item x="204"/>
        <item x="210"/>
        <item x="933"/>
        <item x="205"/>
        <item x="194"/>
        <item x="33"/>
        <item x="196"/>
        <item x="201"/>
        <item x="200"/>
        <item x="36"/>
        <item x="199"/>
        <item x="414"/>
        <item x="195"/>
        <item x="440"/>
        <item x="931"/>
        <item x="1509"/>
        <item x="1029"/>
        <item x="1030"/>
        <item x="1510"/>
        <item x="1511"/>
        <item x="1512"/>
        <item x="391"/>
        <item x="1031"/>
        <item x="1039"/>
        <item x="1040"/>
        <item x="1041"/>
        <item x="1042"/>
        <item x="231"/>
        <item x="232"/>
        <item x="1043"/>
        <item x="1044"/>
        <item x="1045"/>
        <item x="1046"/>
        <item x="1047"/>
        <item x="1048"/>
        <item x="1049"/>
        <item x="1050"/>
        <item x="1051"/>
        <item x="1052"/>
        <item x="230"/>
        <item x="1032"/>
        <item x="1033"/>
        <item x="117"/>
        <item x="785"/>
        <item x="786"/>
        <item x="247"/>
        <item x="244"/>
        <item x="246"/>
        <item x="243"/>
        <item x="21"/>
        <item x="241"/>
        <item x="5"/>
        <item x="242"/>
        <item x="240"/>
        <item x="1137"/>
        <item x="1651"/>
        <item x="1073"/>
        <item x="1067"/>
        <item x="1074"/>
        <item x="1068"/>
        <item x="1066"/>
        <item x="428"/>
        <item x="1069"/>
        <item x="424"/>
        <item x="1070"/>
        <item x="1142"/>
        <item x="1143"/>
        <item x="1145"/>
        <item x="1146"/>
        <item x="1147"/>
        <item x="1144"/>
        <item x="1513"/>
        <item x="1514"/>
        <item x="1515"/>
        <item x="1516"/>
        <item x="1517"/>
        <item x="1518"/>
        <item x="656"/>
        <item x="657"/>
        <item x="658"/>
        <item x="1519"/>
        <item x="1203"/>
        <item x="1520"/>
        <item x="1152"/>
        <item x="783"/>
        <item x="1521"/>
        <item x="1522"/>
        <item x="1216"/>
        <item x="1523"/>
        <item x="1153"/>
        <item x="1160"/>
        <item x="1159"/>
        <item x="0"/>
        <item x="451"/>
        <item x="448"/>
        <item x="1156"/>
        <item x="1157"/>
        <item x="443"/>
        <item x="439"/>
        <item x="1224"/>
        <item x="1222"/>
        <item x="1154"/>
        <item x="1158"/>
        <item x="1155"/>
        <item x="1164"/>
        <item x="1165"/>
        <item x="1166"/>
        <item x="1167"/>
        <item x="1168"/>
        <item x="1169"/>
        <item x="1170"/>
        <item x="1629"/>
        <item x="683"/>
        <item x="827"/>
        <item x="261"/>
        <item x="262"/>
        <item x="263"/>
        <item x="1204"/>
        <item x="684"/>
        <item x="828"/>
        <item x="269"/>
        <item x="685"/>
        <item x="829"/>
        <item x="264"/>
        <item x="830"/>
        <item x="265"/>
        <item x="266"/>
        <item x="267"/>
        <item x="831"/>
        <item x="270"/>
        <item x="1187"/>
        <item x="1205"/>
        <item x="1206"/>
        <item x="1207"/>
        <item x="279"/>
        <item x="259"/>
        <item x="280"/>
        <item x="258"/>
        <item x="260"/>
        <item x="1191"/>
        <item x="273"/>
        <item x="281"/>
        <item x="268"/>
        <item x="282"/>
        <item x="294"/>
        <item x="283"/>
        <item x="274"/>
        <item x="284"/>
        <item x="275"/>
        <item x="295"/>
        <item x="1183"/>
        <item x="1217"/>
        <item x="1190"/>
        <item x="272"/>
        <item x="191"/>
        <item x="1197"/>
        <item x="276"/>
        <item x="285"/>
        <item x="286"/>
        <item x="1208"/>
        <item x="1209"/>
        <item x="1194"/>
        <item x="1192"/>
        <item x="1188"/>
        <item x="1193"/>
        <item x="780"/>
        <item x="288"/>
        <item x="287"/>
        <item x="1189"/>
        <item x="1210"/>
        <item x="296"/>
        <item x="297"/>
        <item x="234"/>
        <item x="1065"/>
        <item x="1211"/>
        <item x="1212"/>
        <item x="252"/>
        <item x="298"/>
        <item x="299"/>
        <item x="1213"/>
        <item x="300"/>
        <item x="1214"/>
        <item x="289"/>
        <item x="290"/>
        <item x="291"/>
        <item x="1034"/>
        <item x="1524"/>
        <item x="1525"/>
        <item x="154"/>
        <item x="156"/>
        <item x="877"/>
        <item x="1526"/>
        <item x="1265"/>
        <item x="1229"/>
        <item x="1231"/>
        <item x="1266"/>
        <item x="1267"/>
        <item x="1268"/>
        <item x="1269"/>
        <item x="1270"/>
        <item x="1271"/>
        <item x="1272"/>
        <item x="55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316"/>
        <item x="314"/>
        <item x="1233"/>
        <item x="1234"/>
        <item x="318"/>
        <item x="317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325"/>
        <item x="1246"/>
        <item x="1228"/>
        <item x="1227"/>
        <item x="1230"/>
        <item x="456"/>
        <item x="41"/>
        <item x="320"/>
        <item x="20"/>
        <item x="319"/>
        <item x="34"/>
        <item x="321"/>
        <item x="315"/>
        <item x="322"/>
        <item x="23"/>
        <item x="323"/>
        <item x="26"/>
        <item x="324"/>
        <item x="438"/>
        <item x="1247"/>
        <item x="1248"/>
        <item x="1249"/>
        <item x="1250"/>
        <item x="1251"/>
        <item x="1252"/>
        <item x="1253"/>
        <item x="1291"/>
        <item x="1290"/>
        <item x="1288"/>
        <item x="1289"/>
        <item x="1292"/>
        <item x="1293"/>
        <item x="1294"/>
        <item x="1295"/>
        <item x="1296"/>
        <item x="1223"/>
        <item x="1297"/>
        <item x="1298"/>
        <item x="1299"/>
        <item x="1300"/>
        <item x="1301"/>
        <item x="1302"/>
        <item x="1303"/>
        <item x="1304"/>
        <item x="1305"/>
        <item x="332"/>
        <item x="1306"/>
        <item x="1307"/>
        <item x="1308"/>
        <item x="1309"/>
        <item x="1310"/>
        <item x="333"/>
        <item x="1311"/>
        <item x="1312"/>
        <item x="1313"/>
        <item x="1314"/>
        <item x="1320"/>
        <item x="1321"/>
        <item x="1322"/>
        <item x="1323"/>
        <item x="1324"/>
        <item x="1325"/>
        <item x="1317"/>
        <item x="1318"/>
        <item x="1319"/>
        <item x="52"/>
        <item x="334"/>
        <item x="49"/>
        <item x="1326"/>
        <item x="335"/>
        <item x="51"/>
        <item x="1316"/>
        <item x="781"/>
        <item x="791"/>
        <item x="277"/>
        <item x="1527"/>
        <item x="1054"/>
        <item x="233"/>
        <item x="1058"/>
        <item x="1060"/>
        <item x="1053"/>
        <item x="1055"/>
        <item x="1056"/>
        <item x="1057"/>
        <item x="1059"/>
        <item x="1092"/>
        <item x="1093"/>
        <item x="235"/>
        <item x="236"/>
        <item x="1072"/>
        <item x="1071"/>
        <item x="1138"/>
        <item x="1139"/>
        <item x="1140"/>
        <item x="248"/>
        <item x="249"/>
        <item x="1075"/>
        <item x="1076"/>
        <item x="1141"/>
        <item x="1077"/>
        <item x="237"/>
        <item x="1078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079"/>
        <item x="238"/>
        <item x="245"/>
        <item x="1094"/>
        <item x="1095"/>
        <item x="239"/>
        <item x="1080"/>
        <item x="1081"/>
        <item x="1096"/>
        <item x="1097"/>
        <item x="1098"/>
        <item x="1099"/>
        <item x="1100"/>
        <item x="1082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083"/>
        <item x="1084"/>
        <item x="1085"/>
        <item x="1086"/>
        <item x="1087"/>
        <item x="1088"/>
        <item x="1089"/>
        <item x="1090"/>
        <item x="1091"/>
        <item x="1528"/>
        <item x="1161"/>
        <item x="1162"/>
        <item x="1171"/>
        <item x="1172"/>
        <item x="1163"/>
        <item x="1173"/>
        <item x="1174"/>
        <item x="1347"/>
        <item x="1348"/>
        <item x="1349"/>
        <item x="1350"/>
        <item x="1334"/>
        <item x="1351"/>
        <item x="1352"/>
        <item x="1353"/>
        <item x="1335"/>
        <item x="344"/>
        <item x="7"/>
        <item x="1354"/>
        <item x="341"/>
        <item x="13"/>
        <item x="1336"/>
        <item x="1355"/>
        <item x="1337"/>
        <item x="1356"/>
        <item x="1357"/>
        <item x="1358"/>
        <item x="1359"/>
        <item x="1360"/>
        <item x="1338"/>
        <item x="346"/>
        <item x="28"/>
        <item x="1329"/>
        <item x="1327"/>
        <item x="1332"/>
        <item x="1330"/>
        <item x="345"/>
        <item x="1339"/>
        <item x="30"/>
        <item x="1328"/>
        <item x="343"/>
        <item x="12"/>
        <item x="1340"/>
        <item x="347"/>
        <item x="9"/>
        <item x="17"/>
        <item x="339"/>
        <item x="336"/>
        <item x="43"/>
        <item x="338"/>
        <item x="22"/>
        <item x="1341"/>
        <item x="1342"/>
        <item x="1361"/>
        <item x="1362"/>
        <item x="1363"/>
        <item x="1364"/>
        <item x="1343"/>
        <item x="1365"/>
        <item x="1344"/>
        <item x="1345"/>
        <item x="1346"/>
        <item x="337"/>
        <item x="1529"/>
        <item x="862"/>
        <item x="863"/>
        <item x="864"/>
        <item x="865"/>
        <item x="1530"/>
        <item x="1181"/>
        <item x="1378"/>
        <item x="1371"/>
        <item x="1372"/>
        <item x="1379"/>
        <item x="1380"/>
        <item x="1381"/>
        <item x="1382"/>
        <item x="1373"/>
        <item x="1383"/>
        <item x="1384"/>
        <item x="1385"/>
        <item x="1386"/>
        <item x="1387"/>
        <item x="1388"/>
        <item x="1389"/>
        <item x="481"/>
        <item x="1390"/>
        <item x="1374"/>
        <item x="463"/>
        <item x="350"/>
        <item x="1391"/>
        <item x="1392"/>
        <item x="447"/>
        <item x="1367"/>
        <item x="1393"/>
        <item x="1394"/>
        <item x="1185"/>
        <item x="257"/>
        <item x="1186"/>
        <item x="691"/>
        <item x="692"/>
        <item x="342"/>
        <item x="340"/>
        <item x="1331"/>
        <item x="348"/>
        <item x="6"/>
        <item x="349"/>
        <item x="35"/>
        <item x="881"/>
        <item x="1035"/>
        <item x="1036"/>
        <item x="1531"/>
        <item x="1037"/>
        <item x="669"/>
        <item x="670"/>
        <item x="355"/>
        <item x="357"/>
        <item x="353"/>
        <item x="354"/>
        <item x="356"/>
        <item x="352"/>
        <item x="358"/>
        <item x="359"/>
        <item x="360"/>
        <item x="1532"/>
        <item x="361"/>
        <item x="45"/>
        <item x="1410"/>
        <item x="1411"/>
        <item x="1412"/>
        <item x="1400"/>
        <item x="377"/>
        <item x="1413"/>
        <item x="1409"/>
        <item x="1414"/>
        <item x="1415"/>
        <item x="1416"/>
        <item x="1439"/>
        <item x="37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366"/>
        <item x="1431"/>
        <item x="1432"/>
        <item x="1433"/>
        <item x="1434"/>
        <item x="1435"/>
        <item x="1438"/>
        <item x="1436"/>
        <item x="1437"/>
        <item x="363"/>
        <item x="374"/>
        <item x="375"/>
        <item x="367"/>
        <item x="365"/>
        <item x="364"/>
        <item x="368"/>
        <item x="362"/>
        <item x="1404"/>
        <item x="1402"/>
        <item x="53"/>
        <item x="373"/>
        <item x="1399"/>
        <item x="14"/>
        <item x="372"/>
        <item x="370"/>
        <item x="46"/>
        <item x="369"/>
        <item x="1405"/>
        <item x="1"/>
        <item x="2"/>
        <item x="371"/>
        <item x="1406"/>
        <item x="1403"/>
        <item x="1401"/>
        <item x="1533"/>
        <item x="947"/>
        <item x="787"/>
        <item x="792"/>
        <item x="216"/>
        <item x="920"/>
        <item x="921"/>
        <item x="922"/>
        <item x="659"/>
        <item x="326"/>
        <item x="923"/>
        <item x="1534"/>
        <item x="1535"/>
        <item x="383"/>
        <item x="384"/>
        <item x="385"/>
        <item x="89"/>
        <item x="1201"/>
        <item x="1175"/>
        <item x="1285"/>
        <item x="1286"/>
        <item x="1287"/>
        <item x="790"/>
        <item x="793"/>
        <item x="486"/>
        <item x="292"/>
        <item x="1536"/>
        <item x="271"/>
        <item x="187"/>
        <item x="29"/>
        <item x="452"/>
        <item x="1176"/>
        <item x="1177"/>
        <item x="1178"/>
        <item x="585"/>
        <item x="789"/>
        <item x="1375"/>
        <item x="1376"/>
        <item x="351"/>
        <item x="1395"/>
        <item x="1396"/>
        <item x="1397"/>
        <item x="1398"/>
        <item x="1377"/>
        <item x="327"/>
        <item x="924"/>
        <item x="186"/>
        <item x="925"/>
        <item x="1652"/>
        <item x="1061"/>
        <item x="1454"/>
        <item x="1537"/>
        <item x="1538"/>
        <item x="1455"/>
        <item x="1315"/>
        <item x="866"/>
        <item x="867"/>
        <item x="1539"/>
        <item x="1540"/>
        <item x="1541"/>
        <item x="868"/>
        <item x="869"/>
        <item x="870"/>
        <item x="871"/>
        <item x="872"/>
        <item x="1542"/>
        <item x="1543"/>
        <item x="1544"/>
        <item x="386"/>
        <item x="1225"/>
        <item x="1456"/>
        <item x="1196"/>
        <item x="1198"/>
        <item x="387"/>
        <item x="388"/>
        <item x="389"/>
        <item x="1545"/>
        <item x="873"/>
        <item x="458"/>
        <item x="459"/>
        <item x="487"/>
        <item x="1546"/>
        <item x="1218"/>
        <item x="1547"/>
        <item x="1453"/>
        <item x="1117"/>
        <item x="1548"/>
        <item x="1549"/>
        <item x="1550"/>
        <item x="1551"/>
        <item x="1552"/>
        <item x="1553"/>
        <item x="1554"/>
        <item x="1062"/>
        <item x="1555"/>
        <item x="293"/>
        <item x="328"/>
        <item x="1219"/>
        <item x="1038"/>
        <item x="390"/>
        <item x="1556"/>
        <item x="1221"/>
        <item x="457"/>
        <item x="1558"/>
        <item x="1559"/>
        <item x="1560"/>
        <item x="1561"/>
        <item x="1576"/>
        <item x="1577"/>
        <item x="1578"/>
        <item x="1579"/>
        <item x="1580"/>
        <item x="406"/>
        <item x="1581"/>
        <item x="1582"/>
        <item x="1583"/>
        <item x="1568"/>
        <item x="1584"/>
        <item x="1585"/>
        <item x="1586"/>
        <item x="1587"/>
        <item x="1588"/>
        <item x="1589"/>
        <item x="1569"/>
        <item x="1590"/>
        <item x="1591"/>
        <item x="1592"/>
        <item x="1570"/>
        <item x="1593"/>
        <item x="1571"/>
        <item x="1594"/>
        <item x="1595"/>
        <item x="1596"/>
        <item x="1597"/>
        <item x="1598"/>
        <item x="1599"/>
        <item x="1600"/>
        <item x="482"/>
        <item x="1601"/>
        <item x="1602"/>
        <item x="1603"/>
        <item x="1604"/>
        <item x="1605"/>
        <item x="1575"/>
        <item x="1606"/>
        <item x="1607"/>
        <item x="1608"/>
        <item x="1609"/>
        <item x="1610"/>
        <item x="1611"/>
        <item x="1612"/>
        <item x="1563"/>
        <item x="31"/>
        <item x="404"/>
        <item x="405"/>
        <item x="54"/>
        <item x="435"/>
        <item x="47"/>
        <item x="402"/>
        <item x="403"/>
        <item x="3"/>
        <item x="401"/>
        <item x="1613"/>
        <item x="399"/>
        <item x="415"/>
        <item x="421"/>
        <item x="1614"/>
        <item x="1615"/>
        <item x="1572"/>
        <item x="1562"/>
        <item x="1565"/>
        <item x="1567"/>
        <item x="1564"/>
        <item x="1566"/>
        <item x="1573"/>
        <item x="1574"/>
        <item x="400"/>
        <item x="44"/>
        <item x="1616"/>
        <item x="407"/>
        <item x="1226"/>
        <item x="1617"/>
        <item x="1618"/>
        <item x="1619"/>
        <item x="1620"/>
        <item x="1621"/>
        <item x="1622"/>
        <item x="1623"/>
        <item x="1624"/>
        <item x="1625"/>
        <item x="1626"/>
        <item x="489"/>
        <item x="1641"/>
        <item x="1640"/>
        <item x="1627"/>
        <item x="1628"/>
        <item x="1557"/>
        <item x="1180"/>
        <item x="586"/>
        <item x="1149"/>
        <item x="1150"/>
        <item x="1151"/>
        <item x="1148"/>
        <item x="188"/>
        <item x="392"/>
        <item x="393"/>
        <item x="91"/>
        <item x="101"/>
        <item x="1063"/>
        <item x="394"/>
        <item x="155"/>
        <item x="395"/>
        <item x="220"/>
        <item x="772"/>
        <item x="221"/>
        <item x="222"/>
        <item x="773"/>
        <item x="116"/>
        <item x="106"/>
        <item x="107"/>
        <item x="223"/>
        <item x="189"/>
        <item x="774"/>
        <item x="251"/>
        <item x="157"/>
        <item x="253"/>
        <item x="1184"/>
        <item x="254"/>
        <item x="301"/>
        <item x="302"/>
        <item x="303"/>
        <item x="304"/>
        <item x="255"/>
        <item x="305"/>
        <item x="306"/>
        <item x="307"/>
        <item x="308"/>
        <item x="309"/>
        <item x="329"/>
        <item x="330"/>
        <item x="331"/>
        <item x="926"/>
        <item x="310"/>
        <item x="224"/>
        <item x="396"/>
        <item x="190"/>
        <item x="397"/>
        <item x="311"/>
        <item x="225"/>
        <item x="312"/>
        <item x="398"/>
        <item x="378"/>
        <item x="408"/>
        <item x="313"/>
      </items>
    </pivotField>
    <pivotField name="LICENCIADOR" compact="0" numFmtI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LICEN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t="default"/>
      </items>
    </pivotField>
    <pivotField name="RUBRO" axis="axisPage" compact="0" numFmtId="49" outline="0" multipleItemSelectionAllowed="1" showAll="0">
      <items>
        <item h="1" x="0"/>
        <item h="1" x="1"/>
        <item h="1" x="2"/>
        <item x="3"/>
        <item h="1" x="4"/>
        <item h="1" x="5"/>
        <item h="1" x="6"/>
        <item h="1" x="7"/>
        <item h="1" x="8"/>
        <item h="1" x="9"/>
        <item t="default"/>
      </items>
    </pivotField>
    <pivotField name="FAMILIA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t="default"/>
      </items>
    </pivotField>
    <pivotField name="SUB FAMILIA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t="default"/>
      </items>
    </pivotField>
    <pivotField name="TIPO" compact="0" numFmtId="49" outline="0" multipleItemSelectionAllowed="1" showAll="0">
      <items>
        <item x="0"/>
        <item x="1"/>
        <item x="2"/>
        <item x="3"/>
        <item x="4"/>
        <item t="default"/>
      </items>
    </pivotField>
    <pivotField name="SKU ORIGEN" compact="0" numFmtId="49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t="default"/>
      </items>
    </pivotField>
    <pivotField name="STPP" compact="0" outline="0" multipleItemSelectionAllowed="1" showAll="0">
      <items>
        <item x="0"/>
        <item x="1"/>
        <item t="default"/>
      </items>
    </pivotField>
  </pivotFields>
  <rowFields>
    <field x="3"/>
    <field x="2"/>
  </rowFields>
  <pageFields>
    <pageField fld="6"/>
    <pageField fld="0"/>
  </pageFields>
</pivotTableDefinition>
</file>

<file path=xl/pivotTables/pivotTable4.xml><?xml version="1.0" encoding="utf-8"?>
<pivotTableDefinition xmlns="http://schemas.openxmlformats.org/spreadsheetml/2006/main" name="Ordenes de Produccion" cacheId="3" dataCaption="" compact="0" compactData="0">
  <location ref="M1:Q15" firstHeaderRow="0" firstDataRow="4" firstDataCol="0"/>
  <pivotFields>
    <pivotField name="FECHA" axis="axisRow" compact="0" numFmtId="165" outline="0" multipleItemSelectionAllowed="1" showAll="0" sortType="ascending" defaultSubtotal="0">
      <items>
        <item x="0"/>
        <item x="1"/>
        <item x="2"/>
        <item x="3"/>
        <item x="4"/>
        <item x="5"/>
        <item x="6"/>
        <item x="7"/>
      </items>
    </pivotField>
    <pivotField name="OC" axis="axisRow" compact="0" outline="0" multipleItemSelectionAllowed="1" showAll="0" sortType="ascending" defaultSubtotal="0">
      <items>
        <item x="7"/>
        <item x="8"/>
        <item x="9"/>
        <item x="10"/>
        <item x="2"/>
        <item x="3"/>
        <item x="4"/>
        <item x="5"/>
        <item x="6"/>
        <item x="0"/>
        <item x="1"/>
      </items>
    </pivotField>
    <pivotField name="CLIENTE" axis="axisRow" compact="0" outline="0" multipleItemSelectionAllowed="1" showAll="0" sortType="ascending" defaultSubtotal="0">
      <items>
        <item x="0"/>
        <item x="2"/>
        <item x="1"/>
        <item x="3"/>
      </items>
    </pivotField>
    <pivotField name="SKU ORIGE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name="SKU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DESCRIP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name="MAXIMO A PROD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t="default"/>
      </items>
    </pivotField>
    <pivotField name="UBICACION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CANTIDAD UTILIZADA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t="default"/>
      </items>
    </pivotField>
    <pivotField name="STATUS" axis="axisRow" compact="0" outline="0" multipleItemSelectionAllowed="1" showAll="0" sortType="ascending">
      <items>
        <item x="0"/>
        <item t="default"/>
      </items>
    </pivotField>
  </pivotFields>
  <rowFields>
    <field x="0"/>
    <field x="1"/>
    <field x="2"/>
    <field x="9"/>
  </rowFields>
</pivotTableDefinition>
</file>

<file path=xl/tables/table1.xml><?xml version="1.0" encoding="utf-8"?>
<table xmlns="http://schemas.openxmlformats.org/spreadsheetml/2006/main" ref="A2:D30" displayName="Table_1" name="Table_1" id="1">
  <tableColumns count="4">
    <tableColumn name="SKU" id="1"/>
    <tableColumn name="DESCRIPCIÓN" id="2"/>
    <tableColumn name="CANTIDAD TOTAL" id="3"/>
    <tableColumn name="FAMILIA" id="4"/>
  </tableColumns>
  <tableStyleInfo name="DIN-style" showColumnStripes="0" showFirstColumn="1" showLastColumn="1" showRowStripes="1"/>
</table>
</file>

<file path=xl/tables/table2.xml><?xml version="1.0" encoding="utf-8"?>
<table xmlns="http://schemas.openxmlformats.org/spreadsheetml/2006/main" ref="A1:G122" displayName="RegistroReubicaiones" name="RegistroReubicaiones" id="2">
  <tableColumns count="7">
    <tableColumn name="FECHA" id="1"/>
    <tableColumn name="ANTIGUA UBICACION" id="2"/>
    <tableColumn name="SKU" id="3"/>
    <tableColumn name="DESCRIPCION" id="4"/>
    <tableColumn name="CANTIDAD EN UBICACION" id="5"/>
    <tableColumn name="CANTIDAD MOVIDA" id="6"/>
    <tableColumn name="NUEVA UBICACION" id="7"/>
  </tableColumns>
  <tableStyleInfo name="Reubicaciones-style" showColumnStripes="0" showFirstColumn="1" showLastColumn="1" showRowStripes="1"/>
</table>
</file>

<file path=xl/tables/table3.xml><?xml version="1.0" encoding="utf-8"?>
<table xmlns="http://schemas.openxmlformats.org/spreadsheetml/2006/main" ref="A1:K62" displayName="Maestro" name="Maestro" id="3">
  <autoFilter ref="$A$1:$K$62"/>
  <tableColumns count="11">
    <tableColumn name="ESTADO" id="1"/>
    <tableColumn name="ING" id="2"/>
    <tableColumn name="SKU" id="3"/>
    <tableColumn name="DESCRIPCION" id="4"/>
    <tableColumn name="TIPO" id="5"/>
    <tableColumn name="SKU ORIGEN" id="6"/>
    <tableColumn name="UND X PACK" id="7"/>
    <tableColumn name="M/D" id="8"/>
    <tableColumn name="FAMILIA" id="9"/>
    <tableColumn name="PLAZO COMPRA" id="10"/>
    <tableColumn name="STOCK CRITICO" id="11"/>
  </tableColumns>
  <tableStyleInfo name="Maestro-style" showColumnStripes="0" showFirstColumn="1" showLastColumn="1" showRowStripes="1"/>
</table>
</file>

<file path=xl/tables/table4.xml><?xml version="1.0" encoding="utf-8"?>
<table xmlns="http://schemas.openxmlformats.org/spreadsheetml/2006/main" ref="A1:F13" displayName="InsumosSMT" name="InsumosSMT" id="4">
  <tableColumns count="6">
    <tableColumn name="FECHA" id="1"/>
    <tableColumn name="GUIA" id="2"/>
    <tableColumn name="SKU PROVEEDOR" id="3"/>
    <tableColumn name="SKU" id="4"/>
    <tableColumn name="DESCRIPCION" id="5"/>
    <tableColumn name="CANTIDAD" id="6"/>
  </tableColumns>
  <tableStyleInfo name="Insumos-style" showColumnStripes="0" showFirstColumn="1" showLastColumn="1" showRowStripes="1"/>
</table>
</file>

<file path=xl/tables/table5.xml><?xml version="1.0" encoding="utf-8"?>
<table xmlns="http://schemas.openxmlformats.org/spreadsheetml/2006/main" ref="A1:G358" displayName="registroRecepcion" name="registroRecepcion" id="5">
  <autoFilter ref="$A$1:$G$358"/>
  <tableColumns count="7">
    <tableColumn name="FECHA RECEPCION" id="1"/>
    <tableColumn name="DOCUMENTO INGRESO" id="2"/>
    <tableColumn name="SKU" id="3"/>
    <tableColumn name="DESCRIPCION" id="4"/>
    <tableColumn name="UNIDADES TOTALES" id="5"/>
    <tableColumn name="CANTIDAD PALLET" id="6"/>
    <tableColumn name="UBICACION" id="7"/>
  </tableColumns>
  <tableStyleInfo name="Recepcion Materia Prima-style" showColumnStripes="0" showFirstColumn="1" showLastColumn="1" showRowStripes="1"/>
</table>
</file>

<file path=xl/tables/table6.xml><?xml version="1.0" encoding="utf-8"?>
<table xmlns="http://schemas.openxmlformats.org/spreadsheetml/2006/main" headerRowCount="0" ref="A1:D1" displayName="Insumos" name="Insumos" id="6">
  <tableColumns count="4">
    <tableColumn name="Column1" id="1"/>
    <tableColumn name="Column2" id="2"/>
    <tableColumn name="Column3" id="3"/>
    <tableColumn name="Column4" id="4"/>
  </tableColumns>
  <tableStyleInfo name="Recepcion Insumo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7.xml><?xml version="1.0" encoding="utf-8"?>
<table xmlns="http://schemas.openxmlformats.org/spreadsheetml/2006/main" ref="A1:J82" displayName="TOrdenProduccion" name="TOrdenProduccion" id="7">
  <autoFilter ref="$A$1:$J$82"/>
  <tableColumns count="10">
    <tableColumn name="FECHA" id="1"/>
    <tableColumn name="OC" id="2"/>
    <tableColumn name="CLIENTE" id="3"/>
    <tableColumn name="SKU ORIGEN" id="4"/>
    <tableColumn name="SKU" id="5"/>
    <tableColumn name="DESCRIPCION" id="6"/>
    <tableColumn name="MAXIMO A PROD" id="7"/>
    <tableColumn name="UBICACION" id="8"/>
    <tableColumn name="CANTIDAD UTILIZADA" id="9"/>
    <tableColumn name="STATUS" id="10"/>
  </tableColumns>
  <tableStyleInfo name="Ordenes de Produccion-style" showColumnStripes="0" showFirstColumn="1" showLastColumn="1" showRowStripes="1"/>
</table>
</file>

<file path=xl/tables/table8.xml><?xml version="1.0" encoding="utf-8"?>
<table xmlns="http://schemas.openxmlformats.org/spreadsheetml/2006/main" ref="A1:H511" displayName="registrosSalidas" name="registrosSalidas" id="8">
  <autoFilter ref="$A$1:$H$511"/>
  <tableColumns count="8">
    <tableColumn name="FECHA MOVIMIENTO" id="1"/>
    <tableColumn name="DOCUMENTO SALIDA" id="2"/>
    <tableColumn name="SKU" id="3"/>
    <tableColumn name="DESCRIPCION" id="4"/>
    <tableColumn name="CANTIDAD UNID PICKEADAS" id="5"/>
    <tableColumn name="CANTIDAD PALLET" id="6"/>
    <tableColumn name="UBICACION SALIDA" id="7"/>
    <tableColumn name="CLIENTE" id="8"/>
  </tableColumns>
  <tableStyleInfo name="Salidas-style" showColumnStripes="0" showFirstColumn="1" showLastColumn="1" showRowStripes="1"/>
</table>
</file>

<file path=xl/tables/table9.xml><?xml version="1.0" encoding="utf-8"?>
<table xmlns="http://schemas.openxmlformats.org/spreadsheetml/2006/main" ref="A1:H24" displayName="STOCK_BODPULMON" name="STOCK_BODPULMON" id="9">
  <tableColumns count="8">
    <tableColumn name="FECHA MOVIMIENTO" id="1"/>
    <tableColumn name="DOCUMENTO SALIDA" id="2"/>
    <tableColumn name="SKU" id="3"/>
    <tableColumn name="DESCRIPCION" id="4"/>
    <tableColumn name="CANTIDAD UNID" id="5"/>
    <tableColumn name="CANTIDAD PALLET" id="6"/>
    <tableColumn name="UBICACION SALIDA" id="7"/>
    <tableColumn name="CLIENTE" id="8"/>
  </tableColumns>
  <tableStyleInfo name="IRNMTN-style" showColumnStripes="0" showFirstColumn="1" showLastColumn="1" showRowStripes="1"/>
</table>
</file>

<file path=xl/tables/table10.xml><?xml version="1.0" encoding="utf-8"?>
<table xmlns="http://schemas.openxmlformats.org/spreadsheetml/2006/main" ref="J1:O15" displayName="Salidas_BODPULMON" name="Salidas_BODPULMON" id="10">
  <tableColumns count="6">
    <tableColumn name="FECHA MOVIMIENTO" id="1"/>
    <tableColumn name="DOCUMENTO SALIDA" id="2"/>
    <tableColumn name="SKU" id="3"/>
    <tableColumn name="DESCRIPCION" id="4"/>
    <tableColumn name="CANTIDAD UNID" id="5"/>
    <tableColumn name="CANTIDAD PALLET" id="6"/>
  </tableColumns>
  <tableStyleInfo name="IRNMTN-style 2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1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3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3" Type="http://schemas.openxmlformats.org/officeDocument/2006/relationships/table" Target="../tables/table4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5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Relationship Id="rId3" Type="http://schemas.openxmlformats.org/officeDocument/2006/relationships/table" Target="../tables/table6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11.xml"/><Relationship Id="rId4" Type="http://schemas.openxmlformats.org/officeDocument/2006/relationships/table" Target="../tables/table7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Relationship Id="rId3" Type="http://schemas.openxmlformats.org/officeDocument/2006/relationships/table" Target="../tables/table8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Relationship Id="rId4" Type="http://schemas.openxmlformats.org/officeDocument/2006/relationships/table" Target="../tables/table9.xml"/><Relationship Id="rId5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0"/>
    <col customWidth="1" min="2" max="2" width="8.13"/>
    <col customWidth="1" min="3" max="3" width="6.63"/>
    <col customWidth="1" min="4" max="5" width="38.75"/>
    <col customWidth="1" min="8" max="8" width="42.88"/>
    <col customWidth="1" min="10" max="10" width="23.13"/>
    <col customWidth="1" min="11" max="11" width="36.25"/>
  </cols>
  <sheetData>
    <row r="1">
      <c r="A1" s="1" t="s">
        <v>0</v>
      </c>
      <c r="D1" s="2" t="s">
        <v>1</v>
      </c>
      <c r="E1" s="3"/>
      <c r="H1" s="1" t="s">
        <v>0</v>
      </c>
    </row>
    <row r="2">
      <c r="D2" s="5" t="s">
        <v>2</v>
      </c>
      <c r="E2" s="5" t="s">
        <v>4</v>
      </c>
      <c r="H2" s="6" t="s">
        <v>2</v>
      </c>
      <c r="I2" s="6" t="s">
        <v>4</v>
      </c>
      <c r="J2" s="6" t="s">
        <v>5</v>
      </c>
      <c r="K2" s="6" t="s">
        <v>6</v>
      </c>
    </row>
    <row r="3">
      <c r="D3" s="8" t="s">
        <v>8</v>
      </c>
      <c r="E3" s="9">
        <v>39.0</v>
      </c>
      <c r="H3" s="10" t="s">
        <v>9</v>
      </c>
      <c r="I3" s="7">
        <f>(6*225) + (3*225) +209</f>
        <v>2234</v>
      </c>
      <c r="J3" s="1">
        <v>10.0</v>
      </c>
    </row>
    <row r="4">
      <c r="D4" s="8" t="s">
        <v>11</v>
      </c>
      <c r="E4" s="7">
        <f>12+24</f>
        <v>36</v>
      </c>
      <c r="H4" s="10" t="s">
        <v>12</v>
      </c>
      <c r="I4" s="7">
        <f>3*325 + 1*275</f>
        <v>1250</v>
      </c>
      <c r="J4" s="1">
        <v>4.0</v>
      </c>
    </row>
    <row r="5">
      <c r="D5" s="10" t="s">
        <v>14</v>
      </c>
      <c r="E5" s="9">
        <v>11.0</v>
      </c>
      <c r="H5" s="10" t="s">
        <v>15</v>
      </c>
      <c r="I5" s="7">
        <v>510.0</v>
      </c>
      <c r="J5" s="1">
        <v>1.0</v>
      </c>
    </row>
    <row r="6">
      <c r="H6" s="10" t="s">
        <v>17</v>
      </c>
      <c r="I6" s="7">
        <f>1*700 + 1*600 + 1*336</f>
        <v>1636</v>
      </c>
      <c r="J6" s="1">
        <v>3.0</v>
      </c>
    </row>
    <row r="7">
      <c r="H7" s="10" t="s">
        <v>19</v>
      </c>
      <c r="I7" s="7">
        <v>325.0</v>
      </c>
      <c r="J7" s="1">
        <v>1.0</v>
      </c>
    </row>
    <row r="8">
      <c r="H8" s="10" t="s">
        <v>21</v>
      </c>
      <c r="I8" s="7">
        <v>90.0</v>
      </c>
      <c r="J8" s="1">
        <v>1.0</v>
      </c>
    </row>
    <row r="9">
      <c r="H9" s="10" t="s">
        <v>23</v>
      </c>
      <c r="I9" s="9">
        <f>3</f>
        <v>3</v>
      </c>
      <c r="J9" s="1">
        <v>1.0</v>
      </c>
    </row>
    <row r="10">
      <c r="H10" s="10" t="s">
        <v>25</v>
      </c>
      <c r="I10" s="9">
        <v>4.0</v>
      </c>
      <c r="J10" s="1">
        <v>1.0</v>
      </c>
    </row>
    <row r="11">
      <c r="H11" s="10" t="s">
        <v>26</v>
      </c>
      <c r="I11" s="9">
        <v>200.0</v>
      </c>
      <c r="J11" s="1">
        <v>1.0</v>
      </c>
    </row>
    <row r="12">
      <c r="H12" s="10" t="s">
        <v>13</v>
      </c>
      <c r="I12" s="7">
        <f>10*200</f>
        <v>2000</v>
      </c>
      <c r="J12" s="1">
        <v>10.0</v>
      </c>
    </row>
    <row r="13">
      <c r="H13" s="10" t="s">
        <v>10</v>
      </c>
      <c r="I13" s="9">
        <f>2*350</f>
        <v>700</v>
      </c>
      <c r="J13" s="1">
        <v>2.0</v>
      </c>
    </row>
    <row r="14">
      <c r="H14" s="10" t="s">
        <v>20</v>
      </c>
      <c r="I14" s="7">
        <f>3*350 + 2*350</f>
        <v>1750</v>
      </c>
      <c r="J14" s="1">
        <v>5.0</v>
      </c>
    </row>
    <row r="15">
      <c r="H15" s="10" t="s">
        <v>7</v>
      </c>
      <c r="I15" s="7">
        <f>2*350</f>
        <v>700</v>
      </c>
      <c r="J15" s="1">
        <v>2.0</v>
      </c>
    </row>
    <row r="16">
      <c r="H16" s="10" t="s">
        <v>16</v>
      </c>
      <c r="I16" s="7">
        <f>2*400</f>
        <v>800</v>
      </c>
      <c r="J16" s="1">
        <v>2.0</v>
      </c>
    </row>
    <row r="17">
      <c r="H17" s="10" t="s">
        <v>18</v>
      </c>
      <c r="I17" s="9">
        <f>2*350+1*278</f>
        <v>978</v>
      </c>
      <c r="J17" s="1">
        <v>3.0</v>
      </c>
    </row>
    <row r="18">
      <c r="H18" s="10" t="s">
        <v>22</v>
      </c>
      <c r="I18" s="7">
        <f>1*200 + 1*275</f>
        <v>475</v>
      </c>
      <c r="J18" s="1">
        <v>2.0</v>
      </c>
    </row>
    <row r="19">
      <c r="H19" s="10" t="s">
        <v>24</v>
      </c>
      <c r="I19" s="7">
        <f>1*168</f>
        <v>168</v>
      </c>
      <c r="J19" s="1">
        <v>1.0</v>
      </c>
    </row>
    <row r="20">
      <c r="H20" s="10" t="s">
        <v>26</v>
      </c>
      <c r="I20" s="7">
        <f>1*200 + 1*150</f>
        <v>350</v>
      </c>
      <c r="J20" s="1">
        <v>2.0</v>
      </c>
    </row>
    <row r="21">
      <c r="H21" s="10" t="s">
        <v>27</v>
      </c>
      <c r="I21" s="7">
        <f>1*390 +1*75</f>
        <v>465</v>
      </c>
      <c r="J21" s="1">
        <v>2.0</v>
      </c>
    </row>
    <row r="22">
      <c r="H22" s="10" t="s">
        <v>19</v>
      </c>
      <c r="I22" s="9">
        <f>5* 225</f>
        <v>1125</v>
      </c>
      <c r="J22" s="1">
        <v>5.0</v>
      </c>
    </row>
    <row r="23">
      <c r="H23" s="10" t="s">
        <v>32</v>
      </c>
      <c r="I23" s="7">
        <f>(1*(45*25))</f>
        <v>1125</v>
      </c>
      <c r="J23" s="1">
        <v>2.0</v>
      </c>
      <c r="K23" s="9" t="s">
        <v>33</v>
      </c>
    </row>
    <row r="24" hidden="1">
      <c r="H24" s="10" t="s">
        <v>23</v>
      </c>
      <c r="I24" s="7">
        <f>23+23+0.5</f>
        <v>46.5</v>
      </c>
      <c r="J24" s="9">
        <f t="shared" ref="J24:J26" si="1">ROUND(I24/4,0)</f>
        <v>12</v>
      </c>
      <c r="K24" s="9" t="s">
        <v>34</v>
      </c>
    </row>
    <row r="25" hidden="1">
      <c r="H25" s="10" t="s">
        <v>29</v>
      </c>
      <c r="I25" s="7">
        <f>3+47</f>
        <v>50</v>
      </c>
      <c r="J25" s="9">
        <f t="shared" si="1"/>
        <v>13</v>
      </c>
    </row>
    <row r="26" hidden="1">
      <c r="H26" s="10" t="s">
        <v>30</v>
      </c>
      <c r="I26" s="7">
        <f>28+6+18</f>
        <v>52</v>
      </c>
      <c r="J26" s="9">
        <f t="shared" si="1"/>
        <v>13</v>
      </c>
    </row>
    <row r="27">
      <c r="H27" s="10" t="s">
        <v>28</v>
      </c>
      <c r="I27" s="9">
        <f>2025+100</f>
        <v>2125</v>
      </c>
      <c r="J27" s="1">
        <v>1.0</v>
      </c>
    </row>
    <row r="28">
      <c r="H28" s="10" t="s">
        <v>31</v>
      </c>
      <c r="I28" s="9">
        <f>19+41</f>
        <v>60</v>
      </c>
      <c r="J28" s="1">
        <v>2.0</v>
      </c>
    </row>
    <row r="29">
      <c r="B29" s="10"/>
      <c r="H29" s="10" t="s">
        <v>36</v>
      </c>
      <c r="J29" s="1">
        <v>20.0</v>
      </c>
      <c r="K29" s="9" t="s">
        <v>37</v>
      </c>
    </row>
    <row r="30" hidden="1">
      <c r="B30" s="10"/>
      <c r="J30" s="7">
        <f>SUM(J3:J29)</f>
        <v>122</v>
      </c>
    </row>
    <row r="31">
      <c r="B31" s="10"/>
    </row>
    <row r="32">
      <c r="B32" s="10"/>
    </row>
    <row r="33">
      <c r="B33" s="10"/>
    </row>
    <row r="34">
      <c r="B34" s="10"/>
    </row>
    <row r="35">
      <c r="B35" s="10"/>
    </row>
    <row r="36">
      <c r="B36" s="10"/>
    </row>
    <row r="37">
      <c r="B37" s="10"/>
    </row>
    <row r="38">
      <c r="B38" s="10"/>
    </row>
    <row r="39">
      <c r="B39" s="10"/>
    </row>
    <row r="40">
      <c r="B40" s="10"/>
    </row>
    <row r="41">
      <c r="B41" s="10"/>
    </row>
    <row r="42">
      <c r="B42" s="10"/>
    </row>
    <row r="43">
      <c r="B43" s="10"/>
    </row>
    <row r="44">
      <c r="B44" s="10"/>
    </row>
    <row r="45">
      <c r="B45" s="10"/>
    </row>
    <row r="46">
      <c r="B46" s="10"/>
    </row>
    <row r="47">
      <c r="B47" s="10"/>
    </row>
    <row r="48">
      <c r="B48" s="10"/>
    </row>
    <row r="49">
      <c r="B49" s="10"/>
    </row>
    <row r="50">
      <c r="B50" s="10"/>
    </row>
    <row r="51">
      <c r="B51" s="10"/>
    </row>
    <row r="52">
      <c r="B52" s="10"/>
    </row>
    <row r="53">
      <c r="B53" s="10"/>
    </row>
    <row r="54">
      <c r="B54" s="10"/>
    </row>
    <row r="55">
      <c r="B55" s="10"/>
    </row>
    <row r="56">
      <c r="B56" s="10"/>
    </row>
    <row r="57">
      <c r="B57" s="10"/>
    </row>
    <row r="58">
      <c r="B58" s="10"/>
    </row>
    <row r="59">
      <c r="B59" s="10"/>
    </row>
    <row r="60">
      <c r="B60" s="10"/>
    </row>
    <row r="61">
      <c r="B61" s="10"/>
    </row>
    <row r="62">
      <c r="B62" s="10"/>
    </row>
    <row r="63">
      <c r="B63" s="10"/>
    </row>
    <row r="64">
      <c r="B64" s="10"/>
    </row>
    <row r="65">
      <c r="B65" s="10"/>
    </row>
    <row r="66">
      <c r="B66" s="10"/>
    </row>
    <row r="67">
      <c r="B67" s="10"/>
    </row>
    <row r="68">
      <c r="B68" s="10"/>
    </row>
    <row r="69">
      <c r="B69" s="10"/>
    </row>
    <row r="70">
      <c r="B70" s="10"/>
    </row>
    <row r="71">
      <c r="B71" s="10"/>
    </row>
    <row r="72">
      <c r="B72" s="10"/>
    </row>
    <row r="73">
      <c r="B73" s="10"/>
    </row>
    <row r="74">
      <c r="B74" s="10"/>
    </row>
    <row r="75">
      <c r="B75" s="10"/>
    </row>
    <row r="76">
      <c r="B76" s="10"/>
    </row>
    <row r="77">
      <c r="B77" s="10"/>
    </row>
    <row r="78">
      <c r="B78" s="10"/>
    </row>
    <row r="79">
      <c r="B79" s="10"/>
    </row>
    <row r="80">
      <c r="B80" s="10"/>
    </row>
    <row r="81">
      <c r="B81" s="10"/>
    </row>
    <row r="82">
      <c r="B82" s="10"/>
    </row>
    <row r="83">
      <c r="B83" s="10"/>
    </row>
    <row r="84">
      <c r="B84" s="10"/>
    </row>
    <row r="85">
      <c r="B85" s="10"/>
    </row>
    <row r="86">
      <c r="B86" s="10"/>
    </row>
    <row r="87">
      <c r="B87" s="10"/>
    </row>
    <row r="88">
      <c r="B88" s="10"/>
    </row>
    <row r="89">
      <c r="B89" s="10"/>
    </row>
    <row r="90">
      <c r="B90" s="10"/>
    </row>
    <row r="91">
      <c r="B91" s="10"/>
    </row>
    <row r="92">
      <c r="B92" s="10"/>
    </row>
    <row r="93">
      <c r="B93" s="10"/>
    </row>
    <row r="94">
      <c r="B94" s="10"/>
    </row>
    <row r="95">
      <c r="B95" s="10"/>
    </row>
    <row r="96">
      <c r="B96" s="10"/>
    </row>
    <row r="97">
      <c r="B97" s="10"/>
    </row>
    <row r="98">
      <c r="B98" s="10"/>
    </row>
    <row r="99">
      <c r="B99" s="10"/>
    </row>
    <row r="100">
      <c r="B100" s="10"/>
    </row>
    <row r="101">
      <c r="B101" s="10"/>
    </row>
    <row r="102">
      <c r="B102" s="10"/>
    </row>
    <row r="103">
      <c r="B103" s="10"/>
    </row>
    <row r="104">
      <c r="B104" s="10"/>
    </row>
    <row r="105">
      <c r="B105" s="10"/>
    </row>
    <row r="106">
      <c r="B106" s="10"/>
    </row>
    <row r="107">
      <c r="B107" s="10"/>
    </row>
    <row r="108">
      <c r="B108" s="10"/>
    </row>
    <row r="109">
      <c r="B109" s="10"/>
    </row>
    <row r="110">
      <c r="B110" s="10"/>
    </row>
    <row r="111">
      <c r="B111" s="10"/>
    </row>
    <row r="112">
      <c r="B112" s="10"/>
    </row>
    <row r="113">
      <c r="B113" s="10"/>
    </row>
    <row r="114">
      <c r="B114" s="10"/>
    </row>
    <row r="115">
      <c r="B115" s="10"/>
    </row>
    <row r="116">
      <c r="B116" s="10"/>
    </row>
    <row r="117">
      <c r="B117" s="10"/>
    </row>
    <row r="118">
      <c r="B118" s="10"/>
    </row>
    <row r="119">
      <c r="B119" s="10"/>
    </row>
    <row r="120">
      <c r="B120" s="10"/>
    </row>
    <row r="121">
      <c r="B121" s="10"/>
    </row>
    <row r="122">
      <c r="B122" s="10"/>
    </row>
    <row r="123">
      <c r="B123" s="10"/>
    </row>
    <row r="124">
      <c r="B124" s="10"/>
    </row>
    <row r="125">
      <c r="B125" s="10"/>
    </row>
    <row r="126">
      <c r="B126" s="10"/>
    </row>
    <row r="127">
      <c r="B127" s="10"/>
    </row>
    <row r="128">
      <c r="B128" s="10"/>
    </row>
    <row r="129">
      <c r="B129" s="10"/>
    </row>
    <row r="130">
      <c r="B130" s="10"/>
    </row>
    <row r="131">
      <c r="B131" s="10"/>
    </row>
    <row r="132">
      <c r="B132" s="10"/>
    </row>
    <row r="133">
      <c r="B133" s="10"/>
    </row>
    <row r="134">
      <c r="B134" s="10"/>
    </row>
    <row r="135">
      <c r="B135" s="10"/>
    </row>
    <row r="136">
      <c r="B136" s="10"/>
    </row>
    <row r="137">
      <c r="B137" s="10"/>
    </row>
    <row r="138">
      <c r="B138" s="10"/>
    </row>
    <row r="139">
      <c r="B139" s="10"/>
    </row>
    <row r="140">
      <c r="B140" s="10"/>
    </row>
    <row r="141">
      <c r="B141" s="10"/>
    </row>
    <row r="142">
      <c r="B142" s="10"/>
    </row>
    <row r="143">
      <c r="B143" s="10"/>
    </row>
    <row r="144">
      <c r="B144" s="10"/>
    </row>
    <row r="145">
      <c r="B145" s="10"/>
    </row>
    <row r="146">
      <c r="B146" s="10"/>
    </row>
    <row r="147">
      <c r="B147" s="10"/>
    </row>
    <row r="148">
      <c r="B148" s="10"/>
    </row>
    <row r="149">
      <c r="B149" s="10"/>
    </row>
    <row r="150">
      <c r="B150" s="10"/>
    </row>
    <row r="151">
      <c r="B151" s="10"/>
    </row>
    <row r="152">
      <c r="B152" s="10"/>
    </row>
    <row r="153">
      <c r="B153" s="10"/>
    </row>
    <row r="154">
      <c r="B154" s="10"/>
    </row>
    <row r="155">
      <c r="B155" s="10"/>
    </row>
    <row r="156">
      <c r="B156" s="10"/>
    </row>
    <row r="157">
      <c r="B157" s="10"/>
    </row>
    <row r="158">
      <c r="B158" s="10"/>
    </row>
    <row r="159">
      <c r="B159" s="10"/>
    </row>
    <row r="160">
      <c r="B160" s="10"/>
    </row>
    <row r="161">
      <c r="B161" s="10"/>
    </row>
    <row r="162">
      <c r="B162" s="10"/>
    </row>
    <row r="163">
      <c r="B163" s="10"/>
    </row>
    <row r="164">
      <c r="B164" s="10"/>
    </row>
    <row r="165">
      <c r="B165" s="10"/>
    </row>
    <row r="166">
      <c r="B166" s="10"/>
    </row>
    <row r="167">
      <c r="B167" s="10"/>
    </row>
    <row r="168">
      <c r="B168" s="10"/>
    </row>
    <row r="169">
      <c r="B169" s="10"/>
    </row>
    <row r="170">
      <c r="B170" s="10"/>
    </row>
    <row r="171">
      <c r="B171" s="10"/>
    </row>
    <row r="172">
      <c r="B172" s="10"/>
    </row>
    <row r="173">
      <c r="B173" s="10"/>
    </row>
    <row r="174">
      <c r="B174" s="10"/>
    </row>
    <row r="175">
      <c r="B175" s="10"/>
    </row>
    <row r="176">
      <c r="B176" s="10"/>
    </row>
    <row r="177">
      <c r="B177" s="10"/>
    </row>
    <row r="178">
      <c r="B178" s="10"/>
    </row>
    <row r="179">
      <c r="B179" s="10"/>
    </row>
    <row r="180">
      <c r="B180" s="10"/>
    </row>
    <row r="181">
      <c r="B181" s="10"/>
    </row>
    <row r="182">
      <c r="B182" s="10"/>
    </row>
    <row r="183">
      <c r="B183" s="10"/>
    </row>
    <row r="184">
      <c r="B184" s="10"/>
    </row>
    <row r="185">
      <c r="B185" s="10"/>
    </row>
    <row r="186">
      <c r="B186" s="10"/>
    </row>
    <row r="187">
      <c r="B187" s="10"/>
    </row>
    <row r="188">
      <c r="B188" s="10"/>
    </row>
    <row r="189">
      <c r="B189" s="10"/>
    </row>
    <row r="190">
      <c r="B190" s="10"/>
    </row>
    <row r="191">
      <c r="B191" s="10"/>
    </row>
    <row r="192">
      <c r="B192" s="10"/>
    </row>
    <row r="193">
      <c r="B193" s="10"/>
    </row>
    <row r="194">
      <c r="B194" s="10"/>
    </row>
    <row r="195">
      <c r="B195" s="10"/>
    </row>
    <row r="196">
      <c r="B196" s="10"/>
    </row>
    <row r="197">
      <c r="B197" s="10"/>
    </row>
    <row r="198">
      <c r="B198" s="10"/>
    </row>
    <row r="199">
      <c r="B199" s="10"/>
    </row>
    <row r="200">
      <c r="B200" s="10"/>
    </row>
    <row r="201">
      <c r="B201" s="10"/>
    </row>
    <row r="202">
      <c r="B202" s="10"/>
    </row>
    <row r="203">
      <c r="B203" s="10"/>
    </row>
    <row r="204">
      <c r="B204" s="10"/>
    </row>
    <row r="205">
      <c r="B205" s="10"/>
    </row>
    <row r="206">
      <c r="B206" s="10"/>
    </row>
    <row r="207">
      <c r="B207" s="10"/>
    </row>
    <row r="208">
      <c r="B208" s="10"/>
    </row>
    <row r="209">
      <c r="B209" s="10"/>
    </row>
    <row r="210">
      <c r="B210" s="10"/>
    </row>
    <row r="211">
      <c r="B211" s="10"/>
    </row>
    <row r="212">
      <c r="B212" s="10"/>
    </row>
    <row r="213">
      <c r="B213" s="10"/>
    </row>
    <row r="214">
      <c r="B214" s="10"/>
    </row>
    <row r="215">
      <c r="B215" s="10"/>
    </row>
    <row r="216">
      <c r="B216" s="10"/>
    </row>
    <row r="217">
      <c r="B217" s="10"/>
    </row>
    <row r="218">
      <c r="B218" s="10"/>
    </row>
    <row r="219">
      <c r="B219" s="10"/>
    </row>
    <row r="220">
      <c r="B220" s="10"/>
    </row>
    <row r="221">
      <c r="B221" s="10"/>
    </row>
    <row r="222">
      <c r="B222" s="10"/>
    </row>
    <row r="223">
      <c r="B223" s="10"/>
    </row>
    <row r="224">
      <c r="B224" s="10"/>
    </row>
    <row r="225">
      <c r="B225" s="10"/>
    </row>
    <row r="226">
      <c r="B226" s="10"/>
    </row>
    <row r="227">
      <c r="B227" s="10"/>
    </row>
    <row r="228">
      <c r="B228" s="10"/>
    </row>
    <row r="229">
      <c r="B229" s="10"/>
    </row>
    <row r="230">
      <c r="B230" s="10"/>
    </row>
    <row r="231">
      <c r="B231" s="10"/>
    </row>
    <row r="232">
      <c r="B232" s="10"/>
    </row>
    <row r="233">
      <c r="B233" s="10"/>
    </row>
    <row r="234">
      <c r="B234" s="10"/>
    </row>
    <row r="235">
      <c r="B235" s="10"/>
    </row>
    <row r="236">
      <c r="B236" s="10"/>
    </row>
    <row r="237">
      <c r="B237" s="10"/>
    </row>
    <row r="238">
      <c r="B238" s="10"/>
    </row>
    <row r="239">
      <c r="B239" s="10"/>
    </row>
    <row r="240">
      <c r="B240" s="10"/>
    </row>
    <row r="241">
      <c r="B241" s="10"/>
    </row>
    <row r="242">
      <c r="B242" s="10"/>
    </row>
    <row r="243">
      <c r="B243" s="10"/>
    </row>
    <row r="244">
      <c r="B244" s="10"/>
    </row>
    <row r="245">
      <c r="B245" s="10"/>
    </row>
    <row r="246">
      <c r="B246" s="10"/>
    </row>
    <row r="247">
      <c r="B247" s="10"/>
    </row>
    <row r="248">
      <c r="B248" s="10"/>
    </row>
    <row r="249">
      <c r="B249" s="10"/>
    </row>
    <row r="250">
      <c r="B250" s="10"/>
    </row>
    <row r="251">
      <c r="B251" s="10"/>
    </row>
    <row r="252">
      <c r="B252" s="10"/>
    </row>
    <row r="253">
      <c r="B253" s="10"/>
    </row>
    <row r="254">
      <c r="B254" s="10"/>
    </row>
    <row r="255">
      <c r="B255" s="10"/>
    </row>
    <row r="256">
      <c r="B256" s="10"/>
    </row>
    <row r="257">
      <c r="B257" s="10"/>
    </row>
    <row r="258">
      <c r="B258" s="10"/>
    </row>
    <row r="259">
      <c r="B259" s="10"/>
    </row>
    <row r="260">
      <c r="B260" s="10"/>
    </row>
    <row r="261">
      <c r="B261" s="10"/>
    </row>
    <row r="262">
      <c r="B262" s="10"/>
    </row>
    <row r="263">
      <c r="B263" s="10"/>
    </row>
    <row r="264">
      <c r="B264" s="10"/>
    </row>
    <row r="265">
      <c r="B265" s="10"/>
    </row>
    <row r="266">
      <c r="B266" s="10"/>
    </row>
    <row r="267">
      <c r="B267" s="10"/>
    </row>
    <row r="268">
      <c r="B268" s="10"/>
    </row>
    <row r="269">
      <c r="B269" s="10"/>
    </row>
    <row r="270">
      <c r="B270" s="10"/>
    </row>
    <row r="271">
      <c r="B271" s="10"/>
    </row>
    <row r="272">
      <c r="B272" s="10"/>
    </row>
    <row r="273">
      <c r="B273" s="10"/>
    </row>
    <row r="274">
      <c r="B274" s="10"/>
    </row>
    <row r="275">
      <c r="B275" s="10"/>
    </row>
    <row r="276">
      <c r="B276" s="10"/>
    </row>
    <row r="277">
      <c r="B277" s="10"/>
    </row>
    <row r="278">
      <c r="B278" s="10"/>
    </row>
    <row r="279">
      <c r="B279" s="10"/>
    </row>
    <row r="280">
      <c r="B280" s="10"/>
    </row>
    <row r="281">
      <c r="B281" s="10"/>
    </row>
    <row r="282">
      <c r="B282" s="10"/>
    </row>
    <row r="283">
      <c r="B283" s="10"/>
    </row>
    <row r="284">
      <c r="B284" s="10"/>
    </row>
    <row r="285">
      <c r="B285" s="10"/>
    </row>
    <row r="286">
      <c r="B286" s="10"/>
    </row>
    <row r="287">
      <c r="B287" s="10"/>
    </row>
    <row r="288">
      <c r="B288" s="10"/>
    </row>
    <row r="289">
      <c r="B289" s="10"/>
    </row>
    <row r="290">
      <c r="B290" s="10"/>
    </row>
    <row r="291">
      <c r="B291" s="10"/>
    </row>
    <row r="292">
      <c r="B292" s="10"/>
    </row>
    <row r="293">
      <c r="B293" s="10"/>
    </row>
    <row r="294">
      <c r="B294" s="10"/>
    </row>
    <row r="295">
      <c r="B295" s="10"/>
    </row>
    <row r="296">
      <c r="B296" s="10"/>
    </row>
    <row r="297">
      <c r="B297" s="10"/>
    </row>
    <row r="298">
      <c r="B298" s="10"/>
    </row>
    <row r="299">
      <c r="B299" s="10"/>
    </row>
    <row r="300">
      <c r="B300" s="10"/>
    </row>
    <row r="301">
      <c r="B301" s="10"/>
    </row>
    <row r="302">
      <c r="B302" s="10"/>
    </row>
    <row r="303">
      <c r="B303" s="10"/>
    </row>
    <row r="304">
      <c r="B304" s="10"/>
    </row>
    <row r="305">
      <c r="B305" s="10"/>
    </row>
    <row r="306">
      <c r="B306" s="10"/>
    </row>
    <row r="307">
      <c r="B307" s="10"/>
    </row>
    <row r="308">
      <c r="B308" s="10"/>
    </row>
    <row r="309">
      <c r="B309" s="10"/>
    </row>
    <row r="310">
      <c r="B310" s="10"/>
    </row>
    <row r="311">
      <c r="B311" s="10"/>
    </row>
    <row r="312">
      <c r="B312" s="10"/>
    </row>
    <row r="313">
      <c r="B313" s="10"/>
    </row>
    <row r="314">
      <c r="B314" s="10"/>
    </row>
    <row r="315">
      <c r="B315" s="10"/>
    </row>
    <row r="316">
      <c r="B316" s="10"/>
    </row>
    <row r="317">
      <c r="B317" s="10"/>
    </row>
    <row r="318">
      <c r="B318" s="10"/>
    </row>
    <row r="319">
      <c r="B319" s="10"/>
    </row>
    <row r="320">
      <c r="B320" s="10"/>
    </row>
    <row r="321">
      <c r="B321" s="10"/>
    </row>
    <row r="322">
      <c r="B322" s="10"/>
    </row>
    <row r="323">
      <c r="B323" s="10"/>
    </row>
    <row r="324">
      <c r="B324" s="10"/>
    </row>
    <row r="325">
      <c r="B325" s="10"/>
    </row>
    <row r="326">
      <c r="B326" s="10"/>
    </row>
    <row r="327">
      <c r="B327" s="10"/>
    </row>
    <row r="328">
      <c r="B328" s="10"/>
    </row>
    <row r="329">
      <c r="B329" s="10"/>
    </row>
    <row r="330">
      <c r="B330" s="10"/>
    </row>
    <row r="331">
      <c r="B331" s="10"/>
    </row>
    <row r="332">
      <c r="B332" s="10"/>
    </row>
    <row r="333">
      <c r="B333" s="10"/>
    </row>
    <row r="334">
      <c r="B334" s="10"/>
    </row>
    <row r="335">
      <c r="B335" s="10"/>
    </row>
    <row r="336">
      <c r="B336" s="10"/>
    </row>
    <row r="337">
      <c r="B337" s="10"/>
    </row>
    <row r="338">
      <c r="B338" s="10"/>
    </row>
    <row r="339">
      <c r="B339" s="10"/>
    </row>
    <row r="340">
      <c r="B340" s="10"/>
    </row>
    <row r="341">
      <c r="B341" s="10"/>
    </row>
    <row r="342">
      <c r="B342" s="10"/>
    </row>
    <row r="343">
      <c r="B343" s="10"/>
    </row>
    <row r="344">
      <c r="B344" s="10"/>
    </row>
    <row r="345">
      <c r="B345" s="10"/>
    </row>
    <row r="346">
      <c r="B346" s="10"/>
    </row>
    <row r="347">
      <c r="B347" s="10"/>
    </row>
    <row r="348">
      <c r="B348" s="10"/>
    </row>
    <row r="349">
      <c r="B349" s="10"/>
    </row>
    <row r="350">
      <c r="B350" s="10"/>
    </row>
    <row r="351">
      <c r="B351" s="10"/>
    </row>
    <row r="352">
      <c r="B352" s="10"/>
    </row>
    <row r="353">
      <c r="B353" s="10"/>
    </row>
    <row r="354">
      <c r="B354" s="10"/>
    </row>
    <row r="355">
      <c r="B355" s="10"/>
    </row>
    <row r="356">
      <c r="B356" s="10"/>
    </row>
    <row r="357">
      <c r="B357" s="10"/>
    </row>
    <row r="358">
      <c r="B358" s="10"/>
    </row>
    <row r="359">
      <c r="B359" s="10"/>
    </row>
    <row r="360">
      <c r="B360" s="10"/>
    </row>
    <row r="361">
      <c r="B361" s="10"/>
    </row>
    <row r="362">
      <c r="B362" s="10"/>
    </row>
    <row r="363">
      <c r="B363" s="10"/>
    </row>
    <row r="364">
      <c r="B364" s="10"/>
    </row>
    <row r="365">
      <c r="B365" s="10"/>
    </row>
    <row r="366">
      <c r="B366" s="10"/>
    </row>
    <row r="367">
      <c r="B367" s="10"/>
    </row>
    <row r="368">
      <c r="B368" s="10"/>
    </row>
    <row r="369">
      <c r="B369" s="10"/>
    </row>
    <row r="370">
      <c r="B370" s="10"/>
    </row>
    <row r="371">
      <c r="B371" s="10"/>
    </row>
    <row r="372">
      <c r="B372" s="10"/>
    </row>
    <row r="373">
      <c r="B373" s="10"/>
    </row>
    <row r="374">
      <c r="B374" s="10"/>
    </row>
    <row r="375">
      <c r="B375" s="10"/>
    </row>
    <row r="376">
      <c r="B376" s="10"/>
    </row>
    <row r="377">
      <c r="B377" s="10"/>
    </row>
    <row r="378">
      <c r="B378" s="10"/>
    </row>
    <row r="379">
      <c r="B379" s="10"/>
    </row>
    <row r="380">
      <c r="B380" s="10"/>
    </row>
    <row r="381">
      <c r="B381" s="10"/>
    </row>
    <row r="382">
      <c r="B382" s="10"/>
    </row>
    <row r="383">
      <c r="B383" s="10"/>
    </row>
    <row r="384">
      <c r="B384" s="10"/>
    </row>
    <row r="385">
      <c r="B385" s="10"/>
    </row>
    <row r="386">
      <c r="B386" s="10"/>
    </row>
    <row r="387">
      <c r="B387" s="10"/>
    </row>
    <row r="388">
      <c r="B388" s="10"/>
    </row>
    <row r="389">
      <c r="B389" s="10"/>
    </row>
    <row r="390">
      <c r="B390" s="10"/>
    </row>
    <row r="391">
      <c r="B391" s="10"/>
    </row>
    <row r="392">
      <c r="B392" s="10"/>
    </row>
    <row r="393">
      <c r="B393" s="10"/>
    </row>
    <row r="394">
      <c r="B394" s="10"/>
    </row>
    <row r="395">
      <c r="B395" s="10"/>
    </row>
    <row r="396">
      <c r="B396" s="10"/>
    </row>
    <row r="397">
      <c r="B397" s="10"/>
    </row>
    <row r="398">
      <c r="B398" s="10"/>
    </row>
    <row r="399">
      <c r="B399" s="10"/>
    </row>
    <row r="400">
      <c r="B400" s="10"/>
    </row>
    <row r="401">
      <c r="B401" s="10"/>
    </row>
    <row r="402">
      <c r="B402" s="10"/>
    </row>
    <row r="403">
      <c r="B403" s="10"/>
    </row>
    <row r="404">
      <c r="B404" s="10"/>
    </row>
    <row r="405">
      <c r="B405" s="10"/>
    </row>
    <row r="406">
      <c r="B406" s="10"/>
    </row>
    <row r="407">
      <c r="B407" s="10"/>
    </row>
    <row r="408">
      <c r="B408" s="10"/>
    </row>
    <row r="409">
      <c r="B409" s="10"/>
    </row>
    <row r="410">
      <c r="B410" s="10"/>
    </row>
    <row r="411">
      <c r="B411" s="10"/>
    </row>
    <row r="412">
      <c r="B412" s="10"/>
    </row>
    <row r="413">
      <c r="B413" s="10"/>
    </row>
    <row r="414">
      <c r="B414" s="10"/>
    </row>
    <row r="415">
      <c r="B415" s="10"/>
    </row>
    <row r="416">
      <c r="B416" s="10"/>
    </row>
    <row r="417">
      <c r="B417" s="10"/>
    </row>
    <row r="418">
      <c r="B418" s="10"/>
    </row>
    <row r="419">
      <c r="B419" s="10"/>
    </row>
    <row r="420">
      <c r="B420" s="10"/>
    </row>
    <row r="421">
      <c r="B421" s="10"/>
    </row>
    <row r="422">
      <c r="B422" s="10"/>
    </row>
    <row r="423">
      <c r="B423" s="10"/>
    </row>
    <row r="424">
      <c r="B424" s="10"/>
    </row>
    <row r="425">
      <c r="B425" s="10"/>
    </row>
    <row r="426">
      <c r="B426" s="10"/>
    </row>
    <row r="427">
      <c r="B427" s="10"/>
    </row>
    <row r="428">
      <c r="B428" s="10"/>
    </row>
    <row r="429">
      <c r="B429" s="10"/>
    </row>
    <row r="430">
      <c r="B430" s="10"/>
    </row>
    <row r="431">
      <c r="B431" s="10"/>
    </row>
    <row r="432">
      <c r="B432" s="10"/>
    </row>
    <row r="433">
      <c r="B433" s="10"/>
    </row>
    <row r="434">
      <c r="B434" s="10"/>
    </row>
    <row r="435">
      <c r="B435" s="10"/>
    </row>
    <row r="436">
      <c r="B436" s="10"/>
    </row>
    <row r="437">
      <c r="B437" s="10"/>
    </row>
    <row r="438">
      <c r="B438" s="10"/>
    </row>
    <row r="439">
      <c r="B439" s="10"/>
    </row>
    <row r="440">
      <c r="B440" s="10"/>
    </row>
    <row r="441">
      <c r="B441" s="10"/>
    </row>
    <row r="442">
      <c r="B442" s="10"/>
    </row>
    <row r="443">
      <c r="B443" s="10"/>
    </row>
    <row r="444">
      <c r="B444" s="10"/>
    </row>
    <row r="445">
      <c r="B445" s="10"/>
    </row>
    <row r="446">
      <c r="B446" s="10"/>
    </row>
    <row r="447">
      <c r="B447" s="10"/>
    </row>
    <row r="448">
      <c r="B448" s="10"/>
    </row>
    <row r="449">
      <c r="B449" s="10"/>
    </row>
    <row r="450">
      <c r="B450" s="10"/>
    </row>
    <row r="451">
      <c r="B451" s="10"/>
    </row>
    <row r="452">
      <c r="B452" s="10"/>
    </row>
    <row r="453">
      <c r="B453" s="10"/>
    </row>
    <row r="454">
      <c r="B454" s="10"/>
    </row>
    <row r="455">
      <c r="B455" s="10"/>
    </row>
    <row r="456">
      <c r="B456" s="10"/>
    </row>
    <row r="457">
      <c r="B457" s="10"/>
    </row>
    <row r="458">
      <c r="B458" s="10"/>
    </row>
    <row r="459">
      <c r="B459" s="10"/>
    </row>
    <row r="460">
      <c r="B460" s="10"/>
    </row>
    <row r="461">
      <c r="B461" s="10"/>
    </row>
    <row r="462">
      <c r="B462" s="10"/>
    </row>
    <row r="463">
      <c r="B463" s="10"/>
    </row>
    <row r="464">
      <c r="B464" s="10"/>
    </row>
    <row r="465">
      <c r="B465" s="10"/>
    </row>
    <row r="466">
      <c r="B466" s="10"/>
    </row>
    <row r="467">
      <c r="B467" s="10"/>
    </row>
    <row r="468">
      <c r="B468" s="10"/>
    </row>
    <row r="469">
      <c r="B469" s="10"/>
    </row>
    <row r="470">
      <c r="B470" s="10"/>
    </row>
    <row r="471">
      <c r="B471" s="10"/>
    </row>
    <row r="472">
      <c r="B472" s="10"/>
    </row>
    <row r="473">
      <c r="B473" s="10"/>
    </row>
    <row r="474">
      <c r="B474" s="10"/>
    </row>
    <row r="475">
      <c r="B475" s="10"/>
    </row>
    <row r="476">
      <c r="B476" s="10"/>
    </row>
    <row r="477">
      <c r="B477" s="10"/>
    </row>
    <row r="478">
      <c r="B478" s="10"/>
    </row>
    <row r="479">
      <c r="B479" s="10"/>
    </row>
    <row r="480">
      <c r="B480" s="10"/>
    </row>
    <row r="481">
      <c r="B481" s="10"/>
    </row>
    <row r="482">
      <c r="B482" s="10"/>
    </row>
    <row r="483">
      <c r="B483" s="10"/>
    </row>
    <row r="484">
      <c r="B484" s="10"/>
    </row>
    <row r="485">
      <c r="B485" s="10"/>
    </row>
    <row r="486">
      <c r="B486" s="10"/>
    </row>
    <row r="487">
      <c r="B487" s="10"/>
    </row>
    <row r="488">
      <c r="B488" s="10"/>
    </row>
    <row r="489">
      <c r="B489" s="10"/>
    </row>
    <row r="490">
      <c r="B490" s="10"/>
    </row>
    <row r="491">
      <c r="B491" s="10"/>
    </row>
    <row r="492">
      <c r="B492" s="10"/>
    </row>
    <row r="493">
      <c r="B493" s="10"/>
    </row>
    <row r="494">
      <c r="B494" s="10"/>
    </row>
    <row r="495">
      <c r="B495" s="10"/>
    </row>
    <row r="496">
      <c r="B496" s="10"/>
    </row>
    <row r="497">
      <c r="B497" s="10"/>
    </row>
    <row r="498">
      <c r="B498" s="10"/>
    </row>
    <row r="499">
      <c r="B499" s="10"/>
    </row>
    <row r="500">
      <c r="B500" s="10"/>
    </row>
    <row r="501">
      <c r="B501" s="10"/>
    </row>
    <row r="502">
      <c r="B502" s="10"/>
    </row>
    <row r="503">
      <c r="B503" s="10"/>
    </row>
    <row r="504">
      <c r="B504" s="10"/>
    </row>
    <row r="505">
      <c r="B505" s="10"/>
    </row>
    <row r="506">
      <c r="B506" s="10"/>
    </row>
    <row r="507">
      <c r="B507" s="10"/>
    </row>
    <row r="508">
      <c r="B508" s="10"/>
    </row>
    <row r="509">
      <c r="B509" s="10"/>
    </row>
    <row r="510">
      <c r="B510" s="10"/>
    </row>
    <row r="511">
      <c r="B511" s="10"/>
    </row>
    <row r="512">
      <c r="B512" s="10"/>
    </row>
    <row r="513">
      <c r="B513" s="10"/>
    </row>
    <row r="514">
      <c r="B514" s="10"/>
    </row>
    <row r="515">
      <c r="B515" s="10"/>
    </row>
    <row r="516">
      <c r="B516" s="10"/>
    </row>
    <row r="517">
      <c r="B517" s="10"/>
    </row>
    <row r="518">
      <c r="B518" s="10"/>
    </row>
    <row r="519">
      <c r="B519" s="10"/>
    </row>
    <row r="520">
      <c r="B520" s="10"/>
    </row>
    <row r="521">
      <c r="B521" s="10"/>
    </row>
    <row r="522">
      <c r="B522" s="10"/>
    </row>
    <row r="523">
      <c r="B523" s="10"/>
    </row>
    <row r="524">
      <c r="B524" s="10"/>
    </row>
    <row r="525">
      <c r="B525" s="10"/>
    </row>
    <row r="526">
      <c r="B526" s="10"/>
    </row>
    <row r="527">
      <c r="B527" s="10"/>
    </row>
    <row r="528">
      <c r="B528" s="10"/>
    </row>
    <row r="529">
      <c r="B529" s="10"/>
    </row>
    <row r="530">
      <c r="B530" s="10"/>
    </row>
    <row r="531">
      <c r="B531" s="10"/>
    </row>
    <row r="532">
      <c r="B532" s="10"/>
    </row>
    <row r="533">
      <c r="B533" s="10"/>
    </row>
    <row r="534">
      <c r="B534" s="10"/>
    </row>
    <row r="535">
      <c r="B535" s="10"/>
    </row>
    <row r="536">
      <c r="B536" s="10"/>
    </row>
    <row r="537">
      <c r="B537" s="10"/>
    </row>
    <row r="538">
      <c r="B538" s="10"/>
    </row>
    <row r="539">
      <c r="B539" s="10"/>
    </row>
    <row r="540">
      <c r="B540" s="10"/>
    </row>
    <row r="541">
      <c r="B541" s="10"/>
    </row>
    <row r="542">
      <c r="B542" s="10"/>
    </row>
    <row r="543">
      <c r="B543" s="10"/>
    </row>
    <row r="544">
      <c r="B544" s="10"/>
    </row>
    <row r="545">
      <c r="B545" s="10"/>
    </row>
    <row r="546">
      <c r="B546" s="10"/>
    </row>
    <row r="547">
      <c r="B547" s="10"/>
    </row>
    <row r="548">
      <c r="B548" s="10"/>
    </row>
    <row r="549">
      <c r="B549" s="10"/>
    </row>
    <row r="550">
      <c r="B550" s="10"/>
    </row>
    <row r="551">
      <c r="B551" s="10"/>
    </row>
    <row r="552">
      <c r="B552" s="10"/>
    </row>
    <row r="553">
      <c r="B553" s="10"/>
    </row>
    <row r="554">
      <c r="B554" s="10"/>
    </row>
    <row r="555">
      <c r="B555" s="10"/>
    </row>
    <row r="556">
      <c r="B556" s="10"/>
    </row>
    <row r="557">
      <c r="B557" s="10"/>
    </row>
    <row r="558">
      <c r="B558" s="10"/>
    </row>
    <row r="559">
      <c r="B559" s="10"/>
    </row>
    <row r="560">
      <c r="B560" s="10"/>
    </row>
    <row r="561">
      <c r="B561" s="10"/>
    </row>
    <row r="562">
      <c r="B562" s="10"/>
    </row>
    <row r="563">
      <c r="B563" s="10"/>
    </row>
    <row r="564">
      <c r="B564" s="10"/>
    </row>
    <row r="565">
      <c r="B565" s="10"/>
    </row>
    <row r="566">
      <c r="B566" s="10"/>
    </row>
    <row r="567">
      <c r="B567" s="10"/>
    </row>
    <row r="568">
      <c r="B568" s="10"/>
    </row>
    <row r="569">
      <c r="B569" s="10"/>
    </row>
    <row r="570">
      <c r="B570" s="10"/>
    </row>
    <row r="571">
      <c r="B571" s="10"/>
    </row>
    <row r="572">
      <c r="B572" s="10"/>
    </row>
    <row r="573">
      <c r="B573" s="10"/>
    </row>
    <row r="574">
      <c r="B574" s="10"/>
    </row>
    <row r="575">
      <c r="B575" s="10"/>
    </row>
    <row r="576">
      <c r="B576" s="10"/>
    </row>
    <row r="577">
      <c r="B577" s="10"/>
    </row>
    <row r="578">
      <c r="B578" s="10"/>
    </row>
    <row r="579">
      <c r="B579" s="10"/>
    </row>
    <row r="580">
      <c r="B580" s="10"/>
    </row>
    <row r="581">
      <c r="B581" s="10"/>
    </row>
    <row r="582">
      <c r="B582" s="10"/>
    </row>
    <row r="583">
      <c r="B583" s="10"/>
    </row>
    <row r="584">
      <c r="B584" s="10"/>
    </row>
    <row r="585">
      <c r="B585" s="10"/>
    </row>
    <row r="586">
      <c r="B586" s="10"/>
    </row>
    <row r="587">
      <c r="B587" s="10"/>
    </row>
    <row r="588">
      <c r="B588" s="10"/>
    </row>
    <row r="589">
      <c r="B589" s="10"/>
    </row>
    <row r="590">
      <c r="B590" s="10"/>
    </row>
    <row r="591">
      <c r="B591" s="10"/>
    </row>
    <row r="592">
      <c r="B592" s="10"/>
    </row>
    <row r="593">
      <c r="B593" s="10"/>
    </row>
    <row r="594">
      <c r="B594" s="10"/>
    </row>
    <row r="595">
      <c r="B595" s="10"/>
    </row>
    <row r="596">
      <c r="B596" s="10"/>
    </row>
    <row r="597">
      <c r="B597" s="10"/>
    </row>
    <row r="598">
      <c r="B598" s="10"/>
    </row>
    <row r="599">
      <c r="B599" s="10"/>
    </row>
    <row r="600">
      <c r="B600" s="10"/>
    </row>
    <row r="601">
      <c r="B601" s="10"/>
    </row>
    <row r="602">
      <c r="B602" s="10"/>
    </row>
    <row r="603">
      <c r="B603" s="10"/>
    </row>
    <row r="604">
      <c r="B604" s="10"/>
    </row>
    <row r="605">
      <c r="B605" s="10"/>
    </row>
    <row r="606">
      <c r="B606" s="10"/>
    </row>
    <row r="607">
      <c r="B607" s="10"/>
    </row>
    <row r="608">
      <c r="B608" s="10"/>
    </row>
    <row r="609">
      <c r="B609" s="10"/>
    </row>
    <row r="610">
      <c r="B610" s="10"/>
    </row>
    <row r="611">
      <c r="B611" s="10"/>
    </row>
    <row r="612">
      <c r="B612" s="10"/>
    </row>
    <row r="613">
      <c r="B613" s="10"/>
    </row>
    <row r="614">
      <c r="B614" s="10"/>
    </row>
    <row r="615">
      <c r="B615" s="10"/>
    </row>
    <row r="616">
      <c r="B616" s="10"/>
    </row>
    <row r="617">
      <c r="B617" s="10"/>
    </row>
    <row r="618">
      <c r="B618" s="10"/>
    </row>
    <row r="619">
      <c r="B619" s="10"/>
    </row>
    <row r="620">
      <c r="B620" s="10"/>
    </row>
    <row r="621">
      <c r="B621" s="10"/>
    </row>
    <row r="622">
      <c r="B622" s="10"/>
    </row>
    <row r="623">
      <c r="B623" s="10"/>
    </row>
    <row r="624">
      <c r="B624" s="10"/>
    </row>
    <row r="625">
      <c r="B625" s="10"/>
    </row>
    <row r="626">
      <c r="B626" s="10"/>
    </row>
    <row r="627">
      <c r="B627" s="10"/>
    </row>
    <row r="628">
      <c r="B628" s="10"/>
    </row>
    <row r="629">
      <c r="B629" s="10"/>
    </row>
    <row r="630">
      <c r="B630" s="10"/>
    </row>
    <row r="631">
      <c r="B631" s="10"/>
    </row>
    <row r="632">
      <c r="B632" s="10"/>
    </row>
    <row r="633">
      <c r="B633" s="10"/>
    </row>
    <row r="634">
      <c r="B634" s="10"/>
    </row>
    <row r="635">
      <c r="B635" s="10"/>
    </row>
    <row r="636">
      <c r="B636" s="10"/>
    </row>
    <row r="637">
      <c r="B637" s="10"/>
    </row>
    <row r="638">
      <c r="B638" s="10"/>
    </row>
    <row r="639">
      <c r="B639" s="10"/>
    </row>
    <row r="640">
      <c r="B640" s="10"/>
    </row>
    <row r="641">
      <c r="B641" s="10"/>
    </row>
    <row r="642">
      <c r="B642" s="10"/>
    </row>
    <row r="643">
      <c r="B643" s="10"/>
    </row>
    <row r="644">
      <c r="B644" s="10"/>
    </row>
    <row r="645">
      <c r="B645" s="10"/>
    </row>
    <row r="646">
      <c r="B646" s="10"/>
    </row>
    <row r="647">
      <c r="B647" s="10"/>
    </row>
    <row r="648">
      <c r="B648" s="10"/>
    </row>
    <row r="649">
      <c r="B649" s="10"/>
    </row>
    <row r="650">
      <c r="B650" s="10"/>
    </row>
    <row r="651">
      <c r="B651" s="10"/>
    </row>
    <row r="652">
      <c r="B652" s="10"/>
    </row>
    <row r="653">
      <c r="B653" s="10"/>
    </row>
    <row r="654">
      <c r="B654" s="10"/>
    </row>
    <row r="655">
      <c r="B655" s="10"/>
    </row>
    <row r="656">
      <c r="B656" s="10"/>
    </row>
    <row r="657">
      <c r="B657" s="10"/>
    </row>
    <row r="658">
      <c r="B658" s="10"/>
    </row>
    <row r="659">
      <c r="B659" s="10"/>
    </row>
    <row r="660">
      <c r="B660" s="10"/>
    </row>
    <row r="661">
      <c r="B661" s="10"/>
    </row>
    <row r="662">
      <c r="B662" s="10"/>
    </row>
    <row r="663">
      <c r="B663" s="10"/>
    </row>
    <row r="664">
      <c r="B664" s="10"/>
    </row>
    <row r="665">
      <c r="B665" s="10"/>
    </row>
    <row r="666">
      <c r="B666" s="10"/>
    </row>
    <row r="667">
      <c r="B667" s="10"/>
    </row>
    <row r="668">
      <c r="B668" s="10"/>
    </row>
    <row r="669">
      <c r="B669" s="10"/>
    </row>
    <row r="670">
      <c r="B670" s="10"/>
    </row>
    <row r="671">
      <c r="B671" s="10"/>
    </row>
    <row r="672">
      <c r="B672" s="10"/>
    </row>
    <row r="673">
      <c r="B673" s="10"/>
    </row>
    <row r="674">
      <c r="B674" s="10"/>
    </row>
    <row r="675">
      <c r="B675" s="10"/>
    </row>
    <row r="676">
      <c r="B676" s="10"/>
    </row>
    <row r="677">
      <c r="B677" s="10"/>
    </row>
    <row r="678">
      <c r="B678" s="10"/>
    </row>
    <row r="679">
      <c r="B679" s="10"/>
    </row>
    <row r="680">
      <c r="B680" s="10"/>
    </row>
    <row r="681">
      <c r="B681" s="10"/>
    </row>
    <row r="682">
      <c r="B682" s="10"/>
    </row>
    <row r="683">
      <c r="B683" s="10"/>
    </row>
    <row r="684">
      <c r="B684" s="10"/>
    </row>
    <row r="685">
      <c r="B685" s="10"/>
    </row>
    <row r="686">
      <c r="B686" s="10"/>
    </row>
    <row r="687">
      <c r="B687" s="10"/>
    </row>
    <row r="688">
      <c r="B688" s="10"/>
    </row>
    <row r="689">
      <c r="B689" s="10"/>
    </row>
    <row r="690">
      <c r="B690" s="10"/>
    </row>
    <row r="691">
      <c r="B691" s="10"/>
    </row>
    <row r="692">
      <c r="B692" s="10"/>
    </row>
    <row r="693">
      <c r="B693" s="10"/>
    </row>
    <row r="694">
      <c r="B694" s="10"/>
    </row>
    <row r="695">
      <c r="B695" s="10"/>
    </row>
    <row r="696">
      <c r="B696" s="10"/>
    </row>
    <row r="697">
      <c r="B697" s="10"/>
    </row>
    <row r="698">
      <c r="B698" s="10"/>
    </row>
    <row r="699">
      <c r="B699" s="10"/>
    </row>
    <row r="700">
      <c r="B700" s="10"/>
    </row>
    <row r="701">
      <c r="B701" s="10"/>
    </row>
    <row r="702">
      <c r="B702" s="10"/>
    </row>
    <row r="703">
      <c r="B703" s="10"/>
    </row>
    <row r="704">
      <c r="B704" s="10"/>
    </row>
    <row r="705">
      <c r="B705" s="10"/>
    </row>
    <row r="706">
      <c r="B706" s="10"/>
    </row>
    <row r="707">
      <c r="B707" s="10"/>
    </row>
    <row r="708">
      <c r="B708" s="10"/>
    </row>
    <row r="709">
      <c r="B709" s="10"/>
    </row>
    <row r="710">
      <c r="B710" s="10"/>
    </row>
    <row r="711">
      <c r="B711" s="10"/>
    </row>
    <row r="712">
      <c r="B712" s="10"/>
    </row>
    <row r="713">
      <c r="B713" s="10"/>
    </row>
    <row r="714">
      <c r="B714" s="10"/>
    </row>
    <row r="715">
      <c r="B715" s="10"/>
    </row>
    <row r="716">
      <c r="B716" s="10"/>
    </row>
    <row r="717">
      <c r="B717" s="10"/>
    </row>
    <row r="718">
      <c r="B718" s="10"/>
    </row>
    <row r="719">
      <c r="B719" s="10"/>
    </row>
    <row r="720">
      <c r="B720" s="10"/>
    </row>
    <row r="721">
      <c r="B721" s="10"/>
    </row>
    <row r="722">
      <c r="B722" s="10"/>
    </row>
    <row r="723">
      <c r="B723" s="10"/>
    </row>
    <row r="724">
      <c r="B724" s="10"/>
    </row>
    <row r="725">
      <c r="B725" s="10"/>
    </row>
    <row r="726">
      <c r="B726" s="10"/>
    </row>
    <row r="727">
      <c r="B727" s="10"/>
    </row>
    <row r="728">
      <c r="B728" s="10"/>
    </row>
    <row r="729">
      <c r="B729" s="10"/>
    </row>
    <row r="730">
      <c r="B730" s="10"/>
    </row>
    <row r="731">
      <c r="B731" s="10"/>
    </row>
    <row r="732">
      <c r="B732" s="10"/>
    </row>
    <row r="733">
      <c r="B733" s="10"/>
    </row>
    <row r="734">
      <c r="B734" s="10"/>
    </row>
    <row r="735">
      <c r="B735" s="10"/>
    </row>
    <row r="736">
      <c r="B736" s="10"/>
    </row>
    <row r="737">
      <c r="B737" s="10"/>
    </row>
    <row r="738">
      <c r="B738" s="10"/>
    </row>
    <row r="739">
      <c r="B739" s="10"/>
    </row>
    <row r="740">
      <c r="B740" s="10"/>
    </row>
    <row r="741">
      <c r="B741" s="10"/>
    </row>
    <row r="742">
      <c r="B742" s="10"/>
    </row>
    <row r="743">
      <c r="B743" s="10"/>
    </row>
    <row r="744">
      <c r="B744" s="10"/>
    </row>
    <row r="745">
      <c r="B745" s="10"/>
    </row>
    <row r="746">
      <c r="B746" s="10"/>
    </row>
    <row r="747">
      <c r="B747" s="10"/>
    </row>
    <row r="748">
      <c r="B748" s="10"/>
    </row>
    <row r="749">
      <c r="B749" s="10"/>
    </row>
    <row r="750">
      <c r="B750" s="10"/>
    </row>
    <row r="751">
      <c r="B751" s="10"/>
    </row>
    <row r="752">
      <c r="B752" s="10"/>
    </row>
    <row r="753">
      <c r="B753" s="10"/>
    </row>
    <row r="754">
      <c r="B754" s="10"/>
    </row>
    <row r="755">
      <c r="B755" s="10"/>
    </row>
    <row r="756">
      <c r="B756" s="10"/>
    </row>
    <row r="757">
      <c r="B757" s="10"/>
    </row>
    <row r="758">
      <c r="B758" s="10"/>
    </row>
    <row r="759">
      <c r="B759" s="10"/>
    </row>
    <row r="760">
      <c r="B760" s="10"/>
    </row>
    <row r="761">
      <c r="B761" s="10"/>
    </row>
    <row r="762">
      <c r="B762" s="10"/>
    </row>
    <row r="763">
      <c r="B763" s="10"/>
    </row>
    <row r="764">
      <c r="B764" s="10"/>
    </row>
    <row r="765">
      <c r="B765" s="10"/>
    </row>
    <row r="766">
      <c r="B766" s="10"/>
    </row>
    <row r="767">
      <c r="B767" s="10"/>
    </row>
    <row r="768">
      <c r="B768" s="10"/>
    </row>
    <row r="769">
      <c r="B769" s="10"/>
    </row>
    <row r="770">
      <c r="B770" s="10"/>
    </row>
    <row r="771">
      <c r="B771" s="10"/>
    </row>
    <row r="772">
      <c r="B772" s="10"/>
    </row>
    <row r="773">
      <c r="B773" s="10"/>
    </row>
    <row r="774">
      <c r="B774" s="10"/>
    </row>
    <row r="775">
      <c r="B775" s="10"/>
    </row>
    <row r="776">
      <c r="B776" s="10"/>
    </row>
    <row r="777">
      <c r="B777" s="10"/>
    </row>
    <row r="778">
      <c r="B778" s="10"/>
    </row>
    <row r="779">
      <c r="B779" s="10"/>
    </row>
    <row r="780">
      <c r="B780" s="10"/>
    </row>
    <row r="781">
      <c r="B781" s="10"/>
    </row>
    <row r="782">
      <c r="B782" s="10"/>
    </row>
    <row r="783">
      <c r="B783" s="10"/>
    </row>
    <row r="784">
      <c r="B784" s="10"/>
    </row>
    <row r="785">
      <c r="B785" s="10"/>
    </row>
    <row r="786">
      <c r="B786" s="10"/>
    </row>
    <row r="787">
      <c r="B787" s="10"/>
    </row>
    <row r="788">
      <c r="B788" s="10"/>
    </row>
    <row r="789">
      <c r="B789" s="10"/>
    </row>
    <row r="790">
      <c r="B790" s="10"/>
    </row>
    <row r="791">
      <c r="B791" s="10"/>
    </row>
    <row r="792">
      <c r="B792" s="10"/>
    </row>
    <row r="793">
      <c r="B793" s="10"/>
    </row>
    <row r="794">
      <c r="B794" s="10"/>
    </row>
    <row r="795">
      <c r="B795" s="10"/>
    </row>
    <row r="796">
      <c r="B796" s="10"/>
    </row>
    <row r="797">
      <c r="B797" s="10"/>
    </row>
    <row r="798">
      <c r="B798" s="10"/>
    </row>
    <row r="799">
      <c r="B799" s="10"/>
    </row>
    <row r="800">
      <c r="B800" s="10"/>
    </row>
    <row r="801">
      <c r="B801" s="10"/>
    </row>
    <row r="802">
      <c r="B802" s="10"/>
    </row>
    <row r="803">
      <c r="B803" s="10"/>
    </row>
    <row r="804">
      <c r="B804" s="10"/>
    </row>
    <row r="805">
      <c r="B805" s="10"/>
    </row>
    <row r="806">
      <c r="B806" s="10"/>
    </row>
    <row r="807">
      <c r="B807" s="10"/>
    </row>
    <row r="808">
      <c r="B808" s="10"/>
    </row>
    <row r="809">
      <c r="B809" s="10"/>
    </row>
    <row r="810">
      <c r="B810" s="10"/>
    </row>
    <row r="811">
      <c r="B811" s="10"/>
    </row>
    <row r="812">
      <c r="B812" s="10"/>
    </row>
    <row r="813">
      <c r="B813" s="10"/>
    </row>
    <row r="814">
      <c r="B814" s="10"/>
    </row>
    <row r="815">
      <c r="B815" s="10"/>
    </row>
    <row r="816">
      <c r="B816" s="10"/>
    </row>
    <row r="817">
      <c r="B817" s="10"/>
    </row>
    <row r="818">
      <c r="B818" s="10"/>
    </row>
    <row r="819">
      <c r="B819" s="10"/>
    </row>
    <row r="820">
      <c r="B820" s="10"/>
    </row>
    <row r="821">
      <c r="B821" s="10"/>
    </row>
    <row r="822">
      <c r="B822" s="10"/>
    </row>
    <row r="823">
      <c r="B823" s="10"/>
    </row>
    <row r="824">
      <c r="B824" s="10"/>
    </row>
    <row r="825">
      <c r="B825" s="10"/>
    </row>
    <row r="826">
      <c r="B826" s="10"/>
    </row>
    <row r="827">
      <c r="B827" s="10"/>
    </row>
    <row r="828">
      <c r="B828" s="10"/>
    </row>
    <row r="829">
      <c r="B829" s="10"/>
    </row>
    <row r="830">
      <c r="B830" s="10"/>
    </row>
    <row r="831">
      <c r="B831" s="10"/>
    </row>
    <row r="832">
      <c r="B832" s="10"/>
    </row>
    <row r="833">
      <c r="B833" s="10"/>
    </row>
    <row r="834">
      <c r="B834" s="10"/>
    </row>
    <row r="835">
      <c r="B835" s="10"/>
    </row>
    <row r="836">
      <c r="B836" s="10"/>
    </row>
    <row r="837">
      <c r="B837" s="10"/>
    </row>
    <row r="838">
      <c r="B838" s="10"/>
    </row>
    <row r="839">
      <c r="B839" s="10"/>
    </row>
    <row r="840">
      <c r="B840" s="10"/>
    </row>
    <row r="841">
      <c r="B841" s="10"/>
    </row>
    <row r="842">
      <c r="B842" s="10"/>
    </row>
    <row r="843">
      <c r="B843" s="10"/>
    </row>
    <row r="844">
      <c r="B844" s="10"/>
    </row>
    <row r="845">
      <c r="B845" s="10"/>
    </row>
    <row r="846">
      <c r="B846" s="10"/>
    </row>
    <row r="847">
      <c r="B847" s="10"/>
    </row>
    <row r="848">
      <c r="B848" s="10"/>
    </row>
    <row r="849">
      <c r="B849" s="10"/>
    </row>
    <row r="850">
      <c r="B850" s="10"/>
    </row>
    <row r="851">
      <c r="B851" s="10"/>
    </row>
    <row r="852">
      <c r="B852" s="10"/>
    </row>
    <row r="853">
      <c r="B853" s="10"/>
    </row>
    <row r="854">
      <c r="B854" s="10"/>
    </row>
    <row r="855">
      <c r="B855" s="10"/>
    </row>
    <row r="856">
      <c r="B856" s="10"/>
    </row>
    <row r="857">
      <c r="B857" s="10"/>
    </row>
    <row r="858">
      <c r="B858" s="10"/>
    </row>
    <row r="859">
      <c r="B859" s="10"/>
    </row>
    <row r="860">
      <c r="B860" s="10"/>
    </row>
    <row r="861">
      <c r="B861" s="10"/>
    </row>
    <row r="862">
      <c r="B862" s="10"/>
    </row>
    <row r="863">
      <c r="B863" s="10"/>
    </row>
    <row r="864">
      <c r="B864" s="10"/>
    </row>
    <row r="865">
      <c r="B865" s="10"/>
    </row>
    <row r="866">
      <c r="B866" s="10"/>
    </row>
    <row r="867">
      <c r="B867" s="10"/>
    </row>
    <row r="868">
      <c r="B868" s="10"/>
    </row>
    <row r="869">
      <c r="B869" s="10"/>
    </row>
    <row r="870">
      <c r="B870" s="10"/>
    </row>
    <row r="871">
      <c r="B871" s="10"/>
    </row>
    <row r="872">
      <c r="B872" s="10"/>
    </row>
    <row r="873">
      <c r="B873" s="10"/>
    </row>
    <row r="874">
      <c r="B874" s="10"/>
    </row>
    <row r="875">
      <c r="B875" s="10"/>
    </row>
    <row r="876">
      <c r="B876" s="10"/>
    </row>
    <row r="877">
      <c r="B877" s="10"/>
    </row>
    <row r="878">
      <c r="B878" s="10"/>
    </row>
    <row r="879">
      <c r="B879" s="10"/>
    </row>
    <row r="880">
      <c r="B880" s="10"/>
    </row>
    <row r="881">
      <c r="B881" s="10"/>
    </row>
    <row r="882">
      <c r="B882" s="10"/>
    </row>
    <row r="883">
      <c r="B883" s="10"/>
    </row>
    <row r="884">
      <c r="B884" s="10"/>
    </row>
    <row r="885">
      <c r="B885" s="10"/>
    </row>
    <row r="886">
      <c r="B886" s="10"/>
    </row>
    <row r="887">
      <c r="B887" s="10"/>
    </row>
    <row r="888">
      <c r="B888" s="10"/>
    </row>
    <row r="889">
      <c r="B889" s="10"/>
    </row>
    <row r="890">
      <c r="B890" s="10"/>
    </row>
    <row r="891">
      <c r="B891" s="10"/>
    </row>
    <row r="892">
      <c r="B892" s="10"/>
    </row>
    <row r="893">
      <c r="B893" s="10"/>
    </row>
    <row r="894">
      <c r="B894" s="10"/>
    </row>
    <row r="895">
      <c r="B895" s="10"/>
    </row>
    <row r="896">
      <c r="B896" s="10"/>
    </row>
    <row r="897">
      <c r="B897" s="10"/>
    </row>
    <row r="898">
      <c r="B898" s="10"/>
    </row>
    <row r="899">
      <c r="B899" s="10"/>
    </row>
    <row r="900">
      <c r="B900" s="10"/>
    </row>
    <row r="901">
      <c r="B901" s="10"/>
    </row>
    <row r="902">
      <c r="B902" s="10"/>
    </row>
    <row r="903">
      <c r="B903" s="10"/>
    </row>
    <row r="904">
      <c r="B904" s="10"/>
    </row>
    <row r="905">
      <c r="B905" s="10"/>
    </row>
    <row r="906">
      <c r="B906" s="10"/>
    </row>
    <row r="907">
      <c r="B907" s="10"/>
    </row>
    <row r="908">
      <c r="B908" s="10"/>
    </row>
    <row r="909">
      <c r="B909" s="10"/>
    </row>
    <row r="910">
      <c r="B910" s="10"/>
    </row>
    <row r="911">
      <c r="B911" s="10"/>
    </row>
    <row r="912">
      <c r="B912" s="10"/>
    </row>
    <row r="913">
      <c r="B913" s="10"/>
    </row>
    <row r="914">
      <c r="B914" s="10"/>
    </row>
    <row r="915">
      <c r="B915" s="10"/>
    </row>
    <row r="916">
      <c r="B916" s="10"/>
    </row>
    <row r="917">
      <c r="B917" s="10"/>
    </row>
    <row r="918">
      <c r="B918" s="10"/>
    </row>
    <row r="919">
      <c r="B919" s="10"/>
    </row>
    <row r="920">
      <c r="B920" s="10"/>
    </row>
    <row r="921">
      <c r="B921" s="10"/>
    </row>
    <row r="922">
      <c r="B922" s="10"/>
    </row>
    <row r="923">
      <c r="B923" s="10"/>
    </row>
    <row r="924">
      <c r="B924" s="10"/>
    </row>
    <row r="925">
      <c r="B925" s="10"/>
    </row>
    <row r="926">
      <c r="B926" s="10"/>
    </row>
    <row r="927">
      <c r="B927" s="10"/>
    </row>
    <row r="928">
      <c r="B928" s="10"/>
    </row>
    <row r="929">
      <c r="B929" s="10"/>
    </row>
    <row r="930">
      <c r="B930" s="10"/>
    </row>
    <row r="931">
      <c r="B931" s="10"/>
    </row>
    <row r="932">
      <c r="B932" s="10"/>
    </row>
    <row r="933">
      <c r="B933" s="10"/>
    </row>
    <row r="934">
      <c r="B934" s="10"/>
    </row>
    <row r="935">
      <c r="B935" s="10"/>
    </row>
    <row r="936">
      <c r="B936" s="10"/>
    </row>
    <row r="937">
      <c r="B937" s="10"/>
    </row>
    <row r="938">
      <c r="B938" s="10"/>
    </row>
    <row r="939">
      <c r="B939" s="10"/>
    </row>
    <row r="940">
      <c r="B940" s="10"/>
    </row>
    <row r="941">
      <c r="B941" s="10"/>
    </row>
    <row r="942">
      <c r="B942" s="10"/>
    </row>
    <row r="943">
      <c r="B943" s="10"/>
    </row>
    <row r="944">
      <c r="B944" s="10"/>
    </row>
    <row r="945">
      <c r="B945" s="10"/>
    </row>
    <row r="946">
      <c r="B946" s="10"/>
    </row>
    <row r="947">
      <c r="B947" s="10"/>
    </row>
    <row r="948">
      <c r="B948" s="10"/>
    </row>
    <row r="949">
      <c r="B949" s="10"/>
    </row>
    <row r="950">
      <c r="B950" s="10"/>
    </row>
    <row r="951">
      <c r="B951" s="10"/>
    </row>
    <row r="952">
      <c r="B952" s="10"/>
    </row>
    <row r="953">
      <c r="B953" s="10"/>
    </row>
    <row r="954">
      <c r="B954" s="10"/>
    </row>
    <row r="955">
      <c r="B955" s="10"/>
    </row>
    <row r="956">
      <c r="B956" s="10"/>
    </row>
    <row r="957">
      <c r="B957" s="10"/>
    </row>
    <row r="958">
      <c r="B958" s="10"/>
    </row>
    <row r="959">
      <c r="B959" s="10"/>
    </row>
    <row r="960">
      <c r="B960" s="10"/>
    </row>
    <row r="961">
      <c r="B961" s="10"/>
    </row>
    <row r="962">
      <c r="B962" s="10"/>
    </row>
    <row r="963">
      <c r="B963" s="10"/>
    </row>
    <row r="964">
      <c r="B964" s="10"/>
    </row>
    <row r="965">
      <c r="B965" s="10"/>
    </row>
    <row r="966">
      <c r="B966" s="10"/>
    </row>
    <row r="967">
      <c r="B967" s="10"/>
    </row>
    <row r="968">
      <c r="B968" s="10"/>
    </row>
    <row r="969">
      <c r="B969" s="10"/>
    </row>
    <row r="970">
      <c r="B970" s="10"/>
    </row>
    <row r="971">
      <c r="B971" s="10"/>
    </row>
    <row r="972">
      <c r="B972" s="10"/>
    </row>
    <row r="973">
      <c r="B973" s="10"/>
    </row>
    <row r="974">
      <c r="B974" s="10"/>
    </row>
    <row r="975">
      <c r="B975" s="10"/>
    </row>
    <row r="976">
      <c r="B976" s="10"/>
    </row>
    <row r="977">
      <c r="B977" s="10"/>
    </row>
    <row r="978">
      <c r="B978" s="10"/>
    </row>
    <row r="979">
      <c r="B979" s="10"/>
    </row>
    <row r="980">
      <c r="B980" s="10"/>
    </row>
    <row r="981">
      <c r="B981" s="10"/>
    </row>
    <row r="982">
      <c r="B982" s="10"/>
    </row>
    <row r="983">
      <c r="B983" s="10"/>
    </row>
    <row r="984">
      <c r="B984" s="10"/>
    </row>
    <row r="985">
      <c r="B985" s="10"/>
    </row>
    <row r="986">
      <c r="B986" s="10"/>
    </row>
    <row r="987">
      <c r="B987" s="10"/>
    </row>
    <row r="988">
      <c r="B988" s="10"/>
    </row>
    <row r="989">
      <c r="B989" s="10"/>
    </row>
    <row r="990">
      <c r="B990" s="10"/>
    </row>
    <row r="991">
      <c r="B991" s="10"/>
    </row>
    <row r="992">
      <c r="B992" s="10"/>
    </row>
    <row r="993">
      <c r="B993" s="10"/>
    </row>
    <row r="994">
      <c r="B994" s="10"/>
    </row>
    <row r="995">
      <c r="B995" s="10"/>
    </row>
    <row r="996">
      <c r="B996" s="10"/>
    </row>
    <row r="997">
      <c r="B997" s="10"/>
    </row>
    <row r="998">
      <c r="B998" s="10"/>
    </row>
    <row r="999">
      <c r="B999" s="10"/>
    </row>
    <row r="1000">
      <c r="B1000" s="10"/>
    </row>
  </sheetData>
  <autoFilter ref="$H$2:$K$30">
    <filterColumn colId="2">
      <colorFilter dxfId="1"/>
    </filterColumn>
  </autoFilter>
  <mergeCells count="2">
    <mergeCell ref="A1:B1"/>
    <mergeCell ref="H1:K1"/>
  </mergeCell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3" max="3" width="61.25"/>
    <col customWidth="1" min="4" max="4" width="26.25"/>
    <col customWidth="1" min="8" max="8" width="12.38"/>
    <col customWidth="1" min="9" max="9" width="61.25"/>
  </cols>
  <sheetData>
    <row r="1">
      <c r="A1" s="9" t="s">
        <v>38</v>
      </c>
      <c r="B1" s="11" t="s">
        <v>39</v>
      </c>
      <c r="C1" s="11" t="s">
        <v>2</v>
      </c>
      <c r="D1" s="9" t="s">
        <v>40</v>
      </c>
    </row>
    <row r="2">
      <c r="A2" s="9">
        <v>1.0</v>
      </c>
      <c r="B2" s="11" t="s">
        <v>42</v>
      </c>
      <c r="C2" s="13" t="str">
        <f t="array" ref="C2">IFERROR(INDEX(MSMT!D$3:D999, MATCH($B2, MSMT!C$3:C999, 0)), "No encontrado")</f>
        <v>PORTAMINA 0.5MM TECH DISPLAY 12 UNIDADES</v>
      </c>
      <c r="D2" s="7">
        <f>(2*72)*12</f>
        <v>1728</v>
      </c>
    </row>
    <row r="3">
      <c r="A3" s="9">
        <v>1.0</v>
      </c>
      <c r="B3" s="11" t="s">
        <v>44</v>
      </c>
      <c r="C3" s="13" t="str">
        <f t="array" ref="C3">IFERROR(INDEX(MSMT!D$3:D999, MATCH($B3, MSMT!C$3:C999, 0)), "No encontrado")</f>
        <v>REPUESTO MINA 0.9MM 2B DISPLAY 12 TUBOS C/24 MINAS</v>
      </c>
      <c r="D3" s="7">
        <f>7*72</f>
        <v>504</v>
      </c>
    </row>
    <row r="4">
      <c r="A4" s="9">
        <v>1.0</v>
      </c>
      <c r="B4" s="11" t="s">
        <v>47</v>
      </c>
      <c r="C4" s="13" t="str">
        <f t="array" ref="C4">IFERROR(INDEX(MSMT!D$3:D999, MATCH($B4, MSMT!C$3:C999, 0)), "No encontrado")</f>
        <v>TIJERA ESCOLAR COMFORT DISPLAY 18 UNIDADES</v>
      </c>
      <c r="D4" s="7">
        <f>(1*12)*18</f>
        <v>216</v>
      </c>
    </row>
    <row r="5">
      <c r="A5" s="9">
        <v>1.0</v>
      </c>
      <c r="B5" s="11" t="s">
        <v>49</v>
      </c>
      <c r="C5" s="13" t="str">
        <f t="array" ref="C5">IFERROR(INDEX(MSMT!D$3:D999, MATCH($B5, MSMT!C$3:C999, 0)), "No encontrado")</f>
        <v>TIJERA ESCOLAR COMFORT 15CM BLISTER 1 UNIDAD</v>
      </c>
      <c r="D5" s="7">
        <f>(1*288)*12</f>
        <v>3456</v>
      </c>
    </row>
    <row r="6">
      <c r="A6" s="9">
        <v>1.0</v>
      </c>
      <c r="B6" s="11" t="s">
        <v>51</v>
      </c>
      <c r="C6" s="13" t="str">
        <f t="array" ref="C6">IFERROR(INDEX(MSMT!D$3:D999, MATCH($B6, MSMT!C$3:C999, 0)), "No encontrado")</f>
        <v>PORTAMINA 2.0MM SUPER OFFICE DISPLAY 12 UNIDADES</v>
      </c>
      <c r="D6" s="7">
        <f>(1*72)*35</f>
        <v>2520</v>
      </c>
    </row>
    <row r="7">
      <c r="A7" s="9">
        <v>1.0</v>
      </c>
      <c r="B7" s="11" t="s">
        <v>54</v>
      </c>
      <c r="C7" s="13" t="str">
        <f t="array" ref="C7">IFERROR(INDEX(MSMT!D$3:D999, MATCH($B7, MSMT!C$3:C999, 0)), "No encontrado")</f>
        <v>PORTAMINA 0.7MM JELLY DISPLAY 12 UNIDADES</v>
      </c>
      <c r="D7" s="7">
        <f>(1*40)*12</f>
        <v>480</v>
      </c>
    </row>
    <row r="8">
      <c r="A8" s="9">
        <v>1.0</v>
      </c>
      <c r="B8" s="11" t="s">
        <v>56</v>
      </c>
      <c r="C8" s="13" t="str">
        <f t="array" ref="C8">IFERROR(INDEX(MSMT!D$3:D999, MATCH($B8, MSMT!C$3:C999, 0)), "No encontrado")</f>
        <v>PORTAMINA 0.7MM CHIC DISPLAY 24 UNIDADES</v>
      </c>
      <c r="D8" s="7">
        <f>(7*24)*24</f>
        <v>4032</v>
      </c>
    </row>
    <row r="9">
      <c r="A9" s="9">
        <v>1.0</v>
      </c>
      <c r="B9" s="11" t="s">
        <v>58</v>
      </c>
      <c r="C9" s="13" t="str">
        <f t="array" ref="C9">IFERROR(INDEX(MSMT!D$3:D999, MATCH($B9, MSMT!C$3:C999, 0)), "No encontrado")</f>
        <v>PORTAMINA 0.7MM TECH PUNTA METAL DISPLAY 12 UNIDADES</v>
      </c>
      <c r="D9" s="7">
        <f t="shared" ref="D9:D10" si="1">(2*72)*12</f>
        <v>1728</v>
      </c>
    </row>
    <row r="10">
      <c r="A10" s="9">
        <v>1.0</v>
      </c>
      <c r="B10" s="11" t="s">
        <v>45</v>
      </c>
      <c r="C10" s="13" t="str">
        <f t="array" ref="C10">IFERROR(INDEX(MSMT!D$3:D999, MATCH($B10, MSMT!C$3:C999, 0)), "No encontrado")</f>
        <v>PORTAMINA 0.9MM TECH DISPLAY 12 UNIDADES</v>
      </c>
      <c r="D10" s="7">
        <f t="shared" si="1"/>
        <v>1728</v>
      </c>
    </row>
    <row r="11">
      <c r="A11" s="9">
        <v>1.0</v>
      </c>
      <c r="B11" s="11" t="s">
        <v>52</v>
      </c>
      <c r="C11" s="13" t="str">
        <f t="array" ref="C11">IFERROR(INDEX(MSMT!D$3:D999, MATCH($B11, MSMT!C$3:C999, 0)), "No encontrado")</f>
        <v>PORTAMINA 2.0MM SUPER COLORS DISPLAY 24 UNIDADES</v>
      </c>
      <c r="D11" s="7">
        <f>(3*24)*24</f>
        <v>1728</v>
      </c>
    </row>
    <row r="12">
      <c r="A12" s="9">
        <v>1.0</v>
      </c>
      <c r="B12" s="11" t="s">
        <v>60</v>
      </c>
      <c r="C12" s="13" t="str">
        <f t="array" ref="C12">IFERROR(INDEX(MSMT!D$3:D999, MATCH($B12, MSMT!C$3:C999, 0)), "No encontrado")</f>
        <v>PORTAMINA 2.0MM SUPER CUTE DISEÑOS DISPLAY 24 UNIDADES</v>
      </c>
      <c r="D12" s="7">
        <f>(1*24)*24</f>
        <v>576</v>
      </c>
    </row>
    <row r="13">
      <c r="A13" s="9">
        <v>2.0</v>
      </c>
      <c r="B13" s="11" t="s">
        <v>64</v>
      </c>
      <c r="C13" s="13" t="str">
        <f t="array" ref="C13">IFERROR(INDEX(MSMT!D$3:D999, MATCH($B13, MSMT!C$3:C999, 0)), "No encontrado")</f>
        <v>GOMA DE BORRAR BASIC N20 BLISTER 2 UNIDADES</v>
      </c>
      <c r="D13" s="7">
        <f>(1*288)*2</f>
        <v>576</v>
      </c>
    </row>
    <row r="14">
      <c r="A14" s="9">
        <v>2.0</v>
      </c>
      <c r="B14" s="11" t="s">
        <v>65</v>
      </c>
      <c r="C14" s="13" t="str">
        <f t="array" ref="C14">IFERROR(INDEX(MSMT!D$3:D999, MATCH($B14, MSMT!C$3:C999, 0)), "No encontrado")</f>
        <v>GOMA DE BORRAR C/GRIP SCHOOL DISPLAY 24 UNIDADES</v>
      </c>
      <c r="D14" s="7">
        <f>(4*48)*24</f>
        <v>4608</v>
      </c>
    </row>
    <row r="15">
      <c r="A15" s="9">
        <v>2.0</v>
      </c>
      <c r="B15" s="11" t="s">
        <v>69</v>
      </c>
      <c r="C15" s="13" t="str">
        <f t="array" ref="C15">IFERROR(INDEX(MSMT!D$3:D999, MATCH($B15, MSMT!C$3:C999, 0)), "No encontrado")</f>
        <v>GOMA DE BORRAR BASIC N20 DISPLAY 2O UNIDADES</v>
      </c>
      <c r="D15" s="7">
        <f>(1*63)*20</f>
        <v>1260</v>
      </c>
    </row>
    <row r="16">
      <c r="A16" s="9">
        <v>2.0</v>
      </c>
      <c r="B16" s="11" t="s">
        <v>70</v>
      </c>
      <c r="C16" s="13" t="str">
        <f t="array" ref="C16">IFERROR(INDEX(MSMT!D$3:D999, MATCH($B16, MSMT!C$3:C999, 0)), "No encontrado")</f>
        <v>GOMA DE BORRAR SOFT 2 UNIDADES</v>
      </c>
      <c r="D16" s="7">
        <f>(3*48)*2</f>
        <v>288</v>
      </c>
    </row>
    <row r="17">
      <c r="A17" s="9">
        <v>2.0</v>
      </c>
      <c r="B17" s="11" t="s">
        <v>64</v>
      </c>
      <c r="C17" s="13" t="str">
        <f t="array" ref="C17">IFERROR(INDEX(MSMT!D$3:D999, MATCH($B17, MSMT!C$3:C999, 0)), "No encontrado")</f>
        <v>GOMA DE BORRAR BASIC N20 BLISTER 2 UNIDADES</v>
      </c>
      <c r="D17" s="7">
        <f>(4*48)*2</f>
        <v>384</v>
      </c>
    </row>
    <row r="18">
      <c r="A18" s="9">
        <v>2.0</v>
      </c>
      <c r="B18" s="11" t="s">
        <v>72</v>
      </c>
      <c r="C18" s="13" t="str">
        <f t="array" ref="C18">IFERROR(INDEX(MSMT!D$3:D999, MATCH($B18, MSMT!C$3:C999, 0)), "No encontrado")</f>
        <v>GOMA DE BORRAR PUNTA LAPIZ BLANCA DISPLAY 50 UNIDADES</v>
      </c>
      <c r="D18" s="7">
        <f>(6)*50</f>
        <v>300</v>
      </c>
    </row>
    <row r="19">
      <c r="A19" s="9">
        <v>2.0</v>
      </c>
      <c r="B19" s="11" t="s">
        <v>72</v>
      </c>
      <c r="C19" s="13" t="str">
        <f t="array" ref="C19">IFERROR(INDEX(MSMT!D$3:D999, MATCH($B19, MSMT!C$3:C999, 0)), "No encontrado")</f>
        <v>GOMA DE BORRAR PUNTA LAPIZ BLANCA DISPLAY 50 UNIDADES</v>
      </c>
      <c r="D19" s="7">
        <f>(1*36)*50</f>
        <v>1800</v>
      </c>
    </row>
    <row r="20">
      <c r="A20" s="9">
        <v>2.0</v>
      </c>
      <c r="B20" s="11" t="s">
        <v>76</v>
      </c>
      <c r="C20" s="13" t="str">
        <f t="array" ref="C20">IFERROR(INDEX(MSMT!D$3:D999, MATCH($B20, MSMT!C$3:C999, 0)), "No encontrado")</f>
        <v>GOMA DE BORRAR C/PORTAGOMA FIT BLISTER 1 UNIDAD</v>
      </c>
      <c r="D20" s="7">
        <f>(3*144)*1</f>
        <v>432</v>
      </c>
    </row>
    <row r="21">
      <c r="A21" s="9">
        <v>2.0</v>
      </c>
      <c r="B21" s="11" t="s">
        <v>80</v>
      </c>
      <c r="C21" s="13" t="str">
        <f t="array" ref="C21">IFERROR(INDEX(MSMT!D$3:D999, MATCH($B21, MSMT!C$3:C999, 0)), "No encontrado")</f>
        <v>GOMA DE BORRAR TWICE BLISTER 2 UNIDADES</v>
      </c>
      <c r="D21" s="7">
        <f>(1*288)*2</f>
        <v>576</v>
      </c>
    </row>
    <row r="22">
      <c r="A22" s="9">
        <v>2.0</v>
      </c>
      <c r="B22" s="11" t="s">
        <v>80</v>
      </c>
      <c r="C22" s="13" t="str">
        <f t="array" ref="C22">IFERROR(INDEX(MSMT!D$3:D999, MATCH($B22, MSMT!C$3:C999, 0)), "No encontrado")</f>
        <v>GOMA DE BORRAR TWICE BLISTER 2 UNIDADES</v>
      </c>
      <c r="D22" s="7">
        <f>(48*2)</f>
        <v>96</v>
      </c>
    </row>
    <row r="23">
      <c r="A23" s="9">
        <v>2.0</v>
      </c>
      <c r="B23" s="11" t="s">
        <v>78</v>
      </c>
      <c r="C23" s="13" t="str">
        <f t="array" ref="C23">IFERROR(INDEX(MSMT!D$3:D999, MATCH($B23, MSMT!C$3:C999, 0)), "No encontrado")</f>
        <v>GOMA DE BORRAR TWICE SET 4 UNIDADES</v>
      </c>
      <c r="D23" s="7">
        <f>(5*24)*40</f>
        <v>4800</v>
      </c>
    </row>
    <row r="24">
      <c r="A24" s="9">
        <v>2.0</v>
      </c>
      <c r="B24" s="11" t="s">
        <v>67</v>
      </c>
      <c r="C24" s="13" t="str">
        <f t="array" ref="C24">IFERROR(INDEX(MSMT!D$3:D999, MATCH($B24, MSMT!C$3:C999, 0)), "No encontrado")</f>
        <v>GOMA DE BORRAR NEON 2 UNIDADES</v>
      </c>
      <c r="D24" s="7">
        <f>(2*288)*2</f>
        <v>1152</v>
      </c>
    </row>
    <row r="25">
      <c r="A25" s="9">
        <v>3.0</v>
      </c>
      <c r="B25" s="11" t="s">
        <v>88</v>
      </c>
      <c r="C25" s="13" t="str">
        <f t="array" ref="C25">IFERROR(INDEX(MSMT!D$3:D999, MATCH($B25, MSMT!C$3:C999, 0)), "No encontrado")</f>
        <v>PEGAMENTO GLITTER 23GR. BRILLO AZUL DISPLAY 12 UNIDADES</v>
      </c>
      <c r="D25" s="7">
        <f>(30*12)</f>
        <v>360</v>
      </c>
    </row>
    <row r="26">
      <c r="A26" s="9">
        <v>3.0</v>
      </c>
      <c r="B26" s="11" t="s">
        <v>47</v>
      </c>
      <c r="C26" s="13" t="str">
        <f t="array" ref="C26">IFERROR(INDEX(MSMT!D$3:D999, MATCH($B26, MSMT!C$3:C999, 0)), "No encontrado")</f>
        <v>TIJERA ESCOLAR COMFORT DISPLAY 18 UNIDADES</v>
      </c>
      <c r="D26" s="7">
        <f>(1*12)*18</f>
        <v>216</v>
      </c>
    </row>
    <row r="27">
      <c r="A27" s="9">
        <v>3.0</v>
      </c>
      <c r="B27" s="11" t="s">
        <v>90</v>
      </c>
      <c r="C27" s="13" t="str">
        <f t="array" ref="C27">IFERROR(INDEX(MSMT!D$3:D999, MATCH($B27, MSMT!C$3:C999, 0)), "No encontrado")</f>
        <v>LAPICES DE CERA MEGA OLEO/PASTEL 12 COLORES</v>
      </c>
      <c r="D27" s="7">
        <f>(162*12)</f>
        <v>1944</v>
      </c>
    </row>
    <row r="28">
      <c r="A28" s="9">
        <v>3.0</v>
      </c>
      <c r="B28" s="11" t="s">
        <v>93</v>
      </c>
      <c r="C28" s="13" t="str">
        <f t="array" ref="C28">IFERROR(INDEX(MSMT!D$3:D999, MATCH($B28, MSMT!C$3:C999, 0)), "No encontrado")</f>
        <v>MARCADOR PIZARRA LIQEO AZUL DISPLAY 12 UNIDADES</v>
      </c>
      <c r="D28" s="7">
        <f>(6*36)*12</f>
        <v>2592</v>
      </c>
    </row>
    <row r="29">
      <c r="A29" s="9">
        <v>3.0</v>
      </c>
      <c r="B29" s="11" t="s">
        <v>95</v>
      </c>
      <c r="C29" s="13" t="str">
        <f t="array" ref="C29">IFERROR(INDEX(MSMT!D$3:D999, MATCH($B29, MSMT!C$3:C999, 0)), "No encontrado")</f>
        <v>MARCADOR PIZARRA LIQEO NEGRO DISPLAY 12 UNIDADES</v>
      </c>
      <c r="D29" s="7">
        <f>(2*36)*12</f>
        <v>864</v>
      </c>
    </row>
    <row r="30">
      <c r="A30" s="9">
        <v>3.0</v>
      </c>
      <c r="B30" s="11" t="s">
        <v>95</v>
      </c>
      <c r="C30" s="13" t="str">
        <f t="array" ref="C30">IFERROR(INDEX(MSMT!D$3:D999, MATCH($B30, MSMT!C$3:C999, 0)), "No encontrado")</f>
        <v>MARCADOR PIZARRA LIQEO NEGRO DISPLAY 12 UNIDADES</v>
      </c>
      <c r="D30" s="7">
        <f>(1*24)*12</f>
        <v>288</v>
      </c>
    </row>
    <row r="31">
      <c r="A31" s="9">
        <v>3.0</v>
      </c>
      <c r="B31" s="11" t="s">
        <v>84</v>
      </c>
      <c r="C31" s="13" t="str">
        <f t="array" ref="C31">IFERROR(INDEX(MSMT!D$3:D999, MATCH($B31, MSMT!C$3:C999, 0)), "No encontrado")</f>
        <v>TIJERA ESCOLAR CRAFT 15CM 5MM DISEÑOS DISPLAY 24 UNIDADES</v>
      </c>
      <c r="D31" s="7">
        <f>(1*8)*24</f>
        <v>192</v>
      </c>
    </row>
    <row r="32">
      <c r="A32" s="9">
        <v>3.0</v>
      </c>
      <c r="B32" s="11" t="s">
        <v>82</v>
      </c>
      <c r="C32" s="13" t="str">
        <f t="array" ref="C32">IFERROR(INDEX(MSMT!D$3:D999, MATCH($B32, MSMT!C$3:C999, 0)), "No encontrado")</f>
        <v>TIJERA ESCOLAR CLASS DISPLAY 30 UNIDADES</v>
      </c>
      <c r="D32" s="7">
        <f>(4*8)*30</f>
        <v>960</v>
      </c>
    </row>
    <row r="33">
      <c r="A33" s="9">
        <v>3.0</v>
      </c>
      <c r="B33" s="11" t="s">
        <v>82</v>
      </c>
      <c r="C33" s="13" t="str">
        <f t="array" ref="C33">IFERROR(INDEX(MSMT!D$3:D999, MATCH($B33, MSMT!C$3:C999, 0)), "No encontrado")</f>
        <v>TIJERA ESCOLAR CLASS DISPLAY 30 UNIDADES</v>
      </c>
      <c r="D33" s="7">
        <f>(1*6)*30</f>
        <v>180</v>
      </c>
    </row>
    <row r="34">
      <c r="A34" s="9">
        <v>3.0</v>
      </c>
      <c r="B34" s="11" t="s">
        <v>98</v>
      </c>
      <c r="C34" s="13" t="str">
        <f t="array" ref="C34">IFERROR(INDEX(MSMT!D$3:D999, MATCH($B34, MSMT!C$3:C999, 0)), "No encontrado")</f>
        <v>TIJERA SOFT PASTEL DISEÑOS DISPLAY 20 UNIDADES</v>
      </c>
      <c r="D34" s="7">
        <f>1*20*12</f>
        <v>240</v>
      </c>
    </row>
    <row r="35">
      <c r="A35" s="9">
        <v>3.0</v>
      </c>
      <c r="B35" s="11" t="s">
        <v>91</v>
      </c>
      <c r="C35" s="13" t="str">
        <f t="array" ref="C35">IFERROR(INDEX(MSMT!D$3:D999, MATCH($B35, MSMT!C$3:C999, 0)), "No encontrado")</f>
        <v>PEGAMENTO GLITTER 23GR. SET 6 COLORES</v>
      </c>
      <c r="D35" s="7">
        <f>1*7*12</f>
        <v>84</v>
      </c>
    </row>
    <row r="36">
      <c r="A36" s="9">
        <v>3.0</v>
      </c>
      <c r="B36" s="11" t="s">
        <v>86</v>
      </c>
      <c r="C36" s="13" t="str">
        <f t="array" ref="C36">IFERROR(INDEX(MSMT!D$3:D999, MATCH($B36, MSMT!C$3:C999, 0)), "No encontrado")</f>
        <v>DESTACADOR FLASH AMARILLO DISPLAY 12 UNIDADES</v>
      </c>
      <c r="D36" s="7">
        <f>(1*48)*12</f>
        <v>576</v>
      </c>
    </row>
    <row r="37">
      <c r="A37" s="9">
        <v>3.0</v>
      </c>
      <c r="B37" s="11" t="s">
        <v>86</v>
      </c>
      <c r="C37" s="13" t="str">
        <f t="array" ref="C37">IFERROR(INDEX(MSMT!D$3:D999, MATCH($B37, MSMT!C$3:C999, 0)), "No encontrado")</f>
        <v>DESTACADOR FLASH AMARILLO DISPLAY 12 UNIDADES</v>
      </c>
      <c r="D37" s="7">
        <f>(1*36)*12</f>
        <v>432</v>
      </c>
    </row>
    <row r="38">
      <c r="A38" s="9">
        <v>3.0</v>
      </c>
      <c r="B38" s="11" t="s">
        <v>86</v>
      </c>
      <c r="C38" s="13" t="str">
        <f t="array" ref="C38">IFERROR(INDEX(MSMT!D$3:D999, MATCH($B38, MSMT!C$3:C999, 0)), "No encontrado")</f>
        <v>DESTACADOR FLASH AMARILLO DISPLAY 12 UNIDADES</v>
      </c>
      <c r="D38" s="7">
        <f>(1*27)*12</f>
        <v>324</v>
      </c>
    </row>
    <row r="39">
      <c r="A39" s="9">
        <v>4.0</v>
      </c>
      <c r="B39" s="11" t="s">
        <v>100</v>
      </c>
      <c r="C39" s="13" t="str">
        <f t="array" ref="C39">IFERROR(INDEX(MSMT!D$3:D999, MATCH($B39, MSMT!C$3:C999, 0)), "No encontrado")</f>
        <v>BOLIGRAFO 1.0 MM EXEC AZUL DISPLAY 50 UNIDADES</v>
      </c>
      <c r="D39" s="7">
        <f>(16*40*50)</f>
        <v>32000</v>
      </c>
    </row>
    <row r="40">
      <c r="A40" s="9">
        <v>4.0</v>
      </c>
      <c r="B40" s="11" t="s">
        <v>100</v>
      </c>
      <c r="C40" s="13" t="str">
        <f t="array" ref="C40">IFERROR(INDEX(MSMT!D$3:D999, MATCH($B40, MSMT!C$3:C999, 0)), "No encontrado")</f>
        <v>BOLIGRAFO 1.0 MM EXEC AZUL DISPLAY 50 UNIDADES</v>
      </c>
      <c r="D40" s="7">
        <f>1*20*50</f>
        <v>1000</v>
      </c>
    </row>
    <row r="41">
      <c r="A41" s="9">
        <v>5.0</v>
      </c>
      <c r="B41" s="11" t="s">
        <v>112</v>
      </c>
      <c r="C41" s="13" t="str">
        <f t="array" ref="C41">IFERROR(INDEX(MSMT!D$3:D999, MATCH($B41, MSMT!C$3:C999, 0)), "No encontrado")</f>
        <v>PEGAMENTO GLITTER 23GR. BRILLO TRANSPARENTE DISPLAY 12 UNIDADES</v>
      </c>
      <c r="D41" s="7">
        <f>(8*12)</f>
        <v>96</v>
      </c>
    </row>
    <row r="42">
      <c r="A42" s="9">
        <v>5.0</v>
      </c>
      <c r="B42" s="11" t="s">
        <v>112</v>
      </c>
      <c r="C42" s="13" t="str">
        <f t="array" ref="C42">IFERROR(INDEX(MSMT!D$3:D999, MATCH($B42, MSMT!C$3:C999, 0)), "No encontrado")</f>
        <v>PEGAMENTO GLITTER 23GR. BRILLO TRANSPARENTE DISPLAY 12 UNIDADES</v>
      </c>
      <c r="D42" s="7">
        <f>(2*48)*12</f>
        <v>1152</v>
      </c>
    </row>
    <row r="43">
      <c r="A43" s="9">
        <v>5.0</v>
      </c>
      <c r="B43" s="11" t="s">
        <v>104</v>
      </c>
      <c r="C43" s="13" t="str">
        <f t="array" ref="C43">IFERROR(INDEX(MSMT!D$3:D999, MATCH($B43, MSMT!C$3:C999, 0)), "No encontrado")</f>
        <v>PEGAMENTO GLITTER 23GR. BRILLO ORO DISPLAY 12 UNIDADES</v>
      </c>
      <c r="D43" s="7">
        <f>(17*12)</f>
        <v>204</v>
      </c>
    </row>
    <row r="44">
      <c r="A44" s="9">
        <v>5.0</v>
      </c>
      <c r="B44" s="11" t="s">
        <v>102</v>
      </c>
      <c r="C44" s="13" t="str">
        <f t="array" ref="C44">IFERROR(INDEX(MSMT!D$3:D999, MATCH($B44, MSMT!C$3:C999, 0)), "No encontrado")</f>
        <v>LAPIZ CORRECTOR 7ML RETOK BLISTER 1 UNIDAD</v>
      </c>
      <c r="D44" s="7">
        <f>(4*288)*12</f>
        <v>13824</v>
      </c>
    </row>
    <row r="45">
      <c r="A45" s="9">
        <v>5.0</v>
      </c>
      <c r="B45" s="11" t="s">
        <v>106</v>
      </c>
      <c r="C45" s="13" t="str">
        <f t="array" ref="C45">IFERROR(INDEX(MSMT!D$3:D999, MATCH($B45, MSMT!C$3:C999, 0)), "No encontrado")</f>
        <v>PEGAMENTO GLITTER 23GR. BRILLO PLATA DISPLAY 12 UNIDADES</v>
      </c>
      <c r="D45" s="7">
        <f>(12*12)</f>
        <v>144</v>
      </c>
    </row>
    <row r="46">
      <c r="A46" s="9">
        <v>5.0</v>
      </c>
      <c r="B46" s="11" t="s">
        <v>106</v>
      </c>
      <c r="C46" s="13" t="str">
        <f t="array" ref="C46">IFERROR(INDEX(MSMT!D$3:D999, MATCH($B46, MSMT!C$3:C999, 0)), "No encontrado")</f>
        <v>PEGAMENTO GLITTER 23GR. BRILLO PLATA DISPLAY 12 UNIDADES</v>
      </c>
      <c r="D46" s="7">
        <f>(2*48)*12</f>
        <v>1152</v>
      </c>
    </row>
    <row r="47">
      <c r="A47" s="9">
        <v>5.0</v>
      </c>
      <c r="B47" s="11" t="s">
        <v>106</v>
      </c>
      <c r="C47" s="13" t="str">
        <f t="array" ref="C47">IFERROR(INDEX(MSMT!D$3:D999, MATCH($B47, MSMT!C$3:C999, 0)), "No encontrado")</f>
        <v>PEGAMENTO GLITTER 23GR. BRILLO PLATA DISPLAY 12 UNIDADES</v>
      </c>
      <c r="D47" s="7">
        <f>(4*12)</f>
        <v>48</v>
      </c>
    </row>
    <row r="48">
      <c r="A48" s="9">
        <v>5.0</v>
      </c>
      <c r="B48" s="11" t="s">
        <v>108</v>
      </c>
      <c r="C48" s="13" t="str">
        <f t="array" ref="C48">IFERROR(INDEX(MSMT!D$3:D999, MATCH($B48, MSMT!C$3:C999, 0)), "No encontrado")</f>
        <v>PEGAMENTO GLITTER 23GR. BRILLO VERDE DISPLAY 12 UNIDADES</v>
      </c>
      <c r="D48" s="7">
        <f>(1*48)*12</f>
        <v>576</v>
      </c>
    </row>
    <row r="49">
      <c r="A49" s="9">
        <v>5.0</v>
      </c>
      <c r="B49" s="11" t="s">
        <v>108</v>
      </c>
      <c r="C49" s="13" t="str">
        <f t="array" ref="C49">IFERROR(INDEX(MSMT!D$3:D999, MATCH($B49, MSMT!C$3:C999, 0)), "No encontrado")</f>
        <v>PEGAMENTO GLITTER 23GR. BRILLO VERDE DISPLAY 12 UNIDADES</v>
      </c>
      <c r="D49" s="7">
        <f>26*12</f>
        <v>312</v>
      </c>
    </row>
    <row r="50">
      <c r="A50" s="9">
        <v>5.0</v>
      </c>
      <c r="B50" s="11" t="s">
        <v>110</v>
      </c>
      <c r="C50" s="13" t="str">
        <f t="array" ref="C50">IFERROR(INDEX(MSMT!D$3:D999, MATCH($B50, MSMT!C$3:C999, 0)), "No encontrado")</f>
        <v>PEGAMENTO GLITTER 23GR. BRILLO ROJO DISPLAY 12 UNIDADES</v>
      </c>
      <c r="D50" s="7">
        <f>1*22*12</f>
        <v>264</v>
      </c>
    </row>
    <row r="51">
      <c r="A51" s="9">
        <v>5.0</v>
      </c>
      <c r="B51" s="11" t="s">
        <v>88</v>
      </c>
      <c r="C51" s="13" t="str">
        <f t="array" ref="C51">IFERROR(INDEX(MSMT!D$3:D999, MATCH($B51, MSMT!C$3:C999, 0)), "No encontrado")</f>
        <v>PEGAMENTO GLITTER 23GR. BRILLO AZUL DISPLAY 12 UNIDADES</v>
      </c>
      <c r="D51" s="7">
        <f>6*12</f>
        <v>72</v>
      </c>
    </row>
    <row r="52">
      <c r="A52" s="9">
        <v>5.0</v>
      </c>
      <c r="B52" s="11" t="s">
        <v>110</v>
      </c>
      <c r="C52" s="13" t="str">
        <f t="array" ref="C52">IFERROR(INDEX(MSMT!D$3:D999, MATCH($B52, MSMT!C$3:C999, 0)), "No encontrado")</f>
        <v>PEGAMENTO GLITTER 23GR. BRILLO ROJO DISPLAY 12 UNIDADES</v>
      </c>
      <c r="D52" s="7">
        <f>(8*12)</f>
        <v>96</v>
      </c>
    </row>
    <row r="53">
      <c r="A53" s="9">
        <v>6.0</v>
      </c>
      <c r="B53" s="11" t="s">
        <v>116</v>
      </c>
      <c r="C53" s="13" t="str">
        <f t="array" ref="C53">IFERROR(INDEX(MSMT!D$3:D999, MATCH($B53, MSMT!C$3:C999, 0)), "No encontrado")</f>
        <v>DISPENSADOR CINTA ADHESIVA T830 BLACK 1 UNIDAD</v>
      </c>
      <c r="D53" s="7">
        <f>(7*12)*1</f>
        <v>84</v>
      </c>
    </row>
    <row r="54">
      <c r="A54" s="9">
        <v>6.0</v>
      </c>
      <c r="B54" s="11" t="s">
        <v>116</v>
      </c>
      <c r="C54" s="13" t="str">
        <f t="array" ref="C54">IFERROR(INDEX(MSMT!D$3:D999, MATCH($B54, MSMT!C$3:C999, 0)), "No encontrado")</f>
        <v>DISPENSADOR CINTA ADHESIVA T830 BLACK 1 UNIDAD</v>
      </c>
      <c r="D54" s="7">
        <f>(1*10)*1</f>
        <v>10</v>
      </c>
    </row>
    <row r="55">
      <c r="A55" s="9">
        <v>6.0</v>
      </c>
      <c r="B55" s="11" t="s">
        <v>114</v>
      </c>
      <c r="C55" s="13" t="str">
        <f t="array" ref="C55">IFERROR(INDEX(MSMT!D$3:D999, MATCH($B55, MSMT!C$3:C999, 0)), "No encontrado")</f>
        <v>LAPICES DE COLOR MEGA SOFT 36 COLORES 01NEON_01METAL +SACAP</v>
      </c>
      <c r="D55" s="7">
        <f>7*72*12</f>
        <v>6048</v>
      </c>
    </row>
    <row r="56">
      <c r="A56" s="9">
        <v>7.0</v>
      </c>
      <c r="B56" s="11" t="s">
        <v>120</v>
      </c>
      <c r="C56" s="13" t="str">
        <f t="array" ref="C56">IFERROR(INDEX(MSMT!D$3:D999, MATCH($B56, MSMT!C$3:C999, 0)), "No encontrado")</f>
        <v>TIJERA ESCOLAR ZURDO BLISTER 1 UNIDAD</v>
      </c>
      <c r="D56" s="7">
        <f>10*12*288</f>
        <v>34560</v>
      </c>
    </row>
    <row r="57">
      <c r="A57" s="9">
        <v>7.0</v>
      </c>
      <c r="B57" s="11" t="s">
        <v>118</v>
      </c>
      <c r="C57" s="12" t="str">
        <f t="array" ref="C57">IFERROR(INDEX(MSMT!D$3:D999, MATCH($B57, MSMT!C$3:C999, 0)), "No encontrado")</f>
        <v>CUCHILLO CARTONERO GRANDE N°70 CON FRENO ISOFIT</v>
      </c>
      <c r="D57" s="7">
        <f>7*576*48</f>
        <v>193536</v>
      </c>
    </row>
    <row r="58">
      <c r="A58" s="9">
        <v>8.0</v>
      </c>
      <c r="B58" s="11" t="s">
        <v>130</v>
      </c>
      <c r="C58" s="12" t="str">
        <f t="array" ref="C58">IFERROR(INDEX(MSMT!D$3:D999, MATCH($B58, MSMT!C$3:C999, 0)), "No encontrado")</f>
        <v>BOLIGRAFO SLIDE NEGRO 1.0MM DISPLAY 50 UNIDADES</v>
      </c>
      <c r="D58" s="7">
        <f>2*40*50</f>
        <v>4000</v>
      </c>
    </row>
    <row r="59">
      <c r="A59" s="9">
        <v>8.0</v>
      </c>
      <c r="B59" s="11" t="s">
        <v>130</v>
      </c>
      <c r="C59" s="12" t="str">
        <f t="array" ref="C59">IFERROR(INDEX(MSMT!D$3:D999, MATCH($B59, MSMT!C$3:C999, 0)), "No encontrado")</f>
        <v>BOLIGRAFO SLIDE NEGRO 1.0MM DISPLAY 50 UNIDADES</v>
      </c>
      <c r="D59" s="7">
        <f>1*39*50</f>
        <v>1950</v>
      </c>
    </row>
    <row r="60">
      <c r="A60" s="9">
        <v>8.0</v>
      </c>
      <c r="B60" s="11" t="s">
        <v>124</v>
      </c>
      <c r="C60" s="12" t="str">
        <f t="array" ref="C60">IFERROR(INDEX(MSMT!D$3:D999, MATCH($B60, MSMT!C$3:C999, 0)), "No encontrado")</f>
        <v>BOLIGRAFO 1.0 MM EXEC NEGRO DISPLAY 50 UNIDADES</v>
      </c>
      <c r="D60" s="7">
        <f>2*40*50</f>
        <v>4000</v>
      </c>
    </row>
    <row r="61">
      <c r="A61" s="9">
        <v>8.0</v>
      </c>
      <c r="B61" s="11" t="s">
        <v>124</v>
      </c>
      <c r="C61" s="12" t="str">
        <f t="array" ref="C61">IFERROR(INDEX(MSMT!D$3:D999, MATCH($B61, MSMT!C$3:C999, 0)), "No encontrado")</f>
        <v>BOLIGRAFO 1.0 MM EXEC NEGRO DISPLAY 50 UNIDADES</v>
      </c>
      <c r="D61" s="7">
        <f>28*50</f>
        <v>1400</v>
      </c>
    </row>
    <row r="62">
      <c r="A62" s="9">
        <v>8.0</v>
      </c>
      <c r="B62" s="11" t="s">
        <v>128</v>
      </c>
      <c r="C62" s="12" t="str">
        <f t="array" ref="C62">IFERROR(INDEX(MSMT!D$3:D999, MATCH($B62, MSMT!C$3:C999, 0)), "No encontrado")</f>
        <v>CORCHETERA METALICA 26/6 T509 BLACK 20HJS 1 UNIDAD</v>
      </c>
      <c r="D62" s="7">
        <f t="shared" ref="D62:D65" si="2">1*12</f>
        <v>12</v>
      </c>
    </row>
    <row r="63">
      <c r="A63" s="9">
        <v>8.0</v>
      </c>
      <c r="B63" s="11" t="s">
        <v>126</v>
      </c>
      <c r="C63" s="12" t="str">
        <f t="array" ref="C63">IFERROR(INDEX(MSMT!D$3:D999, MATCH($B63, MSMT!C$3:C999, 0)), "No encontrado")</f>
        <v>CLIP BULLDOG METALICO 32MM NEGRO DISPLAY 12 UNIDADES</v>
      </c>
      <c r="D63" s="7">
        <f t="shared" si="2"/>
        <v>12</v>
      </c>
    </row>
    <row r="64">
      <c r="A64" s="9">
        <v>8.0</v>
      </c>
      <c r="B64" s="11" t="s">
        <v>49</v>
      </c>
      <c r="C64" s="12" t="str">
        <f t="array" ref="C64">IFERROR(INDEX(MSMT!D$3:D999, MATCH($B64, MSMT!C$3:C999, 0)), "No encontrado")</f>
        <v>TIJERA ESCOLAR COMFORT 15CM BLISTER 1 UNIDAD</v>
      </c>
      <c r="D64" s="7">
        <f t="shared" si="2"/>
        <v>12</v>
      </c>
    </row>
    <row r="65">
      <c r="A65" s="9">
        <v>8.0</v>
      </c>
      <c r="B65" s="11" t="s">
        <v>140</v>
      </c>
      <c r="C65" s="12" t="str">
        <f t="array" ref="C65">IFERROR(INDEX(MSMT!D$3:D999, MATCH($B65, MSMT!C$3:C999, 0)), "No encontrado")</f>
        <v>BOLIGRAFO COMFORT COLORES SURTIDOS DISPLAY 12 UNIDADES</v>
      </c>
      <c r="D65" s="7">
        <f t="shared" si="2"/>
        <v>12</v>
      </c>
    </row>
    <row r="66">
      <c r="A66" s="9">
        <v>8.0</v>
      </c>
      <c r="B66" s="11" t="s">
        <v>138</v>
      </c>
      <c r="C66" s="12" t="str">
        <f t="array" ref="C66">IFERROR(INDEX(MSMT!D$3:D999, MATCH($B66, MSMT!C$3:C999, 0)), "No encontrado")</f>
        <v>LAPICES DE COLOR MEGA SOFT 48 COLORES 02METAL +SACAPUNTAS</v>
      </c>
      <c r="D66" s="9">
        <f>3*48*48</f>
        <v>6912</v>
      </c>
    </row>
    <row r="67">
      <c r="A67" s="9">
        <v>8.0</v>
      </c>
      <c r="B67" s="11" t="s">
        <v>134</v>
      </c>
      <c r="C67" s="12" t="str">
        <f t="array" ref="C67">IFERROR(INDEX(MSMT!D$3:D999, MATCH($B67, MSMT!C$3:C999, 0)), "No encontrado")</f>
        <v>GOMA DE BORRAR PUNTA LAPIZ BLANCA SET 6 UNIDADES</v>
      </c>
      <c r="D67" s="7">
        <f>1*288*6</f>
        <v>1728</v>
      </c>
    </row>
    <row r="68">
      <c r="A68" s="9">
        <v>8.0</v>
      </c>
      <c r="B68" s="11" t="s">
        <v>132</v>
      </c>
      <c r="C68" s="12" t="str">
        <f t="array" ref="C68">IFERROR(INDEX(MSMT!D$3:D999, MATCH($B68, MSMT!C$3:C999, 0)), "No encontrado")</f>
        <v>BOLIGRAFO SLIDE ROJO 1.0MM DISPLAY 50 UNIDADES</v>
      </c>
      <c r="D68" s="7">
        <f>1*40*50</f>
        <v>2000</v>
      </c>
    </row>
    <row r="69">
      <c r="A69" s="9">
        <v>8.0</v>
      </c>
      <c r="B69" s="11" t="s">
        <v>122</v>
      </c>
      <c r="C69" s="12" t="str">
        <f t="array" ref="C69">IFERROR(INDEX(MSMT!D$3:D999, MATCH($B69, MSMT!C$3:C999, 0)), "No encontrado")</f>
        <v>GOMA DE BORRAR C/GRIP SCHOOL BLISTER 2 UNIDADES</v>
      </c>
      <c r="D69" s="7">
        <f>(1*288)*2</f>
        <v>576</v>
      </c>
    </row>
    <row r="70">
      <c r="A70" s="9">
        <v>8.0</v>
      </c>
      <c r="B70" s="11" t="s">
        <v>136</v>
      </c>
      <c r="C70" s="12" t="str">
        <f t="array" ref="C70">IFERROR(INDEX(MSMT!D$3:D999, MATCH($B70, MSMT!C$3:C999, 0)), "No encontrado")</f>
        <v>GOMA DE BORRAR BASIC N40 SET 3 UNIDADES</v>
      </c>
      <c r="D70" s="7">
        <f>8*288*3</f>
        <v>6912</v>
      </c>
    </row>
    <row r="71">
      <c r="A71" s="9">
        <v>9.0</v>
      </c>
      <c r="B71" s="11" t="s">
        <v>144</v>
      </c>
      <c r="C71" s="12" t="str">
        <f t="array" ref="C71">IFERROR(INDEX(MSMT!D$3:D999, MATCH($B71, MSMT!C$3:C999, 0)), "No encontrado")</f>
        <v>LAPICES COLORES 4 UN</v>
      </c>
      <c r="D71" s="7">
        <f>19*1000*4</f>
        <v>76000</v>
      </c>
    </row>
    <row r="72">
      <c r="A72" s="9">
        <v>9.0</v>
      </c>
      <c r="B72" s="11" t="s">
        <v>142</v>
      </c>
      <c r="C72" s="12" t="str">
        <f t="array" ref="C72">IFERROR(INDEX(MSMT!D$3:D999, MATCH($B72, MSMT!C$3:C999, 0)), "No encontrado")</f>
        <v>SACAPUNTAS DISEÑO PINGÜINO DISPLAY 12 UNIDADES</v>
      </c>
      <c r="D72" s="7">
        <f>6*32*12</f>
        <v>2304</v>
      </c>
    </row>
    <row r="73">
      <c r="A73" s="9">
        <v>10.0</v>
      </c>
      <c r="B73" s="11" t="s">
        <v>84</v>
      </c>
      <c r="C73" s="12" t="str">
        <f t="array" ref="C73">IFERROR(INDEX(MSMT!D$3:D999, MATCH($B73, MSMT!C$3:C999, 0)), "No encontrado")</f>
        <v>TIJERA ESCOLAR CRAFT 15CM 5MM DISEÑOS DISPLAY 24 UNIDADES</v>
      </c>
      <c r="D73" s="7">
        <f>18*8*24</f>
        <v>3456</v>
      </c>
    </row>
    <row r="74">
      <c r="A74" s="9">
        <v>11.0</v>
      </c>
      <c r="B74" s="11" t="s">
        <v>84</v>
      </c>
      <c r="C74" s="12" t="str">
        <f t="array" ref="C74">IFERROR(INDEX(MSMT!D$3:D999, MATCH($B74, MSMT!C$3:C999, 0)), "No encontrado")</f>
        <v>TIJERA ESCOLAR CRAFT 15CM 5MM DISEÑOS DISPLAY 24 UNIDADES</v>
      </c>
      <c r="D74" s="7">
        <f>16*8*24</f>
        <v>3072</v>
      </c>
    </row>
    <row r="75">
      <c r="A75" s="9">
        <v>12.0</v>
      </c>
      <c r="B75" s="11" t="s">
        <v>144</v>
      </c>
      <c r="C75" s="12" t="str">
        <f t="array" ref="C75">IFERROR(INDEX(MSMT!D$3:D999, MATCH($B75, MSMT!C$3:C999, 0)), "No encontrado")</f>
        <v>LAPICES COLORES 4 UN</v>
      </c>
      <c r="D75" s="7">
        <f>36*1000*4</f>
        <v>144000</v>
      </c>
    </row>
    <row r="76">
      <c r="A76" s="9">
        <v>13.0</v>
      </c>
      <c r="B76" s="11" t="s">
        <v>47</v>
      </c>
      <c r="C76" s="12" t="str">
        <f t="array" ref="C76">IFERROR(INDEX(MSMT!D$3:D999, MATCH($B76, MSMT!C$3:C999, 0)), "No encontrado")</f>
        <v>TIJERA ESCOLAR COMFORT DISPLAY 18 UNIDADES</v>
      </c>
      <c r="D76" s="7">
        <f>9*18</f>
        <v>162</v>
      </c>
    </row>
    <row r="77">
      <c r="A77" s="9">
        <v>13.0</v>
      </c>
      <c r="B77" s="11" t="s">
        <v>158</v>
      </c>
      <c r="C77" s="12" t="str">
        <f t="array" ref="C77">IFERROR(INDEX(MSMT!D$3:D999, MATCH($B77, MSMT!C$3:C999, 0)), "No encontrado")</f>
        <v>CLIP BULLDOG METALICO 51MM NEGRO DISPLAY 12 UNIDADES</v>
      </c>
      <c r="D77" s="7">
        <f>5*12</f>
        <v>60</v>
      </c>
    </row>
    <row r="78">
      <c r="A78" s="9">
        <v>13.0</v>
      </c>
      <c r="B78" s="11" t="s">
        <v>158</v>
      </c>
      <c r="C78" s="12" t="str">
        <f t="array" ref="C78">IFERROR(INDEX(MSMT!D$3:D999, MATCH($B78, MSMT!C$3:C999, 0)), "No encontrado")</f>
        <v>CLIP BULLDOG METALICO 51MM NEGRO DISPLAY 12 UNIDADES</v>
      </c>
      <c r="D78" s="9">
        <v>4.0</v>
      </c>
    </row>
    <row r="79">
      <c r="A79" s="9">
        <v>13.0</v>
      </c>
      <c r="B79" s="11" t="s">
        <v>70</v>
      </c>
      <c r="C79" s="12" t="str">
        <f t="array" ref="C79">IFERROR(INDEX(MSMT!D$3:D999, MATCH($B79, MSMT!C$3:C999, 0)), "No encontrado")</f>
        <v>GOMA DE BORRAR SOFT 2 UNIDADES</v>
      </c>
      <c r="D79" s="9">
        <f>31*2</f>
        <v>62</v>
      </c>
    </row>
    <row r="80">
      <c r="A80" s="9">
        <v>13.0</v>
      </c>
      <c r="B80" s="11" t="s">
        <v>76</v>
      </c>
      <c r="C80" s="12" t="str">
        <f t="array" ref="C80">IFERROR(INDEX(MSMT!D$3:D999, MATCH($B80, MSMT!C$3:C999, 0)), "No encontrado")</f>
        <v>GOMA DE BORRAR C/PORTAGOMA FIT BLISTER 1 UNIDAD</v>
      </c>
      <c r="D80" s="9">
        <v>6.0</v>
      </c>
    </row>
    <row r="81">
      <c r="A81" s="9">
        <v>13.0</v>
      </c>
      <c r="B81" s="11" t="s">
        <v>76</v>
      </c>
      <c r="C81" s="12" t="str">
        <f t="array" ref="C81">IFERROR(INDEX(MSMT!D$3:D999, MATCH($B81, MSMT!C$3:C999, 0)), "No encontrado")</f>
        <v>GOMA DE BORRAR C/PORTAGOMA FIT BLISTER 1 UNIDAD</v>
      </c>
      <c r="D81" s="9">
        <v>6.0</v>
      </c>
    </row>
    <row r="82">
      <c r="A82" s="9">
        <v>13.0</v>
      </c>
      <c r="B82" s="11" t="s">
        <v>78</v>
      </c>
      <c r="C82" s="12" t="str">
        <f t="array" ref="C82">IFERROR(INDEX(MSMT!D$3:D999, MATCH($B82, MSMT!C$3:C999, 0)), "No encontrado")</f>
        <v>GOMA DE BORRAR TWICE SET 4 UNIDADES</v>
      </c>
      <c r="D82" s="7">
        <f>12*40</f>
        <v>480</v>
      </c>
    </row>
    <row r="83">
      <c r="A83" s="9">
        <v>13.0</v>
      </c>
      <c r="B83" s="11" t="s">
        <v>80</v>
      </c>
      <c r="C83" s="12" t="str">
        <f t="array" ref="C83">IFERROR(INDEX(MSMT!D$3:D999, MATCH($B83, MSMT!C$3:C999, 0)), "No encontrado")</f>
        <v>GOMA DE BORRAR TWICE BLISTER 2 UNIDADES</v>
      </c>
      <c r="D83" s="7">
        <f>4*2</f>
        <v>8</v>
      </c>
    </row>
    <row r="84">
      <c r="A84" s="9">
        <v>13.0</v>
      </c>
      <c r="B84" s="11" t="s">
        <v>80</v>
      </c>
      <c r="C84" s="12" t="str">
        <f t="array" ref="C84">IFERROR(INDEX(MSMT!D$3:D999, MATCH($B84, MSMT!C$3:C999, 0)), "No encontrado")</f>
        <v>GOMA DE BORRAR TWICE BLISTER 2 UNIDADES</v>
      </c>
      <c r="D84" s="7">
        <f>1*28</f>
        <v>28</v>
      </c>
    </row>
    <row r="85">
      <c r="A85" s="9">
        <v>13.0</v>
      </c>
      <c r="B85" s="11" t="s">
        <v>154</v>
      </c>
      <c r="C85" s="12" t="str">
        <f t="array" ref="C85">IFERROR(INDEX(MSMT!D$3:D999, MATCH($B85, MSMT!C$3:C999, 0)), "No encontrado")</f>
        <v>GOMA DE BORRAR SOFT COLOR DISPLAY 24 UNIDADES</v>
      </c>
      <c r="D85" s="7">
        <f>20*24</f>
        <v>480</v>
      </c>
    </row>
    <row r="86">
      <c r="A86" s="9">
        <v>13.0</v>
      </c>
      <c r="B86" s="11" t="s">
        <v>69</v>
      </c>
      <c r="C86" s="12" t="str">
        <f t="array" ref="C86">IFERROR(INDEX(MSMT!D$3:D999, MATCH($B86, MSMT!C$3:C999, 0)), "No encontrado")</f>
        <v>GOMA DE BORRAR BASIC N20 DISPLAY 2O UNIDADES</v>
      </c>
      <c r="D86" s="7">
        <f>4*20</f>
        <v>80</v>
      </c>
    </row>
    <row r="87">
      <c r="A87" s="9">
        <v>13.0</v>
      </c>
      <c r="B87" s="11" t="s">
        <v>142</v>
      </c>
      <c r="C87" s="12" t="str">
        <f t="array" ref="C87">IFERROR(INDEX(MSMT!D$3:D999, MATCH($B87, MSMT!C$3:C999, 0)), "No encontrado")</f>
        <v>SACAPUNTAS DISEÑO PINGÜINO DISPLAY 12 UNIDADES</v>
      </c>
      <c r="D87" s="7">
        <f>20*12</f>
        <v>240</v>
      </c>
    </row>
    <row r="88">
      <c r="A88" s="9">
        <v>13.0</v>
      </c>
      <c r="B88" s="11" t="s">
        <v>162</v>
      </c>
      <c r="C88" s="12" t="str">
        <f t="array" ref="C88">IFERROR(INDEX(MSMT!D$3:D999, MATCH($B88, MSMT!C$3:C999, 0)), "No encontrado")</f>
        <v>SACA CORCHETES PALANCA T064 DISPLAY 24 UNIDADES</v>
      </c>
      <c r="D88" s="7">
        <f>11*24</f>
        <v>264</v>
      </c>
    </row>
    <row r="89">
      <c r="A89" s="9">
        <v>13.0</v>
      </c>
      <c r="B89" s="14" t="s">
        <v>160</v>
      </c>
      <c r="C89" s="15" t="str">
        <f t="array" ref="C89">IFERROR(INDEX(MSMT!D$3:D999, MATCH($B89, MSMT!C$3:C999, 0)), "No encontrado")</f>
        <v>CORCHETES 23/13 NIQUELADO HEAVY DUTY CAJA 1000 UNIDADES</v>
      </c>
      <c r="D89" s="16">
        <f>5*10</f>
        <v>50</v>
      </c>
    </row>
    <row r="90">
      <c r="A90" s="9">
        <v>13.0</v>
      </c>
      <c r="B90" s="11" t="s">
        <v>160</v>
      </c>
      <c r="C90" s="12" t="str">
        <f t="array" ref="C90">IFERROR(INDEX(MSMT!D$3:D999, MATCH($B90, MSMT!C$3:C999, 0)), "No encontrado")</f>
        <v>CORCHETES 23/13 NIQUELADO HEAVY DUTY CAJA 1000 UNIDADES</v>
      </c>
      <c r="D90" s="9">
        <v>6.0</v>
      </c>
    </row>
    <row r="91">
      <c r="A91" s="9">
        <v>13.0</v>
      </c>
      <c r="B91" s="11" t="s">
        <v>95</v>
      </c>
      <c r="C91" s="12" t="str">
        <f t="array" ref="C91">IFERROR(INDEX(MSMT!D$3:D999, MATCH($B91, MSMT!C$3:C999, 0)), "No encontrado")</f>
        <v>MARCADOR PIZARRA LIQEO NEGRO DISPLAY 12 UNIDADES</v>
      </c>
      <c r="D91" s="7">
        <f>11*12</f>
        <v>132</v>
      </c>
    </row>
    <row r="92">
      <c r="A92" s="9">
        <v>13.0</v>
      </c>
      <c r="B92" s="11" t="s">
        <v>93</v>
      </c>
      <c r="C92" s="12" t="str">
        <f t="array" ref="C92">IFERROR(INDEX(MSMT!D$3:D999, MATCH($B92, MSMT!C$3:C999, 0)), "No encontrado")</f>
        <v>MARCADOR PIZARRA LIQEO AZUL DISPLAY 12 UNIDADES</v>
      </c>
      <c r="D92" s="7">
        <f>(4*12)</f>
        <v>48</v>
      </c>
    </row>
    <row r="93">
      <c r="A93" s="9">
        <v>13.0</v>
      </c>
      <c r="B93" s="11" t="s">
        <v>120</v>
      </c>
      <c r="C93" s="12" t="str">
        <f t="array" ref="C93">IFERROR(INDEX(MSMT!D$3:D999, MATCH($B93, MSMT!C$3:C999, 0)), "No encontrado")</f>
        <v>TIJERA ESCOLAR ZURDO BLISTER 1 UNIDAD</v>
      </c>
      <c r="D93" s="7">
        <f>(21*12)</f>
        <v>252</v>
      </c>
    </row>
    <row r="94">
      <c r="A94" s="9">
        <v>13.0</v>
      </c>
      <c r="B94" s="11" t="s">
        <v>120</v>
      </c>
      <c r="C94" s="12" t="str">
        <f t="array" ref="C94">IFERROR(INDEX(MSMT!D$3:D999, MATCH($B94, MSMT!C$3:C999, 0)), "No encontrado")</f>
        <v>TIJERA ESCOLAR ZURDO BLISTER 1 UNIDAD</v>
      </c>
      <c r="D94" s="7">
        <f>1*10</f>
        <v>10</v>
      </c>
    </row>
    <row r="95">
      <c r="A95" s="9">
        <v>13.0</v>
      </c>
      <c r="B95" s="11" t="s">
        <v>150</v>
      </c>
      <c r="C95" s="12" t="str">
        <f t="array" ref="C95">IFERROR(INDEX(MSMT!D$3:D999, MATCH($B95, MSMT!C$3:C999, 0)), "No encontrado")</f>
        <v>REGLA FLEXIBLE 30 CM. FLOPPY 1 UNIDAD</v>
      </c>
      <c r="D95" s="9">
        <f>(12*12)</f>
        <v>144</v>
      </c>
    </row>
    <row r="96">
      <c r="A96" s="9">
        <v>13.0</v>
      </c>
      <c r="B96" s="11" t="s">
        <v>150</v>
      </c>
      <c r="C96" s="12" t="str">
        <f t="array" ref="C96">IFERROR(INDEX(MSMT!D$3:D999, MATCH($B96, MSMT!C$3:C999, 0)), "No encontrado")</f>
        <v>REGLA FLEXIBLE 30 CM. FLOPPY 1 UNIDAD</v>
      </c>
      <c r="D96" s="9">
        <f>1*7</f>
        <v>7</v>
      </c>
    </row>
    <row r="97">
      <c r="A97" s="9">
        <v>13.0</v>
      </c>
      <c r="B97" s="11" t="s">
        <v>84</v>
      </c>
      <c r="C97" s="12" t="str">
        <f t="array" ref="C97">IFERROR(INDEX(MSMT!D$3:D999, MATCH($B97, MSMT!C$3:C999, 0)), "No encontrado")</f>
        <v>TIJERA ESCOLAR CRAFT 15CM 5MM DISEÑOS DISPLAY 24 UNIDADES</v>
      </c>
      <c r="D97" s="7">
        <f>4*24</f>
        <v>96</v>
      </c>
    </row>
    <row r="98">
      <c r="A98" s="9">
        <v>13.0</v>
      </c>
      <c r="B98" s="11" t="s">
        <v>84</v>
      </c>
      <c r="C98" s="12" t="str">
        <f t="array" ref="C98">IFERROR(INDEX(MSMT!D$3:D999, MATCH($B98, MSMT!C$3:C999, 0)), "No encontrado")</f>
        <v>TIJERA ESCOLAR CRAFT 15CM 5MM DISEÑOS DISPLAY 24 UNIDADES</v>
      </c>
      <c r="D98" s="7">
        <f>1*23</f>
        <v>23</v>
      </c>
    </row>
    <row r="99">
      <c r="A99" s="9">
        <v>13.0</v>
      </c>
      <c r="B99" s="11" t="s">
        <v>58</v>
      </c>
      <c r="C99" s="12" t="str">
        <f t="array" ref="C99">IFERROR(INDEX(MSMT!D$3:D999, MATCH($B99, MSMT!C$3:C999, 0)), "No encontrado")</f>
        <v>PORTAMINA 0.7MM TECH PUNTA METAL DISPLAY 12 UNIDADES</v>
      </c>
      <c r="D99" s="7">
        <f>(17*12)</f>
        <v>204</v>
      </c>
    </row>
    <row r="100">
      <c r="A100" s="9">
        <v>13.0</v>
      </c>
      <c r="B100" s="11" t="s">
        <v>52</v>
      </c>
      <c r="C100" s="12" t="str">
        <f t="array" ref="C100">IFERROR(INDEX(MSMT!D$3:D999, MATCH($B100, MSMT!C$3:C999, 0)), "No encontrado")</f>
        <v>PORTAMINA 2.0MM SUPER COLORS DISPLAY 24 UNIDADES</v>
      </c>
      <c r="D100" s="7">
        <f>15*24</f>
        <v>360</v>
      </c>
    </row>
    <row r="101">
      <c r="A101" s="9">
        <v>13.0</v>
      </c>
      <c r="B101" s="11" t="s">
        <v>174</v>
      </c>
      <c r="C101" s="12" t="str">
        <f t="array" ref="C101">IFERROR(INDEX(MSMT!D$3:D999, MATCH($B101, MSMT!C$3:C999, 0)), "No encontrado")</f>
        <v>SET ESCOLAR ROSADO (2GRAFITOS +1SACAPUNTA +1GOMA BORAR)</v>
      </c>
      <c r="D101" s="9">
        <f>64*4</f>
        <v>256</v>
      </c>
    </row>
    <row r="102">
      <c r="A102" s="9">
        <v>13.0</v>
      </c>
      <c r="B102" s="11" t="s">
        <v>124</v>
      </c>
      <c r="C102" s="12" t="str">
        <f t="array" ref="C102">IFERROR(INDEX(MSMT!D$3:D999, MATCH($B102, MSMT!C$3:C999, 0)), "No encontrado")</f>
        <v>BOLIGRAFO 1.0 MM EXEC NEGRO DISPLAY 50 UNIDADES</v>
      </c>
      <c r="D102" s="9">
        <f>10*50</f>
        <v>500</v>
      </c>
    </row>
    <row r="103">
      <c r="A103" s="9">
        <v>13.0</v>
      </c>
      <c r="B103" s="11" t="s">
        <v>67</v>
      </c>
      <c r="C103" s="12" t="str">
        <f t="array" ref="C103">IFERROR(INDEX(MSMT!D$3:D999, MATCH($B103, MSMT!C$3:C999, 0)), "No encontrado")</f>
        <v>GOMA DE BORRAR NEON 2 UNIDADES</v>
      </c>
      <c r="D103" s="9">
        <v>64.0</v>
      </c>
    </row>
    <row r="104">
      <c r="A104" s="9">
        <v>13.0</v>
      </c>
      <c r="B104" s="11" t="s">
        <v>100</v>
      </c>
      <c r="C104" s="12" t="str">
        <f t="array" ref="C104">IFERROR(INDEX(MSMT!D$3:D999, MATCH($B104, MSMT!C$3:C999, 0)), "No encontrado")</f>
        <v>BOLIGRAFO 1.0 MM EXEC AZUL DISPLAY 50 UNIDADES</v>
      </c>
      <c r="D104" s="9">
        <f>1*5</f>
        <v>5</v>
      </c>
    </row>
    <row r="105">
      <c r="A105" s="9">
        <v>13.0</v>
      </c>
      <c r="B105" s="11" t="s">
        <v>166</v>
      </c>
      <c r="C105" s="12" t="str">
        <f t="array" ref="C105">IFERROR(INDEX(MSMT!D$3:D999, MATCH($B105, MSMT!C$3:C999, 0)), "No encontrado")</f>
        <v>SACAPUNTAS C/DEPOSITO SU133 DISPLAY 12 UNIDADES</v>
      </c>
      <c r="D105" s="9">
        <v>5.0</v>
      </c>
    </row>
    <row r="106">
      <c r="A106" s="9">
        <v>13.0</v>
      </c>
      <c r="B106" s="11" t="s">
        <v>164</v>
      </c>
      <c r="C106" s="12" t="str">
        <f t="array" ref="C106">IFERROR(INDEX(MSMT!D$3:D999, MATCH($B106, MSMT!C$3:C999, 0)), "No encontrado")</f>
        <v>TAMPON PARA TIMBRE DE GOMA T160 NR3 AZUL 1 UNIDAD</v>
      </c>
      <c r="D106" s="7">
        <f>1*32</f>
        <v>32</v>
      </c>
    </row>
    <row r="107">
      <c r="A107" s="9">
        <v>13.0</v>
      </c>
      <c r="B107" s="11" t="s">
        <v>156</v>
      </c>
      <c r="C107" s="12" t="str">
        <f t="array" ref="C107">IFERROR(INDEX(MSMT!D$3:D999, MATCH($B107, MSMT!C$3:C999, 0)), "No encontrado")</f>
        <v>CLIP BULLDOG METALICO 41MM NEGRO DISPLAY 12 UNIDADES</v>
      </c>
      <c r="D107" s="9">
        <f>1*7</f>
        <v>7</v>
      </c>
    </row>
    <row r="108">
      <c r="A108" s="9">
        <v>13.0</v>
      </c>
      <c r="B108" s="11" t="s">
        <v>152</v>
      </c>
      <c r="C108" s="12" t="str">
        <f t="array" ref="C108">IFERROR(INDEX(MSMT!D$3:D999, MATCH($B108, MSMT!C$3:C999, 0)), "No encontrado")</f>
        <v>BOLIGRAFO GEL EFECTO GLITTER 10 UNIDADES COLORES VARIOS</v>
      </c>
      <c r="D108" s="7">
        <f>1*6</f>
        <v>6</v>
      </c>
    </row>
    <row r="109">
      <c r="A109" s="9">
        <v>13.0</v>
      </c>
      <c r="B109" s="11" t="s">
        <v>172</v>
      </c>
      <c r="C109" s="12" t="str">
        <f t="array" ref="C109">IFERROR(INDEX(MSMT!D$3:D999, MATCH($B109, MSMT!C$3:C999, 0)), "No encontrado")</f>
        <v>BOLIGRAFO GEL METALICO DORADO/PLATA DISPLAY 50 UNIDADES</v>
      </c>
      <c r="D109" s="7">
        <f>1*16</f>
        <v>16</v>
      </c>
    </row>
    <row r="110">
      <c r="A110" s="9">
        <v>13.0</v>
      </c>
      <c r="B110" s="11" t="s">
        <v>42</v>
      </c>
      <c r="C110" s="12" t="str">
        <f t="array" ref="C110">IFERROR(INDEX(MSMT!D$3:D999, MATCH($B110, MSMT!C$3:C999, 0)), "No encontrado")</f>
        <v>PORTAMINA 0.5MM TECH DISPLAY 12 UNIDADES</v>
      </c>
      <c r="D110" s="9">
        <f>1*62</f>
        <v>62</v>
      </c>
    </row>
    <row r="111">
      <c r="A111" s="9">
        <v>13.0</v>
      </c>
      <c r="B111" s="11" t="s">
        <v>45</v>
      </c>
      <c r="C111" s="12" t="str">
        <f t="array" ref="C111">IFERROR(INDEX(MSMT!D$3:D999, MATCH($B111, MSMT!C$3:C999, 0)), "No encontrado")</f>
        <v>PORTAMINA 0.9MM TECH DISPLAY 12 UNIDADES</v>
      </c>
      <c r="D111" s="7">
        <f>1*49</f>
        <v>49</v>
      </c>
    </row>
    <row r="112">
      <c r="A112" s="9">
        <v>13.0</v>
      </c>
      <c r="B112" s="11" t="s">
        <v>168</v>
      </c>
      <c r="C112" s="12" t="str">
        <f t="array" ref="C112">IFERROR(INDEX(MSMT!D$3:D999, MATCH($B112, MSMT!C$3:C999, 0)), "No encontrado")</f>
        <v>REPUESTO MINA 2.0MM 2B DISPLAY 12 TUBOS C/6 MINAS</v>
      </c>
      <c r="D112" s="7">
        <f>1*27</f>
        <v>27</v>
      </c>
    </row>
    <row r="113">
      <c r="A113" s="9">
        <v>13.0</v>
      </c>
      <c r="B113" s="11" t="s">
        <v>44</v>
      </c>
      <c r="C113" s="12" t="str">
        <f t="array" ref="C113">IFERROR(INDEX(MSMT!D$3:D999, MATCH($B113, MSMT!C$3:C999, 0)), "No encontrado")</f>
        <v>REPUESTO MINA 0.9MM 2B DISPLAY 12 TUBOS C/24 MINAS</v>
      </c>
      <c r="D113" s="7">
        <f>1*324</f>
        <v>324</v>
      </c>
    </row>
    <row r="114">
      <c r="A114" s="9">
        <v>13.0</v>
      </c>
      <c r="B114" s="11" t="s">
        <v>146</v>
      </c>
      <c r="C114" s="12" t="str">
        <f t="array" ref="C114">IFERROR(INDEX(MSMT!D$3:D999, MATCH($B114, MSMT!C$3:C999, 0)), "No encontrado")</f>
        <v>PORTAMINA 0.7MM TECH DISPLAY 12 UNIDADES</v>
      </c>
      <c r="D114" s="7">
        <f>1*38</f>
        <v>38</v>
      </c>
    </row>
    <row r="115">
      <c r="A115" s="9">
        <v>13.0</v>
      </c>
      <c r="B115" s="11" t="s">
        <v>134</v>
      </c>
      <c r="C115" s="12" t="str">
        <f t="array" ref="C115">IFERROR(INDEX(MSMT!D$3:D999, MATCH($B115, MSMT!C$3:C999, 0)), "No encontrado")</f>
        <v>GOMA DE BORRAR PUNTA LAPIZ BLANCA SET 6 UNIDADES</v>
      </c>
      <c r="D115" s="7">
        <f>1*8</f>
        <v>8</v>
      </c>
    </row>
    <row r="116">
      <c r="A116" s="9">
        <v>13.0</v>
      </c>
      <c r="B116" s="11" t="s">
        <v>134</v>
      </c>
      <c r="C116" s="12" t="str">
        <f t="array" ref="C116">IFERROR(INDEX(MSMT!D$3:D999, MATCH($B116, MSMT!C$3:C999, 0)), "No encontrado")</f>
        <v>GOMA DE BORRAR PUNTA LAPIZ BLANCA SET 6 UNIDADES</v>
      </c>
      <c r="D116" s="7">
        <f>1*5</f>
        <v>5</v>
      </c>
    </row>
    <row r="117">
      <c r="A117" s="9">
        <v>13.0</v>
      </c>
      <c r="B117" s="11" t="s">
        <v>49</v>
      </c>
      <c r="C117" s="12" t="str">
        <f t="array" ref="C117">IFERROR(INDEX(MSMT!D$3:D999, MATCH($B117, MSMT!C$3:C999, 0)), "No encontrado")</f>
        <v>TIJERA ESCOLAR COMFORT 15CM BLISTER 1 UNIDAD</v>
      </c>
      <c r="D117" s="9">
        <v>18.0</v>
      </c>
    </row>
    <row r="118">
      <c r="A118" s="9">
        <v>13.0</v>
      </c>
      <c r="B118" s="11" t="s">
        <v>148</v>
      </c>
      <c r="C118" s="12" t="str">
        <f t="array" ref="C118">IFERROR(INDEX(MSMT!D$3:D999, MATCH($B118, MSMT!C$3:C999, 0)), "No encontrado")</f>
        <v>GOMA DE BORRAR NEON DSP 24 UN TRIS</v>
      </c>
      <c r="D118" s="9">
        <v>8.0</v>
      </c>
    </row>
    <row r="119">
      <c r="A119" s="9">
        <v>13.0</v>
      </c>
      <c r="B119" s="11" t="s">
        <v>65</v>
      </c>
      <c r="C119" s="12" t="str">
        <f t="array" ref="C119">IFERROR(INDEX(MSMT!D$3:D999, MATCH($B119, MSMT!C$3:C999, 0)), "No encontrado")</f>
        <v>GOMA DE BORRAR C/GRIP SCHOOL DISPLAY 24 UNIDADES</v>
      </c>
      <c r="D119" s="9">
        <v>6.0</v>
      </c>
    </row>
    <row r="120">
      <c r="A120" s="9">
        <v>13.0</v>
      </c>
      <c r="B120" s="11" t="s">
        <v>116</v>
      </c>
      <c r="C120" s="12" t="str">
        <f t="array" ref="C120">IFERROR(INDEX(MSMT!D$3:D999, MATCH($B120, MSMT!C$3:C999, 0)), "No encontrado")</f>
        <v>DISPENSADOR CINTA ADHESIVA T830 BLACK 1 UNIDAD</v>
      </c>
      <c r="D120" s="9">
        <v>11.0</v>
      </c>
    </row>
    <row r="121">
      <c r="A121" s="9">
        <v>13.0</v>
      </c>
      <c r="B121" s="11" t="s">
        <v>170</v>
      </c>
      <c r="C121" s="12" t="str">
        <f t="array" ref="C121">IFERROR(INDEX(MSMT!D$3:D999, MATCH($B121, MSMT!C$3:C999, 0)), "No encontrado")</f>
        <v>LAPIZ CORRECTOR 4ML RETOK MINI BLISTER 1 UNIDAD</v>
      </c>
      <c r="D121" s="9">
        <v>55.0</v>
      </c>
    </row>
    <row r="122">
      <c r="A122" s="9">
        <v>13.0</v>
      </c>
      <c r="B122" s="11" t="s">
        <v>136</v>
      </c>
      <c r="C122" s="12" t="str">
        <f t="array" ref="C122">IFERROR(INDEX(MSMT!D$3:D999, MATCH($B122, MSMT!C$3:C999, 0)), "No encontrado")</f>
        <v>GOMA DE BORRAR BASIC N40 SET 3 UNIDADES</v>
      </c>
      <c r="D122" s="9">
        <v>89.0</v>
      </c>
    </row>
    <row r="123">
      <c r="A123" s="9">
        <v>13.0</v>
      </c>
      <c r="B123" s="11" t="s">
        <v>122</v>
      </c>
      <c r="C123" s="12" t="str">
        <f t="array" ref="C123">IFERROR(INDEX(MSMT!D$3:D999, MATCH($B123, MSMT!C$3:C999, 0)), "No encontrado")</f>
        <v>GOMA DE BORRAR C/GRIP SCHOOL BLISTER 2 UNIDADES</v>
      </c>
      <c r="D123" s="9">
        <v>39.0</v>
      </c>
    </row>
    <row r="124">
      <c r="A124" s="9">
        <v>14.0</v>
      </c>
      <c r="B124" s="11" t="s">
        <v>176</v>
      </c>
      <c r="C124" s="12" t="str">
        <f t="array" ref="C124">IFERROR(INDEX(MSMT!D$3:D999, MATCH($B124, MSMT!C$3:C999, 0)), "No encontrado")</f>
        <v>LAPICES COLORES 2 UN</v>
      </c>
      <c r="D124" s="7">
        <f>24*4*2000</f>
        <v>192000</v>
      </c>
    </row>
    <row r="125">
      <c r="B125" s="12"/>
      <c r="C125" s="12"/>
    </row>
    <row r="126">
      <c r="B126" s="12"/>
      <c r="C126" s="12"/>
    </row>
    <row r="127">
      <c r="B127" s="12"/>
      <c r="C127" s="12"/>
    </row>
    <row r="128">
      <c r="B128" s="12"/>
      <c r="C128" s="12"/>
    </row>
    <row r="129">
      <c r="B129" s="12"/>
      <c r="C129" s="12"/>
    </row>
    <row r="130">
      <c r="B130" s="12"/>
      <c r="C130" s="12"/>
    </row>
    <row r="131">
      <c r="B131" s="12"/>
      <c r="C131" s="12"/>
    </row>
    <row r="132">
      <c r="B132" s="12"/>
      <c r="C132" s="12"/>
    </row>
    <row r="133">
      <c r="B133" s="12"/>
      <c r="C133" s="12"/>
    </row>
    <row r="134">
      <c r="B134" s="12"/>
      <c r="C134" s="12"/>
    </row>
    <row r="135">
      <c r="B135" s="12"/>
      <c r="C135" s="12"/>
    </row>
    <row r="136">
      <c r="B136" s="12"/>
      <c r="C136" s="12"/>
    </row>
    <row r="137">
      <c r="B137" s="12"/>
      <c r="C137" s="12"/>
    </row>
    <row r="138">
      <c r="B138" s="12"/>
      <c r="C138" s="12"/>
    </row>
    <row r="139">
      <c r="B139" s="12"/>
      <c r="C139" s="12"/>
    </row>
    <row r="140">
      <c r="B140" s="12"/>
      <c r="C140" s="12"/>
    </row>
    <row r="141">
      <c r="B141" s="12"/>
      <c r="C141" s="12"/>
    </row>
    <row r="142">
      <c r="B142" s="12"/>
      <c r="C142" s="12"/>
    </row>
    <row r="143">
      <c r="B143" s="12"/>
      <c r="C143" s="12"/>
    </row>
    <row r="144">
      <c r="B144" s="12"/>
      <c r="C144" s="12"/>
    </row>
    <row r="145">
      <c r="B145" s="12"/>
      <c r="C145" s="12"/>
    </row>
    <row r="146">
      <c r="B146" s="12"/>
      <c r="C146" s="12"/>
    </row>
    <row r="147">
      <c r="B147" s="12"/>
      <c r="C147" s="12"/>
    </row>
    <row r="148">
      <c r="B148" s="12"/>
      <c r="C148" s="12"/>
    </row>
    <row r="149">
      <c r="B149" s="12"/>
      <c r="C149" s="12"/>
    </row>
    <row r="150">
      <c r="B150" s="12"/>
      <c r="C150" s="12"/>
    </row>
    <row r="151">
      <c r="B151" s="12"/>
      <c r="C151" s="12"/>
    </row>
    <row r="152">
      <c r="B152" s="12"/>
      <c r="C152" s="12"/>
    </row>
    <row r="153">
      <c r="B153" s="12"/>
      <c r="C153" s="12"/>
    </row>
    <row r="154">
      <c r="B154" s="12"/>
      <c r="C154" s="12"/>
    </row>
    <row r="155">
      <c r="B155" s="12"/>
      <c r="C155" s="12"/>
    </row>
    <row r="156">
      <c r="B156" s="12"/>
      <c r="C156" s="12"/>
    </row>
    <row r="157">
      <c r="B157" s="12"/>
      <c r="C157" s="12"/>
    </row>
    <row r="158">
      <c r="B158" s="12"/>
      <c r="C158" s="12"/>
    </row>
    <row r="159">
      <c r="B159" s="12"/>
      <c r="C159" s="12"/>
    </row>
    <row r="160">
      <c r="B160" s="12"/>
      <c r="C160" s="12"/>
    </row>
    <row r="161">
      <c r="B161" s="12"/>
      <c r="C161" s="12"/>
    </row>
    <row r="162">
      <c r="B162" s="12"/>
      <c r="C162" s="12"/>
    </row>
    <row r="163">
      <c r="B163" s="12"/>
      <c r="C163" s="12"/>
    </row>
    <row r="164">
      <c r="B164" s="12"/>
      <c r="C164" s="12"/>
    </row>
    <row r="165">
      <c r="B165" s="12"/>
      <c r="C165" s="12"/>
    </row>
    <row r="166">
      <c r="B166" s="12"/>
      <c r="C166" s="12"/>
    </row>
    <row r="167">
      <c r="B167" s="12"/>
      <c r="C167" s="12"/>
    </row>
    <row r="168">
      <c r="B168" s="12"/>
      <c r="C168" s="12"/>
    </row>
    <row r="169">
      <c r="B169" s="12"/>
      <c r="C169" s="12"/>
    </row>
    <row r="170">
      <c r="B170" s="12"/>
      <c r="C170" s="12"/>
    </row>
    <row r="171">
      <c r="B171" s="12"/>
      <c r="C171" s="12"/>
    </row>
    <row r="172">
      <c r="B172" s="12"/>
      <c r="C172" s="12"/>
    </row>
    <row r="173">
      <c r="B173" s="12"/>
      <c r="C173" s="12"/>
    </row>
    <row r="174">
      <c r="B174" s="12"/>
      <c r="C174" s="12"/>
    </row>
    <row r="175">
      <c r="B175" s="12"/>
      <c r="C175" s="12"/>
    </row>
    <row r="176">
      <c r="B176" s="12"/>
      <c r="C176" s="12"/>
    </row>
    <row r="177">
      <c r="B177" s="12"/>
      <c r="C177" s="12"/>
    </row>
    <row r="178">
      <c r="B178" s="12"/>
      <c r="C178" s="12"/>
    </row>
    <row r="179">
      <c r="B179" s="12"/>
      <c r="C179" s="12"/>
    </row>
    <row r="180">
      <c r="B180" s="12"/>
      <c r="C180" s="12"/>
    </row>
    <row r="181">
      <c r="B181" s="12"/>
      <c r="C181" s="12"/>
    </row>
    <row r="182">
      <c r="B182" s="12"/>
      <c r="C182" s="12"/>
    </row>
    <row r="183">
      <c r="B183" s="12"/>
      <c r="C183" s="12"/>
    </row>
    <row r="184">
      <c r="B184" s="12"/>
      <c r="C184" s="12"/>
    </row>
    <row r="185">
      <c r="B185" s="12"/>
      <c r="C185" s="12"/>
    </row>
    <row r="186">
      <c r="B186" s="12"/>
      <c r="C186" s="12"/>
    </row>
    <row r="187">
      <c r="B187" s="12"/>
      <c r="C187" s="12"/>
    </row>
    <row r="188">
      <c r="B188" s="12"/>
      <c r="C188" s="12"/>
    </row>
    <row r="189">
      <c r="B189" s="12"/>
      <c r="C189" s="12"/>
    </row>
    <row r="190">
      <c r="B190" s="12"/>
      <c r="C190" s="12"/>
    </row>
    <row r="191">
      <c r="B191" s="12"/>
      <c r="C191" s="12"/>
    </row>
    <row r="192">
      <c r="B192" s="12"/>
      <c r="C192" s="12"/>
    </row>
    <row r="193">
      <c r="B193" s="12"/>
      <c r="C193" s="12"/>
    </row>
    <row r="194">
      <c r="B194" s="12"/>
      <c r="C194" s="12"/>
    </row>
    <row r="195">
      <c r="B195" s="12"/>
      <c r="C195" s="12"/>
    </row>
    <row r="196">
      <c r="B196" s="12"/>
      <c r="C196" s="12"/>
    </row>
    <row r="197">
      <c r="B197" s="12"/>
      <c r="C197" s="12"/>
    </row>
    <row r="198">
      <c r="B198" s="12"/>
      <c r="C198" s="12"/>
    </row>
    <row r="199">
      <c r="B199" s="12"/>
      <c r="C199" s="12"/>
    </row>
    <row r="200">
      <c r="B200" s="12"/>
      <c r="C200" s="12"/>
    </row>
    <row r="201">
      <c r="B201" s="12"/>
      <c r="C201" s="12"/>
    </row>
    <row r="202">
      <c r="B202" s="12"/>
      <c r="C202" s="12"/>
    </row>
    <row r="203">
      <c r="B203" s="12"/>
      <c r="C203" s="12"/>
    </row>
    <row r="204">
      <c r="B204" s="12"/>
      <c r="C204" s="12"/>
    </row>
    <row r="205">
      <c r="B205" s="12"/>
      <c r="C205" s="12"/>
    </row>
    <row r="206">
      <c r="B206" s="12"/>
      <c r="C206" s="12"/>
    </row>
    <row r="207">
      <c r="B207" s="12"/>
      <c r="C207" s="12"/>
    </row>
    <row r="208">
      <c r="B208" s="12"/>
      <c r="C208" s="12"/>
    </row>
    <row r="209">
      <c r="B209" s="12"/>
      <c r="C209" s="12"/>
    </row>
    <row r="210">
      <c r="B210" s="12"/>
      <c r="C210" s="12"/>
    </row>
    <row r="211">
      <c r="B211" s="12"/>
      <c r="C211" s="12"/>
    </row>
    <row r="212">
      <c r="B212" s="12"/>
      <c r="C212" s="12"/>
    </row>
    <row r="213">
      <c r="B213" s="12"/>
      <c r="C213" s="12"/>
    </row>
    <row r="214">
      <c r="B214" s="12"/>
      <c r="C214" s="12"/>
    </row>
    <row r="215">
      <c r="B215" s="12"/>
      <c r="C215" s="12"/>
    </row>
    <row r="216">
      <c r="B216" s="12"/>
      <c r="C216" s="12"/>
    </row>
    <row r="217">
      <c r="B217" s="12"/>
      <c r="C217" s="12"/>
    </row>
    <row r="218">
      <c r="B218" s="12"/>
      <c r="C218" s="12"/>
    </row>
    <row r="219">
      <c r="B219" s="12"/>
      <c r="C219" s="12"/>
    </row>
    <row r="220">
      <c r="B220" s="12"/>
      <c r="C220" s="12"/>
    </row>
    <row r="221">
      <c r="B221" s="12"/>
      <c r="C221" s="12"/>
    </row>
    <row r="222">
      <c r="B222" s="12"/>
      <c r="C222" s="12"/>
    </row>
    <row r="223">
      <c r="B223" s="12"/>
      <c r="C223" s="12"/>
    </row>
    <row r="224">
      <c r="B224" s="12"/>
      <c r="C224" s="12"/>
    </row>
    <row r="225">
      <c r="B225" s="12"/>
      <c r="C225" s="12"/>
    </row>
    <row r="226">
      <c r="B226" s="12"/>
      <c r="C226" s="12"/>
    </row>
    <row r="227">
      <c r="B227" s="12"/>
      <c r="C227" s="12"/>
    </row>
    <row r="228">
      <c r="B228" s="12"/>
      <c r="C228" s="12"/>
    </row>
    <row r="229">
      <c r="B229" s="12"/>
      <c r="C229" s="12"/>
    </row>
    <row r="230">
      <c r="B230" s="12"/>
      <c r="C230" s="12"/>
    </row>
    <row r="231">
      <c r="B231" s="12"/>
      <c r="C231" s="12"/>
    </row>
    <row r="232">
      <c r="B232" s="12"/>
      <c r="C232" s="12"/>
    </row>
    <row r="233">
      <c r="B233" s="12"/>
      <c r="C233" s="12"/>
    </row>
    <row r="234">
      <c r="B234" s="12"/>
      <c r="C234" s="12"/>
    </row>
    <row r="235">
      <c r="B235" s="12"/>
      <c r="C235" s="12"/>
    </row>
    <row r="236">
      <c r="B236" s="12"/>
      <c r="C236" s="12"/>
    </row>
    <row r="237">
      <c r="B237" s="12"/>
      <c r="C237" s="12"/>
    </row>
    <row r="238">
      <c r="B238" s="12"/>
      <c r="C238" s="12"/>
    </row>
    <row r="239">
      <c r="B239" s="12"/>
      <c r="C239" s="12"/>
    </row>
    <row r="240">
      <c r="B240" s="12"/>
      <c r="C240" s="12"/>
    </row>
    <row r="241">
      <c r="B241" s="12"/>
      <c r="C241" s="12"/>
    </row>
    <row r="242">
      <c r="B242" s="12"/>
      <c r="C242" s="12"/>
    </row>
    <row r="243">
      <c r="B243" s="12"/>
      <c r="C243" s="12"/>
    </row>
    <row r="244">
      <c r="B244" s="12"/>
      <c r="C244" s="12"/>
    </row>
    <row r="245">
      <c r="B245" s="12"/>
      <c r="C245" s="12"/>
    </row>
    <row r="246">
      <c r="B246" s="12"/>
      <c r="C246" s="12"/>
    </row>
    <row r="247">
      <c r="B247" s="12"/>
      <c r="C247" s="12"/>
    </row>
    <row r="248">
      <c r="B248" s="12"/>
      <c r="C248" s="12"/>
    </row>
    <row r="249">
      <c r="B249" s="12"/>
      <c r="C249" s="12"/>
    </row>
    <row r="250">
      <c r="B250" s="12"/>
      <c r="C250" s="12"/>
    </row>
    <row r="251">
      <c r="B251" s="12"/>
      <c r="C251" s="12"/>
    </row>
    <row r="252">
      <c r="B252" s="12"/>
      <c r="C252" s="12"/>
    </row>
    <row r="253">
      <c r="B253" s="12"/>
      <c r="C253" s="12"/>
    </row>
    <row r="254">
      <c r="B254" s="12"/>
      <c r="C254" s="12"/>
    </row>
    <row r="255">
      <c r="B255" s="12"/>
      <c r="C255" s="12"/>
    </row>
    <row r="256">
      <c r="B256" s="12"/>
      <c r="C256" s="12"/>
    </row>
    <row r="257">
      <c r="B257" s="12"/>
      <c r="C257" s="12"/>
    </row>
    <row r="258">
      <c r="B258" s="12"/>
      <c r="C258" s="12"/>
    </row>
    <row r="259">
      <c r="B259" s="12"/>
      <c r="C259" s="12"/>
    </row>
    <row r="260">
      <c r="B260" s="12"/>
      <c r="C260" s="12"/>
    </row>
    <row r="261">
      <c r="B261" s="12"/>
      <c r="C261" s="12"/>
    </row>
    <row r="262">
      <c r="B262" s="12"/>
      <c r="C262" s="12"/>
    </row>
    <row r="263">
      <c r="B263" s="12"/>
      <c r="C263" s="12"/>
    </row>
    <row r="264">
      <c r="B264" s="12"/>
      <c r="C264" s="12"/>
    </row>
    <row r="265">
      <c r="B265" s="12"/>
      <c r="C265" s="12"/>
    </row>
    <row r="266">
      <c r="B266" s="12"/>
      <c r="C266" s="12"/>
    </row>
    <row r="267">
      <c r="B267" s="12"/>
      <c r="C267" s="12"/>
    </row>
    <row r="268">
      <c r="B268" s="12"/>
      <c r="C268" s="12"/>
    </row>
    <row r="269">
      <c r="B269" s="12"/>
      <c r="C269" s="12"/>
    </row>
    <row r="270">
      <c r="B270" s="12"/>
      <c r="C270" s="12"/>
    </row>
    <row r="271">
      <c r="B271" s="12"/>
      <c r="C271" s="12"/>
    </row>
    <row r="272">
      <c r="B272" s="12"/>
      <c r="C272" s="12"/>
    </row>
    <row r="273">
      <c r="B273" s="12"/>
      <c r="C273" s="12"/>
    </row>
    <row r="274">
      <c r="B274" s="12"/>
      <c r="C274" s="12"/>
    </row>
    <row r="275">
      <c r="B275" s="12"/>
      <c r="C275" s="12"/>
    </row>
    <row r="276">
      <c r="B276" s="12"/>
      <c r="C276" s="12"/>
    </row>
    <row r="277">
      <c r="B277" s="12"/>
      <c r="C277" s="12"/>
    </row>
    <row r="278">
      <c r="B278" s="12"/>
      <c r="C278" s="12"/>
    </row>
    <row r="279">
      <c r="B279" s="12"/>
      <c r="C279" s="12"/>
    </row>
    <row r="280">
      <c r="B280" s="12"/>
      <c r="C280" s="12"/>
    </row>
    <row r="281">
      <c r="B281" s="12"/>
      <c r="C281" s="12"/>
    </row>
    <row r="282">
      <c r="B282" s="12"/>
      <c r="C282" s="12"/>
    </row>
    <row r="283">
      <c r="B283" s="12"/>
      <c r="C283" s="12"/>
    </row>
    <row r="284">
      <c r="B284" s="12"/>
      <c r="C284" s="12"/>
    </row>
    <row r="285">
      <c r="B285" s="12"/>
      <c r="C285" s="12"/>
    </row>
    <row r="286">
      <c r="B286" s="12"/>
      <c r="C286" s="12"/>
    </row>
    <row r="287">
      <c r="B287" s="12"/>
      <c r="C287" s="12"/>
    </row>
    <row r="288">
      <c r="B288" s="12"/>
      <c r="C288" s="12"/>
    </row>
    <row r="289">
      <c r="B289" s="12"/>
      <c r="C289" s="12"/>
    </row>
    <row r="290">
      <c r="B290" s="12"/>
      <c r="C290" s="12"/>
    </row>
    <row r="291">
      <c r="B291" s="12"/>
      <c r="C291" s="12"/>
    </row>
    <row r="292">
      <c r="B292" s="12"/>
      <c r="C292" s="12"/>
    </row>
    <row r="293">
      <c r="B293" s="12"/>
      <c r="C293" s="12"/>
    </row>
    <row r="294">
      <c r="B294" s="12"/>
      <c r="C294" s="12"/>
    </row>
    <row r="295">
      <c r="B295" s="12"/>
      <c r="C295" s="12"/>
    </row>
    <row r="296">
      <c r="B296" s="12"/>
      <c r="C296" s="12"/>
    </row>
    <row r="297">
      <c r="B297" s="12"/>
      <c r="C297" s="12"/>
    </row>
    <row r="298">
      <c r="B298" s="12"/>
      <c r="C298" s="12"/>
    </row>
    <row r="299">
      <c r="B299" s="12"/>
      <c r="C299" s="12"/>
    </row>
    <row r="300">
      <c r="B300" s="12"/>
      <c r="C300" s="12"/>
    </row>
    <row r="301">
      <c r="B301" s="12"/>
      <c r="C301" s="12"/>
    </row>
    <row r="302">
      <c r="B302" s="12"/>
      <c r="C302" s="12"/>
    </row>
    <row r="303">
      <c r="B303" s="12"/>
      <c r="C303" s="12"/>
    </row>
    <row r="304">
      <c r="B304" s="12"/>
      <c r="C304" s="12"/>
    </row>
    <row r="305">
      <c r="B305" s="12"/>
      <c r="C305" s="12"/>
    </row>
    <row r="306">
      <c r="B306" s="12"/>
      <c r="C306" s="12"/>
    </row>
    <row r="307">
      <c r="B307" s="12"/>
      <c r="C307" s="12"/>
    </row>
    <row r="308">
      <c r="B308" s="12"/>
      <c r="C308" s="12"/>
    </row>
    <row r="309">
      <c r="B309" s="12"/>
      <c r="C309" s="12"/>
    </row>
    <row r="310">
      <c r="B310" s="12"/>
      <c r="C310" s="12"/>
    </row>
    <row r="311">
      <c r="B311" s="12"/>
      <c r="C311" s="12"/>
    </row>
    <row r="312">
      <c r="B312" s="12"/>
      <c r="C312" s="12"/>
    </row>
    <row r="313">
      <c r="B313" s="12"/>
      <c r="C313" s="12"/>
    </row>
    <row r="314">
      <c r="B314" s="12"/>
      <c r="C314" s="12"/>
    </row>
    <row r="315">
      <c r="B315" s="12"/>
      <c r="C315" s="12"/>
    </row>
    <row r="316">
      <c r="B316" s="12"/>
      <c r="C316" s="12"/>
    </row>
    <row r="317">
      <c r="B317" s="12"/>
      <c r="C317" s="12"/>
    </row>
    <row r="318">
      <c r="B318" s="12"/>
      <c r="C318" s="12"/>
    </row>
    <row r="319">
      <c r="B319" s="12"/>
      <c r="C319" s="12"/>
    </row>
    <row r="320">
      <c r="B320" s="12"/>
      <c r="C320" s="12"/>
    </row>
    <row r="321">
      <c r="B321" s="12"/>
      <c r="C321" s="12"/>
    </row>
    <row r="322">
      <c r="B322" s="12"/>
      <c r="C322" s="12"/>
    </row>
    <row r="323">
      <c r="B323" s="12"/>
      <c r="C323" s="12"/>
    </row>
    <row r="324">
      <c r="B324" s="12"/>
      <c r="C324" s="12"/>
    </row>
    <row r="325">
      <c r="B325" s="12"/>
      <c r="C325" s="12"/>
    </row>
    <row r="326">
      <c r="B326" s="12"/>
      <c r="C326" s="12"/>
    </row>
    <row r="327">
      <c r="B327" s="12"/>
      <c r="C327" s="12"/>
    </row>
    <row r="328">
      <c r="B328" s="12"/>
      <c r="C328" s="12"/>
    </row>
    <row r="329">
      <c r="B329" s="12"/>
      <c r="C329" s="12"/>
    </row>
    <row r="330">
      <c r="B330" s="12"/>
      <c r="C330" s="12"/>
    </row>
    <row r="331">
      <c r="B331" s="12"/>
      <c r="C331" s="12"/>
    </row>
    <row r="332">
      <c r="B332" s="12"/>
      <c r="C332" s="12"/>
    </row>
    <row r="333">
      <c r="B333" s="12"/>
      <c r="C333" s="12"/>
    </row>
    <row r="334">
      <c r="B334" s="12"/>
      <c r="C334" s="12"/>
    </row>
    <row r="335">
      <c r="B335" s="12"/>
      <c r="C335" s="12"/>
    </row>
    <row r="336">
      <c r="B336" s="12"/>
      <c r="C336" s="12"/>
    </row>
    <row r="337">
      <c r="B337" s="12"/>
      <c r="C337" s="12"/>
    </row>
    <row r="338">
      <c r="B338" s="12"/>
      <c r="C338" s="12"/>
    </row>
    <row r="339">
      <c r="B339" s="12"/>
      <c r="C339" s="12"/>
    </row>
    <row r="340">
      <c r="B340" s="12"/>
      <c r="C340" s="12"/>
    </row>
    <row r="341">
      <c r="B341" s="12"/>
      <c r="C341" s="12"/>
    </row>
    <row r="342">
      <c r="B342" s="12"/>
      <c r="C342" s="12"/>
    </row>
    <row r="343">
      <c r="B343" s="12"/>
      <c r="C343" s="12"/>
    </row>
    <row r="344">
      <c r="B344" s="12"/>
      <c r="C344" s="12"/>
    </row>
    <row r="345">
      <c r="B345" s="12"/>
      <c r="C345" s="12"/>
    </row>
    <row r="346">
      <c r="B346" s="12"/>
      <c r="C346" s="12"/>
    </row>
    <row r="347">
      <c r="B347" s="12"/>
      <c r="C347" s="12"/>
    </row>
    <row r="348">
      <c r="B348" s="12"/>
      <c r="C348" s="12"/>
    </row>
    <row r="349">
      <c r="B349" s="12"/>
      <c r="C349" s="12"/>
    </row>
    <row r="350">
      <c r="B350" s="12"/>
      <c r="C350" s="12"/>
    </row>
    <row r="351">
      <c r="B351" s="12"/>
      <c r="C351" s="12"/>
    </row>
    <row r="352">
      <c r="B352" s="12"/>
      <c r="C352" s="12"/>
    </row>
    <row r="353">
      <c r="B353" s="12"/>
      <c r="C353" s="12"/>
    </row>
    <row r="354">
      <c r="B354" s="12"/>
      <c r="C354" s="12"/>
    </row>
    <row r="355">
      <c r="B355" s="12"/>
      <c r="C355" s="12"/>
    </row>
    <row r="356">
      <c r="B356" s="12"/>
      <c r="C356" s="12"/>
    </row>
    <row r="357">
      <c r="B357" s="12"/>
      <c r="C357" s="12"/>
    </row>
    <row r="358">
      <c r="B358" s="12"/>
      <c r="C358" s="12"/>
    </row>
    <row r="359">
      <c r="B359" s="12"/>
      <c r="C359" s="12"/>
    </row>
    <row r="360">
      <c r="B360" s="12"/>
      <c r="C360" s="12"/>
    </row>
    <row r="361">
      <c r="B361" s="12"/>
      <c r="C361" s="12"/>
    </row>
    <row r="362">
      <c r="B362" s="12"/>
      <c r="C362" s="12"/>
    </row>
    <row r="363">
      <c r="B363" s="12"/>
      <c r="C363" s="12"/>
    </row>
    <row r="364">
      <c r="B364" s="12"/>
      <c r="C364" s="12"/>
    </row>
    <row r="365">
      <c r="B365" s="12"/>
      <c r="C365" s="12"/>
    </row>
    <row r="366">
      <c r="B366" s="12"/>
      <c r="C366" s="12"/>
    </row>
    <row r="367">
      <c r="B367" s="12"/>
      <c r="C367" s="12"/>
    </row>
    <row r="368">
      <c r="B368" s="12"/>
      <c r="C368" s="12"/>
    </row>
    <row r="369">
      <c r="B369" s="12"/>
      <c r="C369" s="12"/>
    </row>
    <row r="370">
      <c r="B370" s="12"/>
      <c r="C370" s="12"/>
    </row>
    <row r="371">
      <c r="B371" s="12"/>
      <c r="C371" s="12"/>
    </row>
    <row r="372">
      <c r="B372" s="12"/>
      <c r="C372" s="12"/>
    </row>
    <row r="373">
      <c r="B373" s="12"/>
      <c r="C373" s="12"/>
    </row>
    <row r="374">
      <c r="B374" s="12"/>
      <c r="C374" s="12"/>
    </row>
    <row r="375">
      <c r="B375" s="12"/>
      <c r="C375" s="12"/>
    </row>
    <row r="376">
      <c r="B376" s="12"/>
      <c r="C376" s="12"/>
    </row>
    <row r="377">
      <c r="B377" s="12"/>
      <c r="C377" s="12"/>
    </row>
    <row r="378">
      <c r="B378" s="12"/>
      <c r="C378" s="12"/>
    </row>
    <row r="379">
      <c r="B379" s="12"/>
      <c r="C379" s="12"/>
    </row>
    <row r="380">
      <c r="B380" s="12"/>
      <c r="C380" s="12"/>
    </row>
    <row r="381">
      <c r="B381" s="12"/>
      <c r="C381" s="12"/>
    </row>
    <row r="382">
      <c r="B382" s="12"/>
      <c r="C382" s="12"/>
    </row>
    <row r="383">
      <c r="B383" s="12"/>
      <c r="C383" s="12"/>
    </row>
    <row r="384">
      <c r="B384" s="12"/>
      <c r="C384" s="12"/>
    </row>
    <row r="385">
      <c r="B385" s="12"/>
      <c r="C385" s="12"/>
    </row>
    <row r="386">
      <c r="B386" s="12"/>
      <c r="C386" s="12"/>
    </row>
    <row r="387">
      <c r="B387" s="12"/>
      <c r="C387" s="12"/>
    </row>
    <row r="388">
      <c r="B388" s="12"/>
      <c r="C388" s="12"/>
    </row>
    <row r="389">
      <c r="B389" s="12"/>
      <c r="C389" s="12"/>
    </row>
    <row r="390">
      <c r="B390" s="12"/>
      <c r="C390" s="12"/>
    </row>
    <row r="391">
      <c r="B391" s="12"/>
      <c r="C391" s="12"/>
    </row>
    <row r="392">
      <c r="B392" s="12"/>
      <c r="C392" s="12"/>
    </row>
    <row r="393">
      <c r="B393" s="12"/>
      <c r="C393" s="12"/>
    </row>
    <row r="394">
      <c r="B394" s="12"/>
      <c r="C394" s="12"/>
    </row>
    <row r="395">
      <c r="B395" s="12"/>
      <c r="C395" s="12"/>
    </row>
    <row r="396">
      <c r="B396" s="12"/>
      <c r="C396" s="12"/>
    </row>
    <row r="397">
      <c r="B397" s="12"/>
      <c r="C397" s="12"/>
    </row>
    <row r="398">
      <c r="B398" s="12"/>
      <c r="C398" s="12"/>
    </row>
    <row r="399">
      <c r="B399" s="12"/>
      <c r="C399" s="12"/>
    </row>
    <row r="400">
      <c r="B400" s="12"/>
      <c r="C400" s="12"/>
    </row>
    <row r="401">
      <c r="B401" s="12"/>
      <c r="C401" s="12"/>
    </row>
    <row r="402">
      <c r="B402" s="12"/>
      <c r="C402" s="12"/>
    </row>
    <row r="403">
      <c r="B403" s="12"/>
      <c r="C403" s="12"/>
    </row>
    <row r="404">
      <c r="B404" s="12"/>
      <c r="C404" s="12"/>
    </row>
    <row r="405">
      <c r="B405" s="12"/>
      <c r="C405" s="12"/>
    </row>
    <row r="406">
      <c r="B406" s="12"/>
      <c r="C406" s="12"/>
    </row>
    <row r="407">
      <c r="B407" s="12"/>
      <c r="C407" s="12"/>
    </row>
    <row r="408">
      <c r="B408" s="12"/>
      <c r="C408" s="12"/>
    </row>
    <row r="409">
      <c r="B409" s="12"/>
      <c r="C409" s="12"/>
    </row>
    <row r="410">
      <c r="B410" s="12"/>
      <c r="C410" s="12"/>
    </row>
    <row r="411">
      <c r="B411" s="12"/>
      <c r="C411" s="12"/>
    </row>
    <row r="412">
      <c r="B412" s="12"/>
      <c r="C412" s="12"/>
    </row>
    <row r="413">
      <c r="B413" s="12"/>
      <c r="C413" s="12"/>
    </row>
    <row r="414">
      <c r="B414" s="12"/>
      <c r="C414" s="12"/>
    </row>
    <row r="415">
      <c r="B415" s="12"/>
      <c r="C415" s="12"/>
    </row>
    <row r="416">
      <c r="B416" s="12"/>
      <c r="C416" s="12"/>
    </row>
    <row r="417">
      <c r="B417" s="12"/>
      <c r="C417" s="12"/>
    </row>
    <row r="418">
      <c r="B418" s="12"/>
      <c r="C418" s="12"/>
    </row>
    <row r="419">
      <c r="B419" s="12"/>
      <c r="C419" s="12"/>
    </row>
    <row r="420">
      <c r="B420" s="12"/>
      <c r="C420" s="12"/>
    </row>
    <row r="421">
      <c r="B421" s="12"/>
      <c r="C421" s="12"/>
    </row>
    <row r="422">
      <c r="B422" s="12"/>
      <c r="C422" s="12"/>
    </row>
    <row r="423">
      <c r="B423" s="12"/>
      <c r="C423" s="12"/>
    </row>
    <row r="424">
      <c r="B424" s="12"/>
      <c r="C424" s="12"/>
    </row>
    <row r="425">
      <c r="B425" s="12"/>
      <c r="C425" s="12"/>
    </row>
    <row r="426">
      <c r="B426" s="12"/>
      <c r="C426" s="12"/>
    </row>
    <row r="427">
      <c r="B427" s="12"/>
      <c r="C427" s="12"/>
    </row>
    <row r="428">
      <c r="B428" s="12"/>
      <c r="C428" s="12"/>
    </row>
    <row r="429">
      <c r="B429" s="12"/>
      <c r="C429" s="12"/>
    </row>
    <row r="430">
      <c r="B430" s="12"/>
      <c r="C430" s="12"/>
    </row>
    <row r="431">
      <c r="B431" s="12"/>
      <c r="C431" s="12"/>
    </row>
    <row r="432">
      <c r="B432" s="12"/>
      <c r="C432" s="12"/>
    </row>
    <row r="433">
      <c r="B433" s="12"/>
      <c r="C433" s="12"/>
    </row>
    <row r="434">
      <c r="B434" s="12"/>
      <c r="C434" s="12"/>
    </row>
    <row r="435">
      <c r="B435" s="12"/>
      <c r="C435" s="12"/>
    </row>
    <row r="436">
      <c r="B436" s="12"/>
      <c r="C436" s="12"/>
    </row>
    <row r="437">
      <c r="B437" s="12"/>
      <c r="C437" s="12"/>
    </row>
    <row r="438">
      <c r="B438" s="12"/>
      <c r="C438" s="12"/>
    </row>
    <row r="439">
      <c r="B439" s="12"/>
      <c r="C439" s="12"/>
    </row>
    <row r="440">
      <c r="B440" s="12"/>
      <c r="C440" s="12"/>
    </row>
    <row r="441">
      <c r="B441" s="12"/>
      <c r="C441" s="12"/>
    </row>
    <row r="442">
      <c r="B442" s="12"/>
      <c r="C442" s="12"/>
    </row>
    <row r="443">
      <c r="B443" s="12"/>
      <c r="C443" s="12"/>
    </row>
    <row r="444">
      <c r="B444" s="12"/>
      <c r="C444" s="12"/>
    </row>
    <row r="445">
      <c r="B445" s="12"/>
      <c r="C445" s="12"/>
    </row>
    <row r="446">
      <c r="B446" s="12"/>
      <c r="C446" s="12"/>
    </row>
    <row r="447">
      <c r="B447" s="12"/>
      <c r="C447" s="12"/>
    </row>
    <row r="448">
      <c r="B448" s="12"/>
      <c r="C448" s="12"/>
    </row>
    <row r="449">
      <c r="B449" s="12"/>
      <c r="C449" s="12"/>
    </row>
    <row r="450">
      <c r="B450" s="12"/>
      <c r="C450" s="12"/>
    </row>
    <row r="451">
      <c r="B451" s="12"/>
      <c r="C451" s="12"/>
    </row>
    <row r="452">
      <c r="B452" s="12"/>
      <c r="C452" s="12"/>
    </row>
    <row r="453">
      <c r="B453" s="12"/>
      <c r="C453" s="12"/>
    </row>
    <row r="454">
      <c r="B454" s="12"/>
      <c r="C454" s="12"/>
    </row>
    <row r="455">
      <c r="B455" s="12"/>
      <c r="C455" s="12"/>
    </row>
    <row r="456">
      <c r="B456" s="12"/>
      <c r="C456" s="12"/>
    </row>
    <row r="457">
      <c r="B457" s="12"/>
      <c r="C457" s="12"/>
    </row>
    <row r="458">
      <c r="B458" s="12"/>
      <c r="C458" s="12"/>
    </row>
    <row r="459">
      <c r="B459" s="12"/>
      <c r="C459" s="12"/>
    </row>
    <row r="460">
      <c r="B460" s="12"/>
      <c r="C460" s="12"/>
    </row>
    <row r="461">
      <c r="B461" s="12"/>
      <c r="C461" s="12"/>
    </row>
    <row r="462">
      <c r="B462" s="12"/>
      <c r="C462" s="12"/>
    </row>
    <row r="463">
      <c r="B463" s="12"/>
      <c r="C463" s="12"/>
    </row>
    <row r="464">
      <c r="B464" s="12"/>
      <c r="C464" s="12"/>
    </row>
    <row r="465">
      <c r="B465" s="12"/>
      <c r="C465" s="12"/>
    </row>
    <row r="466">
      <c r="B466" s="12"/>
      <c r="C466" s="12"/>
    </row>
    <row r="467">
      <c r="B467" s="12"/>
      <c r="C467" s="12"/>
    </row>
    <row r="468">
      <c r="B468" s="12"/>
      <c r="C468" s="12"/>
    </row>
    <row r="469">
      <c r="B469" s="12"/>
      <c r="C469" s="12"/>
    </row>
    <row r="470">
      <c r="B470" s="12"/>
      <c r="C470" s="12"/>
    </row>
    <row r="471">
      <c r="B471" s="12"/>
      <c r="C471" s="12"/>
    </row>
    <row r="472">
      <c r="B472" s="12"/>
      <c r="C472" s="12"/>
    </row>
    <row r="473">
      <c r="B473" s="12"/>
      <c r="C473" s="12"/>
    </row>
    <row r="474">
      <c r="B474" s="12"/>
      <c r="C474" s="12"/>
    </row>
    <row r="475">
      <c r="B475" s="12"/>
      <c r="C475" s="12"/>
    </row>
    <row r="476">
      <c r="B476" s="12"/>
      <c r="C476" s="12"/>
    </row>
    <row r="477">
      <c r="B477" s="12"/>
      <c r="C477" s="12"/>
    </row>
    <row r="478">
      <c r="B478" s="12"/>
      <c r="C478" s="12"/>
    </row>
    <row r="479">
      <c r="B479" s="12"/>
      <c r="C479" s="12"/>
    </row>
    <row r="480">
      <c r="B480" s="12"/>
      <c r="C480" s="12"/>
    </row>
    <row r="481">
      <c r="B481" s="12"/>
      <c r="C481" s="12"/>
    </row>
    <row r="482">
      <c r="B482" s="12"/>
      <c r="C482" s="12"/>
    </row>
    <row r="483">
      <c r="B483" s="12"/>
      <c r="C483" s="12"/>
    </row>
    <row r="484">
      <c r="B484" s="12"/>
      <c r="C484" s="12"/>
    </row>
    <row r="485">
      <c r="B485" s="12"/>
      <c r="C485" s="12"/>
    </row>
    <row r="486">
      <c r="B486" s="12"/>
      <c r="C486" s="12"/>
    </row>
    <row r="487">
      <c r="B487" s="12"/>
      <c r="C487" s="12"/>
    </row>
    <row r="488">
      <c r="B488" s="12"/>
      <c r="C488" s="12"/>
    </row>
    <row r="489">
      <c r="B489" s="12"/>
      <c r="C489" s="12"/>
    </row>
    <row r="490">
      <c r="B490" s="12"/>
      <c r="C490" s="12"/>
    </row>
    <row r="491">
      <c r="B491" s="12"/>
      <c r="C491" s="12"/>
    </row>
    <row r="492">
      <c r="B492" s="12"/>
      <c r="C492" s="12"/>
    </row>
    <row r="493">
      <c r="B493" s="12"/>
      <c r="C493" s="12"/>
    </row>
    <row r="494">
      <c r="B494" s="12"/>
      <c r="C494" s="12"/>
    </row>
    <row r="495">
      <c r="B495" s="12"/>
      <c r="C495" s="12"/>
    </row>
    <row r="496">
      <c r="B496" s="12"/>
      <c r="C496" s="12"/>
    </row>
    <row r="497">
      <c r="B497" s="12"/>
      <c r="C497" s="12"/>
    </row>
    <row r="498">
      <c r="B498" s="12"/>
      <c r="C498" s="12"/>
    </row>
    <row r="499">
      <c r="B499" s="12"/>
      <c r="C499" s="12"/>
    </row>
    <row r="500">
      <c r="B500" s="12"/>
      <c r="C500" s="12"/>
    </row>
    <row r="501">
      <c r="B501" s="12"/>
      <c r="C501" s="12"/>
    </row>
    <row r="502">
      <c r="B502" s="12"/>
      <c r="C502" s="12"/>
    </row>
    <row r="503">
      <c r="B503" s="12"/>
      <c r="C503" s="12"/>
    </row>
    <row r="504">
      <c r="B504" s="12"/>
      <c r="C504" s="12"/>
    </row>
    <row r="505">
      <c r="B505" s="12"/>
      <c r="C505" s="12"/>
    </row>
    <row r="506">
      <c r="B506" s="12"/>
      <c r="C506" s="12"/>
    </row>
    <row r="507">
      <c r="B507" s="12"/>
      <c r="C507" s="12"/>
    </row>
    <row r="508">
      <c r="B508" s="12"/>
      <c r="C508" s="12"/>
    </row>
    <row r="509">
      <c r="B509" s="12"/>
      <c r="C509" s="12"/>
    </row>
    <row r="510">
      <c r="B510" s="12"/>
      <c r="C510" s="12"/>
    </row>
    <row r="511">
      <c r="B511" s="12"/>
      <c r="C511" s="12"/>
    </row>
    <row r="512">
      <c r="B512" s="12"/>
      <c r="C512" s="12"/>
    </row>
    <row r="513">
      <c r="B513" s="12"/>
      <c r="C513" s="12"/>
    </row>
    <row r="514">
      <c r="B514" s="12"/>
      <c r="C514" s="12"/>
    </row>
    <row r="515">
      <c r="B515" s="12"/>
      <c r="C515" s="12"/>
    </row>
    <row r="516">
      <c r="B516" s="12"/>
      <c r="C516" s="12"/>
    </row>
    <row r="517">
      <c r="B517" s="12"/>
      <c r="C517" s="12"/>
    </row>
    <row r="518">
      <c r="B518" s="12"/>
      <c r="C518" s="12"/>
    </row>
    <row r="519">
      <c r="B519" s="12"/>
      <c r="C519" s="12"/>
    </row>
    <row r="520">
      <c r="B520" s="12"/>
      <c r="C520" s="12"/>
    </row>
    <row r="521">
      <c r="B521" s="12"/>
      <c r="C521" s="12"/>
    </row>
    <row r="522">
      <c r="B522" s="12"/>
      <c r="C522" s="12"/>
    </row>
    <row r="523">
      <c r="B523" s="12"/>
      <c r="C523" s="12"/>
    </row>
    <row r="524">
      <c r="B524" s="12"/>
      <c r="C524" s="12"/>
    </row>
    <row r="525">
      <c r="B525" s="12"/>
      <c r="C525" s="12"/>
    </row>
    <row r="526">
      <c r="B526" s="12"/>
      <c r="C526" s="12"/>
    </row>
    <row r="527">
      <c r="B527" s="12"/>
      <c r="C527" s="12"/>
    </row>
    <row r="528">
      <c r="B528" s="12"/>
      <c r="C528" s="12"/>
    </row>
    <row r="529">
      <c r="B529" s="12"/>
      <c r="C529" s="12"/>
    </row>
    <row r="530">
      <c r="B530" s="12"/>
      <c r="C530" s="12"/>
    </row>
    <row r="531">
      <c r="B531" s="12"/>
      <c r="C531" s="12"/>
    </row>
    <row r="532">
      <c r="B532" s="12"/>
      <c r="C532" s="12"/>
    </row>
    <row r="533">
      <c r="B533" s="12"/>
      <c r="C533" s="12"/>
    </row>
    <row r="534">
      <c r="B534" s="12"/>
      <c r="C534" s="12"/>
    </row>
    <row r="535">
      <c r="B535" s="12"/>
      <c r="C535" s="12"/>
    </row>
    <row r="536">
      <c r="B536" s="12"/>
      <c r="C536" s="12"/>
    </row>
    <row r="537">
      <c r="B537" s="12"/>
      <c r="C537" s="12"/>
    </row>
    <row r="538">
      <c r="B538" s="12"/>
      <c r="C538" s="12"/>
    </row>
    <row r="539">
      <c r="B539" s="12"/>
      <c r="C539" s="12"/>
    </row>
    <row r="540">
      <c r="B540" s="12"/>
      <c r="C540" s="12"/>
    </row>
    <row r="541">
      <c r="B541" s="12"/>
      <c r="C541" s="12"/>
    </row>
    <row r="542">
      <c r="B542" s="12"/>
      <c r="C542" s="12"/>
    </row>
    <row r="543">
      <c r="B543" s="12"/>
      <c r="C543" s="12"/>
    </row>
    <row r="544">
      <c r="B544" s="12"/>
      <c r="C544" s="12"/>
    </row>
    <row r="545">
      <c r="B545" s="12"/>
      <c r="C545" s="12"/>
    </row>
    <row r="546">
      <c r="B546" s="12"/>
      <c r="C546" s="12"/>
    </row>
    <row r="547">
      <c r="B547" s="12"/>
      <c r="C547" s="12"/>
    </row>
    <row r="548">
      <c r="B548" s="12"/>
      <c r="C548" s="12"/>
    </row>
    <row r="549">
      <c r="B549" s="12"/>
      <c r="C549" s="12"/>
    </row>
    <row r="550">
      <c r="B550" s="12"/>
      <c r="C550" s="12"/>
    </row>
    <row r="551">
      <c r="B551" s="12"/>
      <c r="C551" s="12"/>
    </row>
    <row r="552">
      <c r="B552" s="12"/>
      <c r="C552" s="12"/>
    </row>
    <row r="553">
      <c r="B553" s="12"/>
      <c r="C553" s="12"/>
    </row>
    <row r="554">
      <c r="B554" s="12"/>
      <c r="C554" s="12"/>
    </row>
    <row r="555">
      <c r="B555" s="12"/>
      <c r="C555" s="12"/>
    </row>
    <row r="556">
      <c r="B556" s="12"/>
      <c r="C556" s="12"/>
    </row>
    <row r="557">
      <c r="B557" s="12"/>
      <c r="C557" s="12"/>
    </row>
    <row r="558">
      <c r="B558" s="12"/>
      <c r="C558" s="12"/>
    </row>
    <row r="559">
      <c r="B559" s="12"/>
      <c r="C559" s="12"/>
    </row>
    <row r="560">
      <c r="B560" s="12"/>
      <c r="C560" s="12"/>
    </row>
    <row r="561">
      <c r="B561" s="12"/>
      <c r="C561" s="12"/>
    </row>
    <row r="562">
      <c r="B562" s="12"/>
      <c r="C562" s="12"/>
    </row>
    <row r="563">
      <c r="B563" s="12"/>
      <c r="C563" s="12"/>
    </row>
    <row r="564">
      <c r="B564" s="12"/>
      <c r="C564" s="12"/>
    </row>
    <row r="565">
      <c r="B565" s="12"/>
      <c r="C565" s="12"/>
    </row>
    <row r="566">
      <c r="B566" s="12"/>
      <c r="C566" s="12"/>
    </row>
    <row r="567">
      <c r="B567" s="12"/>
      <c r="C567" s="12"/>
    </row>
    <row r="568">
      <c r="B568" s="12"/>
      <c r="C568" s="12"/>
    </row>
    <row r="569">
      <c r="B569" s="12"/>
      <c r="C569" s="12"/>
    </row>
    <row r="570">
      <c r="B570" s="12"/>
      <c r="C570" s="12"/>
    </row>
    <row r="571">
      <c r="B571" s="12"/>
      <c r="C571" s="12"/>
    </row>
    <row r="572">
      <c r="B572" s="12"/>
      <c r="C572" s="12"/>
    </row>
    <row r="573">
      <c r="B573" s="12"/>
      <c r="C573" s="12"/>
    </row>
    <row r="574">
      <c r="B574" s="12"/>
      <c r="C574" s="12"/>
    </row>
    <row r="575">
      <c r="B575" s="12"/>
      <c r="C575" s="12"/>
    </row>
    <row r="576">
      <c r="B576" s="12"/>
      <c r="C576" s="12"/>
    </row>
    <row r="577">
      <c r="B577" s="12"/>
      <c r="C577" s="12"/>
    </row>
    <row r="578">
      <c r="B578" s="12"/>
      <c r="C578" s="12"/>
    </row>
    <row r="579">
      <c r="B579" s="12"/>
      <c r="C579" s="12"/>
    </row>
    <row r="580">
      <c r="B580" s="12"/>
      <c r="C580" s="12"/>
    </row>
    <row r="581">
      <c r="B581" s="12"/>
      <c r="C581" s="12"/>
    </row>
    <row r="582">
      <c r="B582" s="12"/>
      <c r="C582" s="12"/>
    </row>
    <row r="583">
      <c r="B583" s="12"/>
      <c r="C583" s="12"/>
    </row>
    <row r="584">
      <c r="B584" s="12"/>
      <c r="C584" s="12"/>
    </row>
    <row r="585">
      <c r="B585" s="12"/>
      <c r="C585" s="12"/>
    </row>
    <row r="586">
      <c r="B586" s="12"/>
      <c r="C586" s="12"/>
    </row>
    <row r="587">
      <c r="B587" s="12"/>
      <c r="C587" s="12"/>
    </row>
    <row r="588">
      <c r="B588" s="12"/>
      <c r="C588" s="12"/>
    </row>
    <row r="589">
      <c r="B589" s="12"/>
      <c r="C589" s="12"/>
    </row>
    <row r="590">
      <c r="B590" s="12"/>
      <c r="C590" s="12"/>
    </row>
    <row r="591">
      <c r="B591" s="12"/>
      <c r="C591" s="12"/>
    </row>
    <row r="592">
      <c r="B592" s="12"/>
      <c r="C592" s="12"/>
    </row>
    <row r="593">
      <c r="B593" s="12"/>
      <c r="C593" s="12"/>
    </row>
    <row r="594">
      <c r="B594" s="12"/>
      <c r="C594" s="12"/>
    </row>
    <row r="595">
      <c r="B595" s="12"/>
      <c r="C595" s="12"/>
    </row>
    <row r="596">
      <c r="B596" s="12"/>
      <c r="C596" s="12"/>
    </row>
    <row r="597">
      <c r="B597" s="12"/>
      <c r="C597" s="12"/>
    </row>
    <row r="598">
      <c r="B598" s="12"/>
      <c r="C598" s="12"/>
    </row>
    <row r="599">
      <c r="B599" s="12"/>
      <c r="C599" s="12"/>
    </row>
    <row r="600">
      <c r="B600" s="12"/>
      <c r="C600" s="12"/>
    </row>
    <row r="601">
      <c r="B601" s="12"/>
      <c r="C601" s="12"/>
    </row>
    <row r="602">
      <c r="B602" s="12"/>
      <c r="C602" s="12"/>
    </row>
    <row r="603">
      <c r="B603" s="12"/>
      <c r="C603" s="12"/>
    </row>
    <row r="604">
      <c r="B604" s="12"/>
      <c r="C604" s="12"/>
    </row>
    <row r="605">
      <c r="B605" s="12"/>
      <c r="C605" s="12"/>
    </row>
    <row r="606">
      <c r="B606" s="12"/>
      <c r="C606" s="12"/>
    </row>
    <row r="607">
      <c r="B607" s="12"/>
      <c r="C607" s="12"/>
    </row>
    <row r="608">
      <c r="B608" s="12"/>
      <c r="C608" s="12"/>
    </row>
    <row r="609">
      <c r="B609" s="12"/>
      <c r="C609" s="12"/>
    </row>
    <row r="610">
      <c r="B610" s="12"/>
      <c r="C610" s="12"/>
    </row>
    <row r="611">
      <c r="B611" s="12"/>
      <c r="C611" s="12"/>
    </row>
    <row r="612">
      <c r="B612" s="12"/>
      <c r="C612" s="12"/>
    </row>
    <row r="613">
      <c r="B613" s="12"/>
      <c r="C613" s="12"/>
    </row>
    <row r="614">
      <c r="B614" s="12"/>
      <c r="C614" s="12"/>
    </row>
    <row r="615">
      <c r="B615" s="12"/>
      <c r="C615" s="12"/>
    </row>
    <row r="616">
      <c r="B616" s="12"/>
      <c r="C616" s="12"/>
    </row>
    <row r="617">
      <c r="B617" s="12"/>
      <c r="C617" s="12"/>
    </row>
    <row r="618">
      <c r="B618" s="12"/>
      <c r="C618" s="12"/>
    </row>
    <row r="619">
      <c r="B619" s="12"/>
      <c r="C619" s="12"/>
    </row>
    <row r="620">
      <c r="B620" s="12"/>
      <c r="C620" s="12"/>
    </row>
    <row r="621">
      <c r="B621" s="12"/>
      <c r="C621" s="12"/>
    </row>
    <row r="622">
      <c r="B622" s="12"/>
      <c r="C622" s="12"/>
    </row>
    <row r="623">
      <c r="B623" s="12"/>
      <c r="C623" s="12"/>
    </row>
    <row r="624">
      <c r="B624" s="12"/>
      <c r="C624" s="12"/>
    </row>
    <row r="625">
      <c r="B625" s="12"/>
      <c r="C625" s="12"/>
    </row>
    <row r="626">
      <c r="B626" s="12"/>
      <c r="C626" s="12"/>
    </row>
    <row r="627">
      <c r="B627" s="12"/>
      <c r="C627" s="12"/>
    </row>
    <row r="628">
      <c r="B628" s="12"/>
      <c r="C628" s="12"/>
    </row>
    <row r="629">
      <c r="B629" s="12"/>
      <c r="C629" s="12"/>
    </row>
    <row r="630">
      <c r="B630" s="12"/>
      <c r="C630" s="12"/>
    </row>
    <row r="631">
      <c r="B631" s="12"/>
      <c r="C631" s="12"/>
    </row>
    <row r="632">
      <c r="B632" s="12"/>
      <c r="C632" s="12"/>
    </row>
    <row r="633">
      <c r="B633" s="12"/>
      <c r="C633" s="12"/>
    </row>
    <row r="634">
      <c r="B634" s="12"/>
      <c r="C634" s="12"/>
    </row>
    <row r="635">
      <c r="B635" s="12"/>
      <c r="C635" s="12"/>
    </row>
    <row r="636">
      <c r="B636" s="12"/>
      <c r="C636" s="12"/>
    </row>
    <row r="637">
      <c r="B637" s="12"/>
      <c r="C637" s="12"/>
    </row>
    <row r="638">
      <c r="B638" s="12"/>
      <c r="C638" s="12"/>
    </row>
    <row r="639">
      <c r="B639" s="12"/>
      <c r="C639" s="12"/>
    </row>
    <row r="640">
      <c r="B640" s="12"/>
      <c r="C640" s="12"/>
    </row>
    <row r="641">
      <c r="B641" s="12"/>
      <c r="C641" s="12"/>
    </row>
    <row r="642">
      <c r="B642" s="12"/>
      <c r="C642" s="12"/>
    </row>
    <row r="643">
      <c r="B643" s="12"/>
      <c r="C643" s="12"/>
    </row>
    <row r="644">
      <c r="B644" s="12"/>
      <c r="C644" s="12"/>
    </row>
    <row r="645">
      <c r="B645" s="12"/>
      <c r="C645" s="12"/>
    </row>
    <row r="646">
      <c r="B646" s="12"/>
      <c r="C646" s="12"/>
    </row>
    <row r="647">
      <c r="B647" s="12"/>
      <c r="C647" s="12"/>
    </row>
    <row r="648">
      <c r="B648" s="12"/>
      <c r="C648" s="12"/>
    </row>
    <row r="649">
      <c r="B649" s="12"/>
      <c r="C649" s="12"/>
    </row>
    <row r="650">
      <c r="B650" s="12"/>
      <c r="C650" s="12"/>
    </row>
    <row r="651">
      <c r="B651" s="12"/>
      <c r="C651" s="12"/>
    </row>
    <row r="652">
      <c r="B652" s="12"/>
      <c r="C652" s="12"/>
    </row>
    <row r="653">
      <c r="B653" s="12"/>
      <c r="C653" s="12"/>
    </row>
    <row r="654">
      <c r="B654" s="12"/>
      <c r="C654" s="12"/>
    </row>
    <row r="655">
      <c r="B655" s="12"/>
      <c r="C655" s="12"/>
    </row>
    <row r="656">
      <c r="B656" s="12"/>
      <c r="C656" s="12"/>
    </row>
    <row r="657">
      <c r="B657" s="12"/>
      <c r="C657" s="12"/>
    </row>
    <row r="658">
      <c r="B658" s="12"/>
      <c r="C658" s="12"/>
    </row>
    <row r="659">
      <c r="B659" s="12"/>
      <c r="C659" s="12"/>
    </row>
    <row r="660">
      <c r="B660" s="12"/>
      <c r="C660" s="12"/>
    </row>
    <row r="661">
      <c r="B661" s="12"/>
      <c r="C661" s="12"/>
    </row>
    <row r="662">
      <c r="B662" s="12"/>
      <c r="C662" s="12"/>
    </row>
    <row r="663">
      <c r="B663" s="12"/>
      <c r="C663" s="12"/>
    </row>
    <row r="664">
      <c r="B664" s="12"/>
      <c r="C664" s="12"/>
    </row>
    <row r="665">
      <c r="B665" s="12"/>
      <c r="C665" s="12"/>
    </row>
    <row r="666">
      <c r="B666" s="12"/>
      <c r="C666" s="12"/>
    </row>
    <row r="667">
      <c r="B667" s="12"/>
      <c r="C667" s="12"/>
    </row>
    <row r="668">
      <c r="B668" s="12"/>
      <c r="C668" s="12"/>
    </row>
    <row r="669">
      <c r="B669" s="12"/>
      <c r="C669" s="12"/>
    </row>
    <row r="670">
      <c r="B670" s="12"/>
      <c r="C670" s="12"/>
    </row>
    <row r="671">
      <c r="B671" s="12"/>
      <c r="C671" s="12"/>
    </row>
    <row r="672">
      <c r="B672" s="12"/>
      <c r="C672" s="12"/>
    </row>
    <row r="673">
      <c r="B673" s="12"/>
      <c r="C673" s="12"/>
    </row>
    <row r="674">
      <c r="B674" s="12"/>
      <c r="C674" s="12"/>
    </row>
    <row r="675">
      <c r="B675" s="12"/>
      <c r="C675" s="12"/>
    </row>
    <row r="676">
      <c r="B676" s="12"/>
      <c r="C676" s="12"/>
    </row>
    <row r="677">
      <c r="B677" s="12"/>
      <c r="C677" s="12"/>
    </row>
    <row r="678">
      <c r="B678" s="12"/>
      <c r="C678" s="12"/>
    </row>
    <row r="679">
      <c r="B679" s="12"/>
      <c r="C679" s="12"/>
    </row>
    <row r="680">
      <c r="B680" s="12"/>
      <c r="C680" s="12"/>
    </row>
    <row r="681">
      <c r="B681" s="12"/>
      <c r="C681" s="12"/>
    </row>
    <row r="682">
      <c r="B682" s="12"/>
      <c r="C682" s="12"/>
    </row>
    <row r="683">
      <c r="B683" s="12"/>
      <c r="C683" s="12"/>
    </row>
    <row r="684">
      <c r="B684" s="12"/>
      <c r="C684" s="12"/>
    </row>
    <row r="685">
      <c r="B685" s="12"/>
      <c r="C685" s="12"/>
    </row>
    <row r="686">
      <c r="B686" s="12"/>
      <c r="C686" s="12"/>
    </row>
    <row r="687">
      <c r="B687" s="12"/>
      <c r="C687" s="12"/>
    </row>
    <row r="688">
      <c r="B688" s="12"/>
      <c r="C688" s="12"/>
    </row>
    <row r="689">
      <c r="B689" s="12"/>
      <c r="C689" s="12"/>
    </row>
    <row r="690">
      <c r="B690" s="12"/>
      <c r="C690" s="12"/>
    </row>
    <row r="691">
      <c r="B691" s="12"/>
      <c r="C691" s="12"/>
    </row>
    <row r="692">
      <c r="B692" s="12"/>
      <c r="C692" s="12"/>
    </row>
    <row r="693">
      <c r="B693" s="12"/>
      <c r="C693" s="12"/>
    </row>
    <row r="694">
      <c r="B694" s="12"/>
      <c r="C694" s="12"/>
    </row>
    <row r="695">
      <c r="B695" s="12"/>
      <c r="C695" s="12"/>
    </row>
    <row r="696">
      <c r="B696" s="12"/>
      <c r="C696" s="12"/>
    </row>
    <row r="697">
      <c r="B697" s="12"/>
      <c r="C697" s="12"/>
    </row>
    <row r="698">
      <c r="B698" s="12"/>
      <c r="C698" s="12"/>
    </row>
    <row r="699">
      <c r="B699" s="12"/>
      <c r="C699" s="12"/>
    </row>
    <row r="700">
      <c r="B700" s="12"/>
      <c r="C700" s="12"/>
    </row>
    <row r="701">
      <c r="B701" s="12"/>
      <c r="C701" s="12"/>
    </row>
    <row r="702">
      <c r="B702" s="12"/>
      <c r="C702" s="12"/>
    </row>
    <row r="703">
      <c r="B703" s="12"/>
      <c r="C703" s="12"/>
    </row>
    <row r="704">
      <c r="B704" s="12"/>
      <c r="C704" s="12"/>
    </row>
    <row r="705">
      <c r="B705" s="12"/>
      <c r="C705" s="12"/>
    </row>
    <row r="706">
      <c r="B706" s="12"/>
      <c r="C706" s="12"/>
    </row>
    <row r="707">
      <c r="B707" s="12"/>
      <c r="C707" s="12"/>
    </row>
    <row r="708">
      <c r="B708" s="12"/>
      <c r="C708" s="12"/>
    </row>
    <row r="709">
      <c r="B709" s="12"/>
      <c r="C709" s="12"/>
    </row>
    <row r="710">
      <c r="B710" s="12"/>
      <c r="C710" s="12"/>
    </row>
    <row r="711">
      <c r="B711" s="12"/>
      <c r="C711" s="12"/>
    </row>
    <row r="712">
      <c r="B712" s="12"/>
      <c r="C712" s="12"/>
    </row>
    <row r="713">
      <c r="B713" s="12"/>
      <c r="C713" s="12"/>
    </row>
    <row r="714">
      <c r="B714" s="12"/>
      <c r="C714" s="12"/>
    </row>
    <row r="715">
      <c r="B715" s="12"/>
      <c r="C715" s="12"/>
    </row>
    <row r="716">
      <c r="B716" s="12"/>
      <c r="C716" s="12"/>
    </row>
    <row r="717">
      <c r="B717" s="12"/>
      <c r="C717" s="12"/>
    </row>
    <row r="718">
      <c r="B718" s="12"/>
      <c r="C718" s="12"/>
    </row>
    <row r="719">
      <c r="B719" s="12"/>
      <c r="C719" s="12"/>
    </row>
    <row r="720">
      <c r="B720" s="12"/>
      <c r="C720" s="12"/>
    </row>
    <row r="721">
      <c r="B721" s="12"/>
      <c r="C721" s="12"/>
    </row>
    <row r="722">
      <c r="B722" s="12"/>
      <c r="C722" s="12"/>
    </row>
    <row r="723">
      <c r="B723" s="12"/>
      <c r="C723" s="12"/>
    </row>
    <row r="724">
      <c r="B724" s="12"/>
      <c r="C724" s="12"/>
    </row>
    <row r="725">
      <c r="B725" s="12"/>
      <c r="C725" s="12"/>
    </row>
    <row r="726">
      <c r="B726" s="12"/>
      <c r="C726" s="12"/>
    </row>
    <row r="727">
      <c r="B727" s="12"/>
      <c r="C727" s="12"/>
    </row>
    <row r="728">
      <c r="B728" s="12"/>
      <c r="C728" s="12"/>
    </row>
    <row r="729">
      <c r="B729" s="12"/>
      <c r="C729" s="12"/>
    </row>
    <row r="730">
      <c r="B730" s="12"/>
      <c r="C730" s="12"/>
    </row>
    <row r="731">
      <c r="B731" s="12"/>
      <c r="C731" s="12"/>
    </row>
    <row r="732">
      <c r="B732" s="12"/>
      <c r="C732" s="12"/>
    </row>
    <row r="733">
      <c r="B733" s="12"/>
      <c r="C733" s="12"/>
    </row>
    <row r="734">
      <c r="B734" s="12"/>
      <c r="C734" s="12"/>
    </row>
    <row r="735">
      <c r="B735" s="12"/>
      <c r="C735" s="12"/>
    </row>
    <row r="736">
      <c r="B736" s="12"/>
      <c r="C736" s="12"/>
    </row>
    <row r="737">
      <c r="B737" s="12"/>
      <c r="C737" s="12"/>
    </row>
    <row r="738">
      <c r="B738" s="12"/>
      <c r="C738" s="12"/>
    </row>
    <row r="739">
      <c r="B739" s="12"/>
      <c r="C739" s="12"/>
    </row>
    <row r="740">
      <c r="B740" s="12"/>
      <c r="C740" s="12"/>
    </row>
    <row r="741">
      <c r="B741" s="12"/>
      <c r="C741" s="12"/>
    </row>
    <row r="742">
      <c r="B742" s="12"/>
      <c r="C742" s="12"/>
    </row>
    <row r="743">
      <c r="B743" s="12"/>
      <c r="C743" s="12"/>
    </row>
    <row r="744">
      <c r="B744" s="12"/>
      <c r="C744" s="12"/>
    </row>
    <row r="745">
      <c r="B745" s="12"/>
      <c r="C745" s="12"/>
    </row>
    <row r="746">
      <c r="B746" s="12"/>
      <c r="C746" s="12"/>
    </row>
    <row r="747">
      <c r="B747" s="12"/>
      <c r="C747" s="12"/>
    </row>
    <row r="748">
      <c r="B748" s="12"/>
      <c r="C748" s="12"/>
    </row>
    <row r="749">
      <c r="B749" s="12"/>
      <c r="C749" s="12"/>
    </row>
    <row r="750">
      <c r="B750" s="12"/>
      <c r="C750" s="12"/>
    </row>
    <row r="751">
      <c r="B751" s="12"/>
      <c r="C751" s="12"/>
    </row>
    <row r="752">
      <c r="B752" s="12"/>
      <c r="C752" s="12"/>
    </row>
    <row r="753">
      <c r="B753" s="12"/>
      <c r="C753" s="12"/>
    </row>
    <row r="754">
      <c r="B754" s="12"/>
      <c r="C754" s="12"/>
    </row>
    <row r="755">
      <c r="B755" s="12"/>
      <c r="C755" s="12"/>
    </row>
    <row r="756">
      <c r="B756" s="12"/>
      <c r="C756" s="12"/>
    </row>
    <row r="757">
      <c r="B757" s="12"/>
      <c r="C757" s="12"/>
    </row>
    <row r="758">
      <c r="B758" s="12"/>
      <c r="C758" s="12"/>
    </row>
    <row r="759">
      <c r="B759" s="12"/>
      <c r="C759" s="12"/>
    </row>
    <row r="760">
      <c r="B760" s="12"/>
      <c r="C760" s="12"/>
    </row>
    <row r="761">
      <c r="B761" s="12"/>
      <c r="C761" s="12"/>
    </row>
    <row r="762">
      <c r="B762" s="12"/>
      <c r="C762" s="12"/>
    </row>
    <row r="763">
      <c r="B763" s="12"/>
      <c r="C763" s="12"/>
    </row>
    <row r="764">
      <c r="B764" s="12"/>
      <c r="C764" s="12"/>
    </row>
    <row r="765">
      <c r="B765" s="12"/>
      <c r="C765" s="12"/>
    </row>
    <row r="766">
      <c r="B766" s="12"/>
      <c r="C766" s="12"/>
    </row>
    <row r="767">
      <c r="B767" s="12"/>
      <c r="C767" s="12"/>
    </row>
    <row r="768">
      <c r="B768" s="12"/>
      <c r="C768" s="12"/>
    </row>
    <row r="769">
      <c r="B769" s="12"/>
      <c r="C769" s="12"/>
    </row>
    <row r="770">
      <c r="B770" s="12"/>
      <c r="C770" s="12"/>
    </row>
    <row r="771">
      <c r="B771" s="12"/>
      <c r="C771" s="12"/>
    </row>
    <row r="772">
      <c r="B772" s="12"/>
      <c r="C772" s="12"/>
    </row>
    <row r="773">
      <c r="B773" s="12"/>
      <c r="C773" s="12"/>
    </row>
    <row r="774">
      <c r="B774" s="12"/>
      <c r="C774" s="12"/>
    </row>
    <row r="775">
      <c r="B775" s="12"/>
      <c r="C775" s="12"/>
    </row>
    <row r="776">
      <c r="B776" s="12"/>
      <c r="C776" s="12"/>
    </row>
    <row r="777">
      <c r="B777" s="12"/>
      <c r="C777" s="12"/>
    </row>
    <row r="778">
      <c r="B778" s="12"/>
      <c r="C778" s="12"/>
    </row>
    <row r="779">
      <c r="B779" s="12"/>
      <c r="C779" s="12"/>
    </row>
    <row r="780">
      <c r="B780" s="12"/>
      <c r="C780" s="12"/>
    </row>
    <row r="781">
      <c r="B781" s="12"/>
      <c r="C781" s="12"/>
    </row>
    <row r="782">
      <c r="B782" s="12"/>
      <c r="C782" s="12"/>
    </row>
    <row r="783">
      <c r="B783" s="12"/>
      <c r="C783" s="12"/>
    </row>
    <row r="784">
      <c r="B784" s="12"/>
      <c r="C784" s="12"/>
    </row>
    <row r="785">
      <c r="B785" s="12"/>
      <c r="C785" s="12"/>
    </row>
    <row r="786">
      <c r="B786" s="12"/>
      <c r="C786" s="12"/>
    </row>
    <row r="787">
      <c r="B787" s="12"/>
      <c r="C787" s="12"/>
    </row>
    <row r="788">
      <c r="B788" s="12"/>
      <c r="C788" s="12"/>
    </row>
    <row r="789">
      <c r="B789" s="12"/>
      <c r="C789" s="12"/>
    </row>
    <row r="790">
      <c r="B790" s="12"/>
      <c r="C790" s="12"/>
    </row>
    <row r="791">
      <c r="B791" s="12"/>
      <c r="C791" s="12"/>
    </row>
    <row r="792">
      <c r="B792" s="12"/>
      <c r="C792" s="12"/>
    </row>
    <row r="793">
      <c r="B793" s="12"/>
      <c r="C793" s="12"/>
    </row>
    <row r="794">
      <c r="B794" s="12"/>
      <c r="C794" s="12"/>
    </row>
    <row r="795">
      <c r="B795" s="12"/>
      <c r="C795" s="12"/>
    </row>
    <row r="796">
      <c r="B796" s="12"/>
      <c r="C796" s="12"/>
    </row>
    <row r="797">
      <c r="B797" s="12"/>
      <c r="C797" s="12"/>
    </row>
    <row r="798">
      <c r="B798" s="12"/>
      <c r="C798" s="12"/>
    </row>
    <row r="799">
      <c r="B799" s="12"/>
      <c r="C799" s="12"/>
    </row>
    <row r="800">
      <c r="B800" s="12"/>
      <c r="C800" s="12"/>
    </row>
    <row r="801">
      <c r="B801" s="12"/>
      <c r="C801" s="12"/>
    </row>
    <row r="802">
      <c r="B802" s="12"/>
      <c r="C802" s="12"/>
    </row>
    <row r="803">
      <c r="B803" s="12"/>
      <c r="C803" s="12"/>
    </row>
    <row r="804">
      <c r="B804" s="12"/>
      <c r="C804" s="12"/>
    </row>
    <row r="805">
      <c r="B805" s="12"/>
      <c r="C805" s="12"/>
    </row>
    <row r="806">
      <c r="B806" s="12"/>
      <c r="C806" s="12"/>
    </row>
    <row r="807">
      <c r="B807" s="12"/>
      <c r="C807" s="12"/>
    </row>
    <row r="808">
      <c r="B808" s="12"/>
      <c r="C808" s="12"/>
    </row>
    <row r="809">
      <c r="B809" s="12"/>
      <c r="C809" s="12"/>
    </row>
    <row r="810">
      <c r="B810" s="12"/>
      <c r="C810" s="12"/>
    </row>
    <row r="811">
      <c r="B811" s="12"/>
      <c r="C811" s="12"/>
    </row>
    <row r="812">
      <c r="B812" s="12"/>
      <c r="C812" s="12"/>
    </row>
    <row r="813">
      <c r="B813" s="12"/>
      <c r="C813" s="12"/>
    </row>
    <row r="814">
      <c r="B814" s="12"/>
      <c r="C814" s="12"/>
    </row>
    <row r="815">
      <c r="B815" s="12"/>
      <c r="C815" s="12"/>
    </row>
    <row r="816">
      <c r="B816" s="12"/>
      <c r="C816" s="12"/>
    </row>
    <row r="817">
      <c r="B817" s="12"/>
      <c r="C817" s="12"/>
    </row>
    <row r="818">
      <c r="B818" s="12"/>
      <c r="C818" s="12"/>
    </row>
    <row r="819">
      <c r="B819" s="12"/>
      <c r="C819" s="12"/>
    </row>
    <row r="820">
      <c r="B820" s="12"/>
      <c r="C820" s="12"/>
    </row>
    <row r="821">
      <c r="B821" s="12"/>
      <c r="C821" s="12"/>
    </row>
    <row r="822">
      <c r="B822" s="12"/>
      <c r="C822" s="12"/>
    </row>
    <row r="823">
      <c r="B823" s="12"/>
      <c r="C823" s="12"/>
    </row>
    <row r="824">
      <c r="B824" s="12"/>
      <c r="C824" s="12"/>
    </row>
    <row r="825">
      <c r="B825" s="12"/>
      <c r="C825" s="12"/>
    </row>
    <row r="826">
      <c r="B826" s="12"/>
      <c r="C826" s="12"/>
    </row>
    <row r="827">
      <c r="B827" s="12"/>
      <c r="C827" s="12"/>
    </row>
    <row r="828">
      <c r="B828" s="12"/>
      <c r="C828" s="12"/>
    </row>
    <row r="829">
      <c r="B829" s="12"/>
      <c r="C829" s="12"/>
    </row>
    <row r="830">
      <c r="B830" s="12"/>
      <c r="C830" s="12"/>
    </row>
    <row r="831">
      <c r="B831" s="12"/>
      <c r="C831" s="12"/>
    </row>
    <row r="832">
      <c r="B832" s="12"/>
      <c r="C832" s="12"/>
    </row>
    <row r="833">
      <c r="B833" s="12"/>
      <c r="C833" s="12"/>
    </row>
    <row r="834">
      <c r="B834" s="12"/>
      <c r="C834" s="12"/>
    </row>
    <row r="835">
      <c r="B835" s="12"/>
      <c r="C835" s="12"/>
    </row>
    <row r="836">
      <c r="B836" s="12"/>
      <c r="C836" s="12"/>
    </row>
    <row r="837">
      <c r="B837" s="12"/>
      <c r="C837" s="12"/>
    </row>
    <row r="838">
      <c r="B838" s="12"/>
      <c r="C838" s="12"/>
    </row>
    <row r="839">
      <c r="B839" s="12"/>
      <c r="C839" s="12"/>
    </row>
    <row r="840">
      <c r="B840" s="12"/>
      <c r="C840" s="12"/>
    </row>
    <row r="841">
      <c r="B841" s="12"/>
      <c r="C841" s="12"/>
    </row>
    <row r="842">
      <c r="B842" s="12"/>
      <c r="C842" s="12"/>
    </row>
    <row r="843">
      <c r="B843" s="12"/>
      <c r="C843" s="12"/>
    </row>
    <row r="844">
      <c r="B844" s="12"/>
      <c r="C844" s="12"/>
    </row>
    <row r="845">
      <c r="B845" s="12"/>
      <c r="C845" s="12"/>
    </row>
    <row r="846">
      <c r="B846" s="12"/>
      <c r="C846" s="12"/>
    </row>
    <row r="847">
      <c r="B847" s="12"/>
      <c r="C847" s="12"/>
    </row>
    <row r="848">
      <c r="B848" s="12"/>
      <c r="C848" s="12"/>
    </row>
    <row r="849">
      <c r="B849" s="12"/>
      <c r="C849" s="12"/>
    </row>
    <row r="850">
      <c r="B850" s="12"/>
      <c r="C850" s="12"/>
    </row>
    <row r="851">
      <c r="B851" s="12"/>
      <c r="C851" s="12"/>
    </row>
    <row r="852">
      <c r="B852" s="12"/>
      <c r="C852" s="12"/>
    </row>
    <row r="853">
      <c r="B853" s="12"/>
      <c r="C853" s="12"/>
    </row>
    <row r="854">
      <c r="B854" s="12"/>
      <c r="C854" s="12"/>
    </row>
    <row r="855">
      <c r="B855" s="12"/>
      <c r="C855" s="12"/>
    </row>
    <row r="856">
      <c r="B856" s="12"/>
      <c r="C856" s="12"/>
    </row>
    <row r="857">
      <c r="B857" s="12"/>
      <c r="C857" s="12"/>
    </row>
    <row r="858">
      <c r="B858" s="12"/>
      <c r="C858" s="12"/>
    </row>
    <row r="859">
      <c r="B859" s="12"/>
      <c r="C859" s="12"/>
    </row>
    <row r="860">
      <c r="B860" s="12"/>
      <c r="C860" s="12"/>
    </row>
    <row r="861">
      <c r="B861" s="12"/>
      <c r="C861" s="12"/>
    </row>
    <row r="862">
      <c r="B862" s="12"/>
      <c r="C862" s="12"/>
    </row>
    <row r="863">
      <c r="B863" s="12"/>
      <c r="C863" s="12"/>
    </row>
    <row r="864">
      <c r="B864" s="12"/>
      <c r="C864" s="12"/>
    </row>
    <row r="865">
      <c r="B865" s="12"/>
      <c r="C865" s="12"/>
    </row>
    <row r="866">
      <c r="B866" s="12"/>
      <c r="C866" s="12"/>
    </row>
    <row r="867">
      <c r="B867" s="12"/>
      <c r="C867" s="12"/>
    </row>
    <row r="868">
      <c r="B868" s="12"/>
      <c r="C868" s="12"/>
    </row>
    <row r="869">
      <c r="B869" s="12"/>
      <c r="C869" s="12"/>
    </row>
    <row r="870">
      <c r="B870" s="12"/>
      <c r="C870" s="12"/>
    </row>
    <row r="871">
      <c r="B871" s="12"/>
      <c r="C871" s="12"/>
    </row>
    <row r="872">
      <c r="B872" s="12"/>
      <c r="C872" s="12"/>
    </row>
    <row r="873">
      <c r="B873" s="12"/>
      <c r="C873" s="12"/>
    </row>
    <row r="874">
      <c r="B874" s="12"/>
      <c r="C874" s="12"/>
    </row>
    <row r="875">
      <c r="B875" s="12"/>
      <c r="C875" s="12"/>
    </row>
    <row r="876">
      <c r="B876" s="12"/>
      <c r="C876" s="12"/>
    </row>
    <row r="877">
      <c r="B877" s="12"/>
      <c r="C877" s="12"/>
    </row>
    <row r="878">
      <c r="B878" s="12"/>
      <c r="C878" s="12"/>
    </row>
    <row r="879">
      <c r="B879" s="12"/>
      <c r="C879" s="12"/>
    </row>
    <row r="880">
      <c r="B880" s="12"/>
      <c r="C880" s="12"/>
    </row>
    <row r="881">
      <c r="B881" s="12"/>
      <c r="C881" s="12"/>
    </row>
    <row r="882">
      <c r="B882" s="12"/>
      <c r="C882" s="12"/>
    </row>
    <row r="883">
      <c r="B883" s="12"/>
      <c r="C883" s="12"/>
    </row>
    <row r="884">
      <c r="B884" s="12"/>
      <c r="C884" s="12"/>
    </row>
    <row r="885">
      <c r="B885" s="12"/>
      <c r="C885" s="12"/>
    </row>
    <row r="886">
      <c r="B886" s="12"/>
      <c r="C886" s="12"/>
    </row>
    <row r="887">
      <c r="B887" s="12"/>
      <c r="C887" s="12"/>
    </row>
    <row r="888">
      <c r="B888" s="12"/>
      <c r="C888" s="12"/>
    </row>
    <row r="889">
      <c r="B889" s="12"/>
      <c r="C889" s="12"/>
    </row>
    <row r="890">
      <c r="B890" s="12"/>
      <c r="C890" s="12"/>
    </row>
    <row r="891">
      <c r="B891" s="12"/>
      <c r="C891" s="12"/>
    </row>
    <row r="892">
      <c r="B892" s="12"/>
      <c r="C892" s="12"/>
    </row>
    <row r="893">
      <c r="B893" s="12"/>
      <c r="C893" s="12"/>
    </row>
    <row r="894">
      <c r="B894" s="12"/>
      <c r="C894" s="12"/>
    </row>
    <row r="895">
      <c r="B895" s="12"/>
      <c r="C895" s="12"/>
    </row>
    <row r="896">
      <c r="B896" s="12"/>
      <c r="C896" s="12"/>
    </row>
    <row r="897">
      <c r="B897" s="12"/>
      <c r="C897" s="12"/>
    </row>
    <row r="898">
      <c r="B898" s="12"/>
      <c r="C898" s="12"/>
    </row>
    <row r="899">
      <c r="B899" s="12"/>
      <c r="C899" s="12"/>
    </row>
    <row r="900">
      <c r="B900" s="12"/>
      <c r="C900" s="12"/>
    </row>
    <row r="901">
      <c r="B901" s="12"/>
      <c r="C901" s="12"/>
    </row>
    <row r="902">
      <c r="B902" s="12"/>
      <c r="C902" s="12"/>
    </row>
    <row r="903">
      <c r="B903" s="12"/>
      <c r="C903" s="12"/>
    </row>
    <row r="904">
      <c r="B904" s="12"/>
      <c r="C904" s="12"/>
    </row>
    <row r="905">
      <c r="B905" s="12"/>
      <c r="C905" s="12"/>
    </row>
    <row r="906">
      <c r="B906" s="12"/>
      <c r="C906" s="12"/>
    </row>
    <row r="907">
      <c r="B907" s="12"/>
      <c r="C907" s="12"/>
    </row>
    <row r="908">
      <c r="B908" s="12"/>
      <c r="C908" s="12"/>
    </row>
    <row r="909">
      <c r="B909" s="12"/>
      <c r="C909" s="12"/>
    </row>
    <row r="910">
      <c r="B910" s="12"/>
      <c r="C910" s="12"/>
    </row>
    <row r="911">
      <c r="B911" s="12"/>
      <c r="C911" s="12"/>
    </row>
    <row r="912">
      <c r="B912" s="12"/>
      <c r="C912" s="12"/>
    </row>
    <row r="913">
      <c r="B913" s="12"/>
      <c r="C913" s="12"/>
    </row>
    <row r="914">
      <c r="B914" s="12"/>
      <c r="C914" s="12"/>
    </row>
    <row r="915">
      <c r="B915" s="12"/>
      <c r="C915" s="12"/>
    </row>
    <row r="916">
      <c r="B916" s="12"/>
      <c r="C916" s="12"/>
    </row>
    <row r="917">
      <c r="B917" s="12"/>
      <c r="C917" s="12"/>
    </row>
    <row r="918">
      <c r="B918" s="12"/>
      <c r="C918" s="12"/>
    </row>
    <row r="919">
      <c r="B919" s="12"/>
      <c r="C919" s="12"/>
    </row>
    <row r="920">
      <c r="B920" s="12"/>
      <c r="C920" s="12"/>
    </row>
    <row r="921">
      <c r="B921" s="12"/>
      <c r="C921" s="12"/>
    </row>
    <row r="922">
      <c r="B922" s="12"/>
      <c r="C922" s="12"/>
    </row>
    <row r="923">
      <c r="B923" s="12"/>
      <c r="C923" s="12"/>
    </row>
    <row r="924">
      <c r="B924" s="12"/>
      <c r="C924" s="12"/>
    </row>
    <row r="925">
      <c r="B925" s="12"/>
      <c r="C925" s="12"/>
    </row>
    <row r="926">
      <c r="B926" s="12"/>
      <c r="C926" s="12"/>
    </row>
    <row r="927">
      <c r="B927" s="12"/>
      <c r="C927" s="12"/>
    </row>
    <row r="928">
      <c r="B928" s="12"/>
      <c r="C928" s="12"/>
    </row>
    <row r="929">
      <c r="B929" s="12"/>
      <c r="C929" s="12"/>
    </row>
    <row r="930">
      <c r="B930" s="12"/>
      <c r="C930" s="12"/>
    </row>
    <row r="931">
      <c r="B931" s="12"/>
      <c r="C931" s="12"/>
    </row>
    <row r="932">
      <c r="B932" s="12"/>
      <c r="C932" s="12"/>
    </row>
    <row r="933">
      <c r="B933" s="12"/>
      <c r="C933" s="12"/>
    </row>
    <row r="934">
      <c r="B934" s="12"/>
      <c r="C934" s="12"/>
    </row>
    <row r="935">
      <c r="B935" s="12"/>
      <c r="C935" s="12"/>
    </row>
    <row r="936">
      <c r="B936" s="12"/>
      <c r="C936" s="12"/>
    </row>
    <row r="937">
      <c r="B937" s="12"/>
      <c r="C937" s="12"/>
    </row>
    <row r="938">
      <c r="B938" s="12"/>
      <c r="C938" s="12"/>
    </row>
    <row r="939">
      <c r="B939" s="12"/>
      <c r="C939" s="12"/>
    </row>
    <row r="940">
      <c r="B940" s="12"/>
      <c r="C940" s="12"/>
    </row>
    <row r="941">
      <c r="B941" s="12"/>
      <c r="C941" s="12"/>
    </row>
    <row r="942">
      <c r="B942" s="12"/>
      <c r="C942" s="12"/>
    </row>
    <row r="943">
      <c r="B943" s="12"/>
      <c r="C943" s="12"/>
    </row>
    <row r="944">
      <c r="B944" s="12"/>
      <c r="C944" s="12"/>
    </row>
    <row r="945">
      <c r="B945" s="12"/>
      <c r="C945" s="12"/>
    </row>
    <row r="946">
      <c r="B946" s="12"/>
      <c r="C946" s="12"/>
    </row>
    <row r="947">
      <c r="B947" s="12"/>
      <c r="C947" s="12"/>
    </row>
    <row r="948">
      <c r="B948" s="12"/>
      <c r="C948" s="12"/>
    </row>
    <row r="949">
      <c r="B949" s="12"/>
      <c r="C949" s="12"/>
    </row>
    <row r="950">
      <c r="B950" s="12"/>
      <c r="C950" s="12"/>
    </row>
    <row r="951">
      <c r="B951" s="12"/>
      <c r="C951" s="12"/>
    </row>
    <row r="952">
      <c r="B952" s="12"/>
      <c r="C952" s="12"/>
    </row>
    <row r="953">
      <c r="B953" s="12"/>
      <c r="C953" s="12"/>
    </row>
    <row r="954">
      <c r="B954" s="12"/>
      <c r="C954" s="12"/>
    </row>
    <row r="955">
      <c r="B955" s="12"/>
      <c r="C955" s="12"/>
    </row>
    <row r="956">
      <c r="B956" s="12"/>
      <c r="C956" s="12"/>
    </row>
    <row r="957">
      <c r="B957" s="12"/>
      <c r="C957" s="12"/>
    </row>
    <row r="958">
      <c r="B958" s="12"/>
      <c r="C958" s="12"/>
    </row>
    <row r="959">
      <c r="B959" s="12"/>
      <c r="C959" s="12"/>
    </row>
    <row r="960">
      <c r="B960" s="12"/>
      <c r="C960" s="12"/>
    </row>
    <row r="961">
      <c r="B961" s="12"/>
      <c r="C961" s="12"/>
    </row>
    <row r="962">
      <c r="B962" s="12"/>
      <c r="C962" s="12"/>
    </row>
    <row r="963">
      <c r="B963" s="12"/>
      <c r="C963" s="12"/>
    </row>
    <row r="964">
      <c r="B964" s="12"/>
      <c r="C964" s="12"/>
    </row>
    <row r="965">
      <c r="B965" s="12"/>
      <c r="C965" s="12"/>
    </row>
    <row r="966">
      <c r="B966" s="12"/>
      <c r="C966" s="12"/>
    </row>
    <row r="967">
      <c r="B967" s="12"/>
      <c r="C967" s="12"/>
    </row>
    <row r="968">
      <c r="B968" s="12"/>
      <c r="C968" s="12"/>
    </row>
    <row r="969">
      <c r="B969" s="12"/>
      <c r="C969" s="12"/>
    </row>
    <row r="970">
      <c r="B970" s="12"/>
      <c r="C970" s="12"/>
    </row>
    <row r="971">
      <c r="B971" s="12"/>
      <c r="C971" s="12"/>
    </row>
    <row r="972">
      <c r="B972" s="12"/>
      <c r="C972" s="12"/>
    </row>
    <row r="973">
      <c r="B973" s="12"/>
      <c r="C973" s="12"/>
    </row>
    <row r="974">
      <c r="B974" s="12"/>
      <c r="C974" s="12"/>
    </row>
    <row r="975">
      <c r="B975" s="12"/>
      <c r="C975" s="12"/>
    </row>
    <row r="976">
      <c r="B976" s="12"/>
      <c r="C976" s="12"/>
    </row>
    <row r="977">
      <c r="B977" s="12"/>
      <c r="C977" s="12"/>
    </row>
    <row r="978">
      <c r="B978" s="12"/>
      <c r="C978" s="12"/>
    </row>
    <row r="979">
      <c r="B979" s="12"/>
      <c r="C979" s="12"/>
    </row>
    <row r="980">
      <c r="B980" s="12"/>
      <c r="C980" s="12"/>
    </row>
    <row r="981">
      <c r="B981" s="12"/>
      <c r="C981" s="12"/>
    </row>
    <row r="982">
      <c r="B982" s="12"/>
      <c r="C982" s="12"/>
    </row>
    <row r="983">
      <c r="B983" s="12"/>
      <c r="C983" s="12"/>
    </row>
    <row r="984">
      <c r="B984" s="12"/>
      <c r="C984" s="12"/>
    </row>
    <row r="985">
      <c r="B985" s="12"/>
      <c r="C985" s="12"/>
    </row>
    <row r="986">
      <c r="B986" s="12"/>
      <c r="C986" s="12"/>
    </row>
    <row r="987">
      <c r="B987" s="12"/>
      <c r="C987" s="12"/>
    </row>
    <row r="988">
      <c r="B988" s="12"/>
      <c r="C988" s="12"/>
    </row>
    <row r="989">
      <c r="B989" s="12"/>
      <c r="C989" s="12"/>
    </row>
    <row r="990">
      <c r="B990" s="12"/>
      <c r="C990" s="12"/>
    </row>
    <row r="991">
      <c r="B991" s="12"/>
      <c r="C991" s="12"/>
    </row>
    <row r="992">
      <c r="B992" s="12"/>
      <c r="C992" s="12"/>
    </row>
    <row r="993">
      <c r="B993" s="12"/>
      <c r="C993" s="12"/>
    </row>
    <row r="994">
      <c r="B994" s="12"/>
      <c r="C994" s="12"/>
    </row>
    <row r="995">
      <c r="B995" s="12"/>
      <c r="C995" s="12"/>
    </row>
    <row r="996">
      <c r="B996" s="12"/>
      <c r="C996" s="12"/>
    </row>
    <row r="997">
      <c r="B997" s="12"/>
      <c r="C997" s="12"/>
    </row>
    <row r="998">
      <c r="B998" s="12"/>
      <c r="C998" s="12"/>
    </row>
    <row r="999">
      <c r="B999" s="12"/>
      <c r="C999" s="12"/>
    </row>
  </sheetData>
  <autoFilter ref="$A$1:$D$124"/>
  <conditionalFormatting sqref="B2:B999">
    <cfRule type="expression" dxfId="2" priority="1">
      <formula>COUNTIF(B:B, B2) &gt; 1</formula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9.88"/>
    <col customWidth="1" hidden="1" min="2" max="2" width="16.0"/>
    <col customWidth="1" min="3" max="3" width="13.63"/>
    <col customWidth="1" min="4" max="4" width="57.5"/>
    <col customWidth="1" min="5" max="5" width="8.0"/>
    <col customWidth="1" min="6" max="6" width="7.38"/>
    <col customWidth="1" min="7" max="7" width="23.38"/>
    <col customWidth="1" min="8" max="8" width="20.25"/>
    <col customWidth="1" min="9" max="9" width="22.38"/>
    <col customWidth="1" min="10" max="10" width="5.13"/>
    <col customWidth="1" min="11" max="11" width="13.75"/>
    <col customWidth="1" min="12" max="13" width="14.13"/>
    <col customWidth="1" min="14" max="14" width="59.63"/>
    <col customWidth="1" min="15" max="17" width="14.13"/>
    <col customWidth="1" min="18" max="18" width="28.13"/>
    <col customWidth="1" min="19" max="24" width="14.13"/>
  </cols>
  <sheetData>
    <row r="1">
      <c r="A1" s="17"/>
      <c r="B1" s="17"/>
      <c r="C1" s="17"/>
      <c r="D1" s="18"/>
      <c r="E1" s="18"/>
      <c r="F1" s="18"/>
      <c r="G1" s="18"/>
      <c r="H1" s="18"/>
      <c r="I1" s="18"/>
      <c r="J1" s="18"/>
      <c r="K1" s="18"/>
      <c r="L1" s="18"/>
      <c r="M1" s="18"/>
      <c r="N1" s="19" t="s">
        <v>178</v>
      </c>
      <c r="O1" s="19"/>
      <c r="P1" s="19"/>
      <c r="Q1" s="18"/>
      <c r="R1" s="19" t="s">
        <v>179</v>
      </c>
      <c r="S1" s="18"/>
      <c r="T1" s="18"/>
      <c r="U1" s="18"/>
      <c r="V1" s="18"/>
      <c r="W1" s="18"/>
      <c r="X1" s="18"/>
    </row>
    <row r="2" ht="15.75" customHeight="1">
      <c r="A2" s="20" t="s">
        <v>180</v>
      </c>
      <c r="B2" s="20" t="s">
        <v>181</v>
      </c>
      <c r="C2" s="20" t="s">
        <v>39</v>
      </c>
      <c r="D2" s="20" t="s">
        <v>2</v>
      </c>
      <c r="E2" s="21" t="s">
        <v>182</v>
      </c>
      <c r="F2" s="21" t="s">
        <v>183</v>
      </c>
      <c r="G2" s="22" t="s">
        <v>184</v>
      </c>
      <c r="H2" s="21" t="s">
        <v>185</v>
      </c>
      <c r="I2" s="21" t="s">
        <v>186</v>
      </c>
      <c r="J2" s="21" t="s">
        <v>187</v>
      </c>
      <c r="K2" s="21" t="s">
        <v>188</v>
      </c>
      <c r="L2" s="21" t="s">
        <v>189</v>
      </c>
      <c r="M2" s="21"/>
      <c r="Q2" s="21"/>
      <c r="R2" s="19" t="s">
        <v>2</v>
      </c>
      <c r="S2" s="21"/>
      <c r="T2" s="21"/>
      <c r="U2" s="21"/>
      <c r="V2" s="21"/>
      <c r="W2" s="21"/>
      <c r="X2" s="21"/>
    </row>
    <row r="3" ht="18.75" hidden="1" customHeight="1">
      <c r="A3" s="23" t="s">
        <v>190</v>
      </c>
      <c r="B3" s="8" t="s">
        <v>191</v>
      </c>
      <c r="C3" s="24" t="s">
        <v>192</v>
      </c>
      <c r="D3" s="8" t="s">
        <v>193</v>
      </c>
      <c r="E3" s="25" t="s">
        <v>194</v>
      </c>
      <c r="F3" s="23" t="s">
        <v>195</v>
      </c>
      <c r="G3" s="23" t="s">
        <v>196</v>
      </c>
      <c r="H3" s="23" t="s">
        <v>197</v>
      </c>
      <c r="I3" s="23" t="s">
        <v>197</v>
      </c>
      <c r="J3" s="23" t="s">
        <v>198</v>
      </c>
      <c r="K3" s="23" t="str">
        <f t="shared" ref="K3:K1687" si="1">C3</f>
        <v>677446</v>
      </c>
      <c r="L3" s="23"/>
      <c r="M3" s="26"/>
      <c r="Q3" s="26"/>
      <c r="R3" s="26" t="s">
        <v>201</v>
      </c>
      <c r="S3" s="26"/>
      <c r="T3" s="26"/>
      <c r="U3" s="26"/>
      <c r="V3" s="26"/>
      <c r="W3" s="26"/>
      <c r="X3" s="26"/>
    </row>
    <row r="4" ht="18.75" hidden="1" customHeight="1">
      <c r="A4" s="23" t="s">
        <v>190</v>
      </c>
      <c r="B4" s="8" t="s">
        <v>202</v>
      </c>
      <c r="C4" s="24" t="s">
        <v>142</v>
      </c>
      <c r="D4" s="8" t="s">
        <v>143</v>
      </c>
      <c r="E4" s="25" t="s">
        <v>194</v>
      </c>
      <c r="F4" s="23" t="s">
        <v>195</v>
      </c>
      <c r="G4" s="23" t="s">
        <v>203</v>
      </c>
      <c r="H4" s="23" t="s">
        <v>204</v>
      </c>
      <c r="I4" s="23" t="s">
        <v>205</v>
      </c>
      <c r="J4" s="23" t="s">
        <v>198</v>
      </c>
      <c r="K4" s="23" t="str">
        <f t="shared" si="1"/>
        <v>643045</v>
      </c>
      <c r="L4" s="23"/>
      <c r="M4" s="26"/>
      <c r="Q4" s="26"/>
      <c r="R4" s="26" t="s">
        <v>208</v>
      </c>
      <c r="S4" s="26"/>
      <c r="T4" s="26"/>
      <c r="U4" s="26"/>
      <c r="V4" s="26"/>
      <c r="W4" s="26"/>
      <c r="X4" s="26"/>
    </row>
    <row r="5" ht="18.75" hidden="1" customHeight="1">
      <c r="A5" s="23" t="s">
        <v>190</v>
      </c>
      <c r="B5" s="8" t="s">
        <v>209</v>
      </c>
      <c r="C5" s="23" t="s">
        <v>210</v>
      </c>
      <c r="D5" s="8" t="s">
        <v>211</v>
      </c>
      <c r="E5" s="23" t="s">
        <v>194</v>
      </c>
      <c r="F5" s="23" t="s">
        <v>195</v>
      </c>
      <c r="G5" s="23" t="s">
        <v>203</v>
      </c>
      <c r="H5" s="23" t="s">
        <v>204</v>
      </c>
      <c r="I5" s="23" t="s">
        <v>205</v>
      </c>
      <c r="J5" s="23" t="s">
        <v>198</v>
      </c>
      <c r="K5" s="23" t="str">
        <f t="shared" si="1"/>
        <v>643069q</v>
      </c>
      <c r="L5" s="23"/>
      <c r="M5" s="26"/>
      <c r="Q5" s="26"/>
      <c r="R5" s="26" t="s">
        <v>214</v>
      </c>
      <c r="S5" s="26"/>
      <c r="T5" s="26"/>
      <c r="U5" s="26"/>
      <c r="V5" s="26"/>
      <c r="W5" s="26"/>
      <c r="X5" s="26"/>
    </row>
    <row r="6" ht="18.75" hidden="1" customHeight="1">
      <c r="A6" s="23" t="s">
        <v>190</v>
      </c>
      <c r="B6" s="8" t="s">
        <v>215</v>
      </c>
      <c r="C6" s="23" t="s">
        <v>84</v>
      </c>
      <c r="D6" s="8" t="s">
        <v>85</v>
      </c>
      <c r="E6" s="23" t="s">
        <v>194</v>
      </c>
      <c r="F6" s="23" t="s">
        <v>195</v>
      </c>
      <c r="G6" s="23" t="s">
        <v>203</v>
      </c>
      <c r="H6" s="23" t="s">
        <v>216</v>
      </c>
      <c r="I6" s="23" t="s">
        <v>217</v>
      </c>
      <c r="J6" s="23" t="s">
        <v>198</v>
      </c>
      <c r="K6" s="23" t="str">
        <f t="shared" si="1"/>
        <v>619941</v>
      </c>
      <c r="L6" s="23"/>
      <c r="M6" s="26"/>
      <c r="Q6" s="26"/>
      <c r="R6" s="26" t="s">
        <v>220</v>
      </c>
      <c r="S6" s="26"/>
      <c r="T6" s="26"/>
      <c r="U6" s="26"/>
      <c r="V6" s="26"/>
      <c r="W6" s="26"/>
      <c r="X6" s="26"/>
    </row>
    <row r="7" ht="18.75" hidden="1" customHeight="1">
      <c r="A7" s="10" t="s">
        <v>190</v>
      </c>
      <c r="B7" s="10" t="s">
        <v>221</v>
      </c>
      <c r="C7" s="27" t="s">
        <v>65</v>
      </c>
      <c r="D7" s="10" t="s">
        <v>66</v>
      </c>
      <c r="E7" s="28" t="s">
        <v>194</v>
      </c>
      <c r="F7" s="23" t="s">
        <v>195</v>
      </c>
      <c r="G7" s="23" t="s">
        <v>203</v>
      </c>
      <c r="H7" s="23" t="s">
        <v>222</v>
      </c>
      <c r="I7" s="23" t="s">
        <v>223</v>
      </c>
      <c r="J7" s="23" t="s">
        <v>198</v>
      </c>
      <c r="K7" s="23" t="str">
        <f t="shared" si="1"/>
        <v>622729</v>
      </c>
      <c r="L7" s="23"/>
      <c r="M7" s="29"/>
      <c r="Q7" s="29"/>
      <c r="R7" s="29"/>
      <c r="S7" s="29"/>
      <c r="T7" s="29"/>
      <c r="U7" s="29"/>
      <c r="V7" s="29"/>
      <c r="W7" s="29"/>
      <c r="X7" s="29"/>
    </row>
    <row r="8" ht="18.75" hidden="1" customHeight="1">
      <c r="A8" s="10" t="s">
        <v>190</v>
      </c>
      <c r="B8" s="10" t="s">
        <v>226</v>
      </c>
      <c r="C8" s="27" t="s">
        <v>95</v>
      </c>
      <c r="D8" s="10" t="s">
        <v>97</v>
      </c>
      <c r="E8" s="28" t="s">
        <v>194</v>
      </c>
      <c r="F8" s="23" t="s">
        <v>195</v>
      </c>
      <c r="G8" s="23" t="s">
        <v>196</v>
      </c>
      <c r="H8" s="23" t="s">
        <v>227</v>
      </c>
      <c r="I8" s="23" t="s">
        <v>228</v>
      </c>
      <c r="J8" s="23" t="s">
        <v>229</v>
      </c>
      <c r="K8" s="23" t="str">
        <f t="shared" si="1"/>
        <v>687377</v>
      </c>
      <c r="L8" s="23"/>
      <c r="M8" s="29"/>
      <c r="Q8" s="29"/>
      <c r="R8" s="29"/>
      <c r="S8" s="29"/>
      <c r="T8" s="29"/>
      <c r="U8" s="29"/>
      <c r="V8" s="29"/>
      <c r="W8" s="29"/>
      <c r="X8" s="29"/>
    </row>
    <row r="9" ht="18.75" hidden="1" customHeight="1">
      <c r="A9" s="10" t="s">
        <v>190</v>
      </c>
      <c r="B9" s="10" t="s">
        <v>232</v>
      </c>
      <c r="C9" s="27" t="s">
        <v>44</v>
      </c>
      <c r="D9" s="10" t="s">
        <v>55</v>
      </c>
      <c r="E9" s="28" t="s">
        <v>194</v>
      </c>
      <c r="F9" s="23" t="s">
        <v>195</v>
      </c>
      <c r="G9" s="23" t="s">
        <v>203</v>
      </c>
      <c r="H9" s="23" t="s">
        <v>233</v>
      </c>
      <c r="I9" s="23" t="s">
        <v>234</v>
      </c>
      <c r="J9" s="23" t="s">
        <v>198</v>
      </c>
      <c r="K9" s="23" t="str">
        <f t="shared" si="1"/>
        <v>686516</v>
      </c>
      <c r="L9" s="23"/>
      <c r="M9" s="26"/>
      <c r="Q9" s="26"/>
      <c r="R9" s="26"/>
      <c r="S9" s="26"/>
      <c r="T9" s="26"/>
      <c r="U9" s="26"/>
      <c r="V9" s="26"/>
      <c r="W9" s="26"/>
      <c r="X9" s="26"/>
    </row>
    <row r="10" ht="18.75" hidden="1" customHeight="1">
      <c r="A10" s="10" t="s">
        <v>190</v>
      </c>
      <c r="B10" s="10" t="s">
        <v>236</v>
      </c>
      <c r="C10" s="27" t="s">
        <v>42</v>
      </c>
      <c r="D10" s="31" t="s">
        <v>43</v>
      </c>
      <c r="E10" s="28" t="s">
        <v>194</v>
      </c>
      <c r="F10" s="23" t="s">
        <v>195</v>
      </c>
      <c r="G10" s="23" t="s">
        <v>203</v>
      </c>
      <c r="H10" s="23" t="s">
        <v>233</v>
      </c>
      <c r="I10" s="23" t="s">
        <v>237</v>
      </c>
      <c r="J10" s="23" t="s">
        <v>238</v>
      </c>
      <c r="K10" s="23" t="str">
        <f t="shared" si="1"/>
        <v>603353</v>
      </c>
      <c r="L10" s="23"/>
      <c r="M10" s="26"/>
      <c r="Q10" s="26"/>
      <c r="R10" s="26"/>
      <c r="S10" s="26"/>
      <c r="T10" s="26"/>
      <c r="U10" s="26"/>
      <c r="V10" s="26"/>
      <c r="W10" s="26"/>
      <c r="X10" s="26"/>
    </row>
    <row r="11" ht="18.75" hidden="1" customHeight="1">
      <c r="A11" s="10" t="s">
        <v>190</v>
      </c>
      <c r="B11" s="10" t="s">
        <v>241</v>
      </c>
      <c r="C11" s="27" t="s">
        <v>124</v>
      </c>
      <c r="D11" s="10" t="s">
        <v>125</v>
      </c>
      <c r="E11" s="28" t="s">
        <v>194</v>
      </c>
      <c r="F11" s="23" t="s">
        <v>195</v>
      </c>
      <c r="G11" s="23" t="s">
        <v>203</v>
      </c>
      <c r="H11" s="23" t="s">
        <v>242</v>
      </c>
      <c r="I11" s="23" t="s">
        <v>243</v>
      </c>
      <c r="J11" s="23" t="s">
        <v>229</v>
      </c>
      <c r="K11" s="23" t="str">
        <f t="shared" si="1"/>
        <v>663616</v>
      </c>
      <c r="L11" s="23"/>
      <c r="M11" s="23"/>
      <c r="Q11" s="23"/>
      <c r="R11" s="23"/>
      <c r="S11" s="23"/>
      <c r="T11" s="23"/>
      <c r="U11" s="23"/>
      <c r="V11" s="23"/>
      <c r="W11" s="23"/>
      <c r="X11" s="23"/>
    </row>
    <row r="12" ht="18.75" hidden="1" customHeight="1">
      <c r="A12" s="10" t="s">
        <v>190</v>
      </c>
      <c r="B12" s="10" t="s">
        <v>246</v>
      </c>
      <c r="C12" s="27" t="s">
        <v>45</v>
      </c>
      <c r="D12" s="10" t="s">
        <v>46</v>
      </c>
      <c r="E12" s="28" t="s">
        <v>194</v>
      </c>
      <c r="F12" s="23" t="s">
        <v>195</v>
      </c>
      <c r="G12" s="23" t="s">
        <v>203</v>
      </c>
      <c r="H12" s="23" t="s">
        <v>233</v>
      </c>
      <c r="I12" s="23" t="s">
        <v>247</v>
      </c>
      <c r="J12" s="23" t="s">
        <v>198</v>
      </c>
      <c r="K12" s="23" t="str">
        <f t="shared" si="1"/>
        <v>621043</v>
      </c>
      <c r="L12" s="23"/>
      <c r="M12" s="26"/>
      <c r="Q12" s="26"/>
      <c r="R12" s="26"/>
      <c r="S12" s="26"/>
      <c r="T12" s="26"/>
      <c r="U12" s="26"/>
      <c r="V12" s="26"/>
      <c r="W12" s="26"/>
      <c r="X12" s="26"/>
    </row>
    <row r="13" ht="18.75" hidden="1" customHeight="1">
      <c r="A13" s="10" t="s">
        <v>190</v>
      </c>
      <c r="B13" s="10" t="s">
        <v>250</v>
      </c>
      <c r="C13" s="27" t="s">
        <v>251</v>
      </c>
      <c r="D13" s="10" t="s">
        <v>252</v>
      </c>
      <c r="E13" s="28" t="s">
        <v>194</v>
      </c>
      <c r="F13" s="23" t="s">
        <v>195</v>
      </c>
      <c r="G13" s="23" t="s">
        <v>203</v>
      </c>
      <c r="H13" s="23" t="s">
        <v>222</v>
      </c>
      <c r="I13" s="23" t="s">
        <v>253</v>
      </c>
      <c r="J13" s="23" t="s">
        <v>229</v>
      </c>
      <c r="K13" s="23" t="str">
        <f t="shared" si="1"/>
        <v>686882q</v>
      </c>
      <c r="L13" s="23"/>
      <c r="M13" s="26"/>
      <c r="Q13" s="26"/>
      <c r="R13" s="26"/>
      <c r="S13" s="26"/>
      <c r="T13" s="26"/>
      <c r="U13" s="26"/>
      <c r="V13" s="26"/>
      <c r="W13" s="26"/>
      <c r="X13" s="26"/>
    </row>
    <row r="14" ht="18.75" hidden="1" customHeight="1">
      <c r="A14" s="10" t="s">
        <v>190</v>
      </c>
      <c r="B14" s="10" t="s">
        <v>256</v>
      </c>
      <c r="C14" s="27" t="s">
        <v>132</v>
      </c>
      <c r="D14" s="10" t="s">
        <v>133</v>
      </c>
      <c r="E14" s="28" t="s">
        <v>194</v>
      </c>
      <c r="F14" s="23" t="s">
        <v>195</v>
      </c>
      <c r="G14" s="23" t="s">
        <v>203</v>
      </c>
      <c r="H14" s="23" t="s">
        <v>242</v>
      </c>
      <c r="I14" s="23" t="s">
        <v>243</v>
      </c>
      <c r="J14" s="23" t="s">
        <v>198</v>
      </c>
      <c r="K14" s="23" t="str">
        <f t="shared" si="1"/>
        <v>672502</v>
      </c>
      <c r="L14" s="23"/>
      <c r="M14" s="26"/>
      <c r="Q14" s="26"/>
      <c r="R14" s="26"/>
      <c r="S14" s="26"/>
      <c r="T14" s="26"/>
      <c r="U14" s="26"/>
      <c r="V14" s="26"/>
      <c r="W14" s="26"/>
      <c r="X14" s="26"/>
    </row>
    <row r="15" ht="18.75" hidden="1" customHeight="1">
      <c r="A15" s="10" t="s">
        <v>190</v>
      </c>
      <c r="B15" s="10" t="s">
        <v>259</v>
      </c>
      <c r="C15" s="27" t="s">
        <v>58</v>
      </c>
      <c r="D15" s="10" t="s">
        <v>59</v>
      </c>
      <c r="E15" s="28" t="s">
        <v>194</v>
      </c>
      <c r="F15" s="23" t="s">
        <v>195</v>
      </c>
      <c r="G15" s="23" t="s">
        <v>203</v>
      </c>
      <c r="H15" s="23" t="s">
        <v>233</v>
      </c>
      <c r="I15" s="23" t="s">
        <v>260</v>
      </c>
      <c r="J15" s="23" t="s">
        <v>198</v>
      </c>
      <c r="K15" s="23" t="str">
        <f t="shared" si="1"/>
        <v>686912</v>
      </c>
      <c r="L15" s="23"/>
      <c r="M15" s="26"/>
      <c r="Q15" s="26"/>
      <c r="R15" s="26"/>
      <c r="S15" s="26"/>
      <c r="T15" s="26"/>
      <c r="U15" s="26"/>
      <c r="V15" s="26"/>
      <c r="W15" s="26"/>
      <c r="X15" s="26"/>
    </row>
    <row r="16" ht="18.75" hidden="1" customHeight="1">
      <c r="A16" s="10" t="s">
        <v>190</v>
      </c>
      <c r="B16" s="10" t="s">
        <v>263</v>
      </c>
      <c r="C16" s="27" t="s">
        <v>56</v>
      </c>
      <c r="D16" s="10" t="s">
        <v>57</v>
      </c>
      <c r="E16" s="28" t="s">
        <v>194</v>
      </c>
      <c r="F16" s="23" t="s">
        <v>195</v>
      </c>
      <c r="G16" s="23" t="s">
        <v>203</v>
      </c>
      <c r="H16" s="23" t="s">
        <v>233</v>
      </c>
      <c r="I16" s="23" t="s">
        <v>260</v>
      </c>
      <c r="J16" s="23" t="s">
        <v>198</v>
      </c>
      <c r="K16" s="23" t="str">
        <f t="shared" si="1"/>
        <v>686660</v>
      </c>
      <c r="L16" s="23"/>
      <c r="M16" s="26"/>
      <c r="Q16" s="26"/>
      <c r="R16" s="26"/>
      <c r="S16" s="26"/>
      <c r="T16" s="26"/>
      <c r="U16" s="26"/>
      <c r="V16" s="26"/>
      <c r="W16" s="26"/>
      <c r="X16" s="26"/>
    </row>
    <row r="17" ht="18.75" hidden="1" customHeight="1">
      <c r="A17" s="10" t="s">
        <v>190</v>
      </c>
      <c r="B17" s="10" t="s">
        <v>266</v>
      </c>
      <c r="C17" s="27" t="s">
        <v>166</v>
      </c>
      <c r="D17" s="10" t="s">
        <v>167</v>
      </c>
      <c r="E17" s="28" t="s">
        <v>194</v>
      </c>
      <c r="F17" s="23" t="s">
        <v>195</v>
      </c>
      <c r="G17" s="23" t="s">
        <v>203</v>
      </c>
      <c r="H17" s="23" t="s">
        <v>204</v>
      </c>
      <c r="I17" s="23" t="s">
        <v>267</v>
      </c>
      <c r="J17" s="23" t="s">
        <v>238</v>
      </c>
      <c r="K17" s="23" t="str">
        <f t="shared" si="1"/>
        <v>685250</v>
      </c>
      <c r="L17" s="23"/>
      <c r="M17" s="26"/>
      <c r="Q17" s="26"/>
      <c r="R17" s="26"/>
      <c r="S17" s="26"/>
      <c r="T17" s="26"/>
      <c r="U17" s="26"/>
      <c r="V17" s="26"/>
      <c r="W17" s="26"/>
      <c r="X17" s="26"/>
    </row>
    <row r="18" ht="18.75" hidden="1" customHeight="1">
      <c r="A18" s="10" t="s">
        <v>190</v>
      </c>
      <c r="B18" s="10" t="s">
        <v>270</v>
      </c>
      <c r="C18" s="27" t="s">
        <v>271</v>
      </c>
      <c r="D18" s="10" t="s">
        <v>272</v>
      </c>
      <c r="E18" s="28" t="s">
        <v>194</v>
      </c>
      <c r="F18" s="23" t="s">
        <v>195</v>
      </c>
      <c r="G18" s="23" t="s">
        <v>203</v>
      </c>
      <c r="H18" s="23" t="s">
        <v>242</v>
      </c>
      <c r="I18" s="23" t="s">
        <v>273</v>
      </c>
      <c r="J18" s="23" t="s">
        <v>198</v>
      </c>
      <c r="K18" s="23" t="str">
        <f t="shared" si="1"/>
        <v>687520q</v>
      </c>
      <c r="L18" s="23"/>
      <c r="M18" s="26"/>
      <c r="Q18" s="26"/>
      <c r="R18" s="26"/>
      <c r="S18" s="26"/>
      <c r="T18" s="26"/>
      <c r="U18" s="26"/>
      <c r="V18" s="26"/>
      <c r="W18" s="26"/>
      <c r="X18" s="26"/>
    </row>
    <row r="19" ht="18.75" hidden="1" customHeight="1">
      <c r="A19" s="10" t="s">
        <v>190</v>
      </c>
      <c r="B19" s="10" t="s">
        <v>276</v>
      </c>
      <c r="C19" s="27" t="s">
        <v>130</v>
      </c>
      <c r="D19" s="10" t="s">
        <v>131</v>
      </c>
      <c r="E19" s="28" t="s">
        <v>194</v>
      </c>
      <c r="F19" s="23" t="s">
        <v>195</v>
      </c>
      <c r="G19" s="23" t="s">
        <v>203</v>
      </c>
      <c r="H19" s="23" t="s">
        <v>242</v>
      </c>
      <c r="I19" s="23" t="s">
        <v>243</v>
      </c>
      <c r="J19" s="23" t="s">
        <v>198</v>
      </c>
      <c r="K19" s="23" t="str">
        <f t="shared" si="1"/>
        <v>672496</v>
      </c>
      <c r="L19" s="23"/>
      <c r="M19" s="26"/>
      <c r="Q19" s="26"/>
      <c r="R19" s="26"/>
      <c r="S19" s="26"/>
      <c r="T19" s="26"/>
      <c r="U19" s="26"/>
      <c r="V19" s="26"/>
      <c r="W19" s="26"/>
      <c r="X19" s="26"/>
    </row>
    <row r="20" ht="18.75" hidden="1" customHeight="1">
      <c r="A20" s="10" t="s">
        <v>190</v>
      </c>
      <c r="B20" s="10" t="s">
        <v>279</v>
      </c>
      <c r="C20" s="27" t="s">
        <v>52</v>
      </c>
      <c r="D20" s="10" t="s">
        <v>53</v>
      </c>
      <c r="E20" s="28" t="s">
        <v>194</v>
      </c>
      <c r="F20" s="23" t="s">
        <v>195</v>
      </c>
      <c r="G20" s="23" t="s">
        <v>203</v>
      </c>
      <c r="H20" s="23" t="s">
        <v>233</v>
      </c>
      <c r="I20" s="23" t="s">
        <v>280</v>
      </c>
      <c r="J20" s="23" t="s">
        <v>198</v>
      </c>
      <c r="K20" s="23" t="str">
        <f t="shared" si="1"/>
        <v>681160</v>
      </c>
      <c r="L20" s="23"/>
      <c r="M20" s="26"/>
      <c r="Q20" s="26"/>
      <c r="R20" s="26"/>
      <c r="S20" s="26"/>
      <c r="T20" s="26"/>
      <c r="U20" s="26"/>
      <c r="V20" s="26"/>
      <c r="W20" s="26"/>
      <c r="X20" s="26"/>
    </row>
    <row r="21" ht="18.75" hidden="1" customHeight="1">
      <c r="A21" s="10" t="s">
        <v>190</v>
      </c>
      <c r="B21" s="10" t="s">
        <v>283</v>
      </c>
      <c r="C21" s="27" t="s">
        <v>86</v>
      </c>
      <c r="D21" s="10" t="s">
        <v>87</v>
      </c>
      <c r="E21" s="28" t="s">
        <v>194</v>
      </c>
      <c r="F21" s="23" t="s">
        <v>195</v>
      </c>
      <c r="G21" s="23" t="s">
        <v>203</v>
      </c>
      <c r="H21" s="23" t="s">
        <v>284</v>
      </c>
      <c r="I21" s="23" t="s">
        <v>285</v>
      </c>
      <c r="J21" s="23" t="s">
        <v>198</v>
      </c>
      <c r="K21" s="23" t="str">
        <f t="shared" si="1"/>
        <v>625638</v>
      </c>
      <c r="L21" s="23"/>
      <c r="M21" s="26"/>
      <c r="Q21" s="26"/>
      <c r="R21" s="26"/>
      <c r="S21" s="26"/>
      <c r="T21" s="26"/>
      <c r="U21" s="26"/>
      <c r="V21" s="26"/>
      <c r="W21" s="26"/>
      <c r="X21" s="26"/>
    </row>
    <row r="22" ht="18.75" hidden="1" customHeight="1">
      <c r="A22" s="10" t="s">
        <v>190</v>
      </c>
      <c r="B22" s="10" t="s">
        <v>288</v>
      </c>
      <c r="C22" s="27" t="s">
        <v>69</v>
      </c>
      <c r="D22" s="10" t="s">
        <v>74</v>
      </c>
      <c r="E22" s="28" t="s">
        <v>194</v>
      </c>
      <c r="F22" s="23" t="s">
        <v>195</v>
      </c>
      <c r="G22" s="23" t="s">
        <v>203</v>
      </c>
      <c r="H22" s="23" t="s">
        <v>222</v>
      </c>
      <c r="I22" s="23" t="s">
        <v>289</v>
      </c>
      <c r="J22" s="23" t="s">
        <v>198</v>
      </c>
      <c r="K22" s="23" t="str">
        <f t="shared" si="1"/>
        <v>676425</v>
      </c>
      <c r="L22" s="23"/>
      <c r="M22" s="26"/>
      <c r="Q22" s="26"/>
      <c r="R22" s="26"/>
      <c r="S22" s="26"/>
      <c r="T22" s="26"/>
      <c r="U22" s="26"/>
      <c r="V22" s="26"/>
      <c r="W22" s="26"/>
      <c r="X22" s="26"/>
    </row>
    <row r="23" ht="18.75" hidden="1" customHeight="1">
      <c r="A23" s="10" t="s">
        <v>190</v>
      </c>
      <c r="B23" s="10" t="s">
        <v>292</v>
      </c>
      <c r="C23" s="27" t="s">
        <v>106</v>
      </c>
      <c r="D23" s="10" t="s">
        <v>107</v>
      </c>
      <c r="E23" s="28" t="s">
        <v>194</v>
      </c>
      <c r="F23" s="23" t="s">
        <v>195</v>
      </c>
      <c r="G23" s="23" t="s">
        <v>203</v>
      </c>
      <c r="H23" s="23" t="s">
        <v>293</v>
      </c>
      <c r="I23" s="23" t="s">
        <v>294</v>
      </c>
      <c r="J23" s="23" t="s">
        <v>238</v>
      </c>
      <c r="K23" s="23" t="str">
        <f t="shared" si="1"/>
        <v>681399</v>
      </c>
      <c r="L23" s="23"/>
      <c r="M23" s="26"/>
      <c r="Q23" s="26"/>
      <c r="R23" s="26"/>
      <c r="S23" s="26"/>
      <c r="T23" s="26"/>
      <c r="U23" s="26"/>
      <c r="V23" s="26"/>
      <c r="W23" s="26"/>
      <c r="X23" s="26"/>
    </row>
    <row r="24" hidden="1">
      <c r="A24" s="10" t="s">
        <v>190</v>
      </c>
      <c r="B24" s="10" t="s">
        <v>297</v>
      </c>
      <c r="C24" s="27" t="s">
        <v>93</v>
      </c>
      <c r="D24" s="10" t="s">
        <v>96</v>
      </c>
      <c r="E24" s="28" t="s">
        <v>194</v>
      </c>
      <c r="F24" s="23" t="s">
        <v>195</v>
      </c>
      <c r="G24" s="23" t="s">
        <v>196</v>
      </c>
      <c r="H24" s="23" t="s">
        <v>227</v>
      </c>
      <c r="I24" s="23" t="s">
        <v>228</v>
      </c>
      <c r="J24" s="23" t="s">
        <v>229</v>
      </c>
      <c r="K24" s="23" t="str">
        <f t="shared" si="1"/>
        <v>687360</v>
      </c>
      <c r="L24" s="23"/>
      <c r="M24" s="26"/>
      <c r="Q24" s="26"/>
      <c r="R24" s="26"/>
      <c r="S24" s="26"/>
      <c r="T24" s="26"/>
      <c r="U24" s="26"/>
      <c r="V24" s="26"/>
      <c r="W24" s="26"/>
      <c r="X24" s="26"/>
    </row>
    <row r="25" hidden="1">
      <c r="A25" s="10" t="s">
        <v>190</v>
      </c>
      <c r="B25" s="10" t="s">
        <v>300</v>
      </c>
      <c r="C25" s="27" t="s">
        <v>51</v>
      </c>
      <c r="D25" s="10" t="s">
        <v>63</v>
      </c>
      <c r="E25" s="28" t="s">
        <v>194</v>
      </c>
      <c r="F25" s="23" t="s">
        <v>195</v>
      </c>
      <c r="G25" s="23" t="s">
        <v>203</v>
      </c>
      <c r="H25" s="23" t="s">
        <v>233</v>
      </c>
      <c r="I25" s="23" t="s">
        <v>280</v>
      </c>
      <c r="J25" s="23" t="s">
        <v>229</v>
      </c>
      <c r="K25" s="23" t="str">
        <f t="shared" si="1"/>
        <v>688374</v>
      </c>
      <c r="L25" s="23"/>
      <c r="M25" s="26"/>
      <c r="Q25" s="26"/>
      <c r="R25" s="26"/>
      <c r="S25" s="26"/>
      <c r="T25" s="26"/>
      <c r="U25" s="26"/>
      <c r="V25" s="26"/>
      <c r="W25" s="26"/>
      <c r="X25" s="26"/>
    </row>
    <row r="26" hidden="1">
      <c r="A26" s="10" t="s">
        <v>190</v>
      </c>
      <c r="B26" s="10" t="s">
        <v>303</v>
      </c>
      <c r="C26" s="27" t="s">
        <v>112</v>
      </c>
      <c r="D26" s="10" t="s">
        <v>113</v>
      </c>
      <c r="E26" s="28" t="s">
        <v>194</v>
      </c>
      <c r="F26" s="23" t="s">
        <v>195</v>
      </c>
      <c r="G26" s="23" t="s">
        <v>203</v>
      </c>
      <c r="H26" s="23" t="s">
        <v>293</v>
      </c>
      <c r="I26" s="23" t="s">
        <v>294</v>
      </c>
      <c r="J26" s="23" t="s">
        <v>238</v>
      </c>
      <c r="K26" s="23" t="str">
        <f t="shared" si="1"/>
        <v>681429</v>
      </c>
      <c r="L26" s="23"/>
      <c r="M26" s="26"/>
      <c r="Q26" s="26"/>
      <c r="R26" s="26"/>
      <c r="S26" s="26"/>
      <c r="T26" s="26"/>
      <c r="U26" s="26"/>
      <c r="V26" s="26"/>
      <c r="W26" s="26"/>
      <c r="X26" s="26"/>
    </row>
    <row r="27" hidden="1">
      <c r="A27" s="10" t="s">
        <v>190</v>
      </c>
      <c r="B27" s="10" t="s">
        <v>306</v>
      </c>
      <c r="C27" s="27" t="s">
        <v>307</v>
      </c>
      <c r="D27" s="10" t="s">
        <v>308</v>
      </c>
      <c r="E27" s="28" t="s">
        <v>194</v>
      </c>
      <c r="F27" s="23" t="s">
        <v>195</v>
      </c>
      <c r="G27" s="23" t="s">
        <v>203</v>
      </c>
      <c r="H27" s="23" t="s">
        <v>309</v>
      </c>
      <c r="I27" s="23" t="s">
        <v>310</v>
      </c>
      <c r="J27" s="23" t="s">
        <v>198</v>
      </c>
      <c r="K27" s="23" t="str">
        <f t="shared" si="1"/>
        <v>673332q</v>
      </c>
      <c r="L27" s="23"/>
      <c r="M27" s="26"/>
      <c r="Q27" s="26"/>
      <c r="R27" s="26"/>
      <c r="S27" s="26"/>
      <c r="T27" s="26"/>
      <c r="U27" s="26"/>
      <c r="V27" s="26"/>
      <c r="W27" s="26"/>
      <c r="X27" s="26"/>
    </row>
    <row r="28" hidden="1">
      <c r="A28" s="10" t="s">
        <v>190</v>
      </c>
      <c r="B28" s="10" t="s">
        <v>313</v>
      </c>
      <c r="C28" s="27" t="s">
        <v>314</v>
      </c>
      <c r="D28" s="10" t="s">
        <v>315</v>
      </c>
      <c r="E28" s="28" t="s">
        <v>194</v>
      </c>
      <c r="F28" s="23" t="s">
        <v>195</v>
      </c>
      <c r="G28" s="23" t="s">
        <v>203</v>
      </c>
      <c r="H28" s="23" t="s">
        <v>242</v>
      </c>
      <c r="I28" s="23" t="s">
        <v>273</v>
      </c>
      <c r="J28" s="23" t="s">
        <v>198</v>
      </c>
      <c r="K28" s="23" t="str">
        <f t="shared" si="1"/>
        <v>685854q</v>
      </c>
      <c r="L28" s="23"/>
      <c r="M28" s="26"/>
      <c r="Q28" s="26"/>
      <c r="R28" s="26"/>
      <c r="S28" s="26"/>
      <c r="T28" s="26"/>
      <c r="U28" s="26"/>
      <c r="V28" s="26"/>
      <c r="W28" s="26"/>
      <c r="X28" s="26"/>
    </row>
    <row r="29" hidden="1">
      <c r="A29" s="10" t="s">
        <v>190</v>
      </c>
      <c r="B29" s="10" t="s">
        <v>318</v>
      </c>
      <c r="C29" s="27" t="s">
        <v>108</v>
      </c>
      <c r="D29" s="10" t="s">
        <v>109</v>
      </c>
      <c r="E29" s="28" t="s">
        <v>194</v>
      </c>
      <c r="F29" s="23" t="s">
        <v>195</v>
      </c>
      <c r="G29" s="23" t="s">
        <v>203</v>
      </c>
      <c r="H29" s="23" t="s">
        <v>293</v>
      </c>
      <c r="I29" s="23" t="s">
        <v>294</v>
      </c>
      <c r="J29" s="23" t="s">
        <v>238</v>
      </c>
      <c r="K29" s="23" t="str">
        <f t="shared" si="1"/>
        <v>681405</v>
      </c>
      <c r="L29" s="23"/>
      <c r="M29" s="26"/>
      <c r="Q29" s="26"/>
      <c r="R29" s="26"/>
      <c r="S29" s="26"/>
      <c r="T29" s="26"/>
      <c r="U29" s="26"/>
      <c r="V29" s="26"/>
      <c r="W29" s="26"/>
      <c r="X29" s="26"/>
    </row>
    <row r="30" hidden="1">
      <c r="A30" s="10" t="s">
        <v>190</v>
      </c>
      <c r="B30" s="10" t="s">
        <v>320</v>
      </c>
      <c r="C30" s="27" t="s">
        <v>72</v>
      </c>
      <c r="D30" s="10" t="s">
        <v>73</v>
      </c>
      <c r="E30" s="28" t="s">
        <v>194</v>
      </c>
      <c r="F30" s="23" t="s">
        <v>195</v>
      </c>
      <c r="G30" s="23" t="s">
        <v>203</v>
      </c>
      <c r="H30" s="23" t="s">
        <v>222</v>
      </c>
      <c r="I30" s="23" t="s">
        <v>321</v>
      </c>
      <c r="J30" s="23" t="s">
        <v>198</v>
      </c>
      <c r="K30" s="23" t="str">
        <f t="shared" si="1"/>
        <v>676395</v>
      </c>
      <c r="L30" s="23"/>
      <c r="M30" s="26"/>
      <c r="Q30" s="26"/>
      <c r="R30" s="26"/>
      <c r="S30" s="26"/>
      <c r="T30" s="26"/>
      <c r="U30" s="26"/>
      <c r="V30" s="26"/>
      <c r="W30" s="26"/>
      <c r="X30" s="26"/>
    </row>
    <row r="31" hidden="1">
      <c r="A31" s="10" t="s">
        <v>190</v>
      </c>
      <c r="B31" s="10" t="s">
        <v>324</v>
      </c>
      <c r="C31" s="27" t="s">
        <v>54</v>
      </c>
      <c r="D31" s="10" t="s">
        <v>62</v>
      </c>
      <c r="E31" s="28" t="s">
        <v>194</v>
      </c>
      <c r="F31" s="23" t="s">
        <v>195</v>
      </c>
      <c r="G31" s="23" t="s">
        <v>203</v>
      </c>
      <c r="H31" s="23" t="s">
        <v>233</v>
      </c>
      <c r="I31" s="23" t="s">
        <v>260</v>
      </c>
      <c r="J31" s="23" t="s">
        <v>238</v>
      </c>
      <c r="K31" s="23" t="str">
        <f t="shared" si="1"/>
        <v>688312</v>
      </c>
      <c r="L31" s="23"/>
      <c r="M31" s="26"/>
      <c r="Q31" s="26"/>
      <c r="R31" s="26"/>
      <c r="S31" s="26"/>
      <c r="T31" s="26"/>
      <c r="U31" s="26"/>
      <c r="V31" s="26"/>
      <c r="W31" s="26"/>
      <c r="X31" s="26"/>
    </row>
    <row r="32" hidden="1">
      <c r="A32" s="10" t="s">
        <v>190</v>
      </c>
      <c r="B32" s="10" t="s">
        <v>327</v>
      </c>
      <c r="C32" s="27" t="s">
        <v>328</v>
      </c>
      <c r="D32" s="10" t="s">
        <v>329</v>
      </c>
      <c r="E32" s="28" t="s">
        <v>194</v>
      </c>
      <c r="F32" s="23" t="s">
        <v>195</v>
      </c>
      <c r="G32" s="23" t="s">
        <v>203</v>
      </c>
      <c r="H32" s="23" t="s">
        <v>330</v>
      </c>
      <c r="I32" s="23" t="s">
        <v>331</v>
      </c>
      <c r="J32" s="23" t="s">
        <v>198</v>
      </c>
      <c r="K32" s="23" t="str">
        <f t="shared" si="1"/>
        <v>690919</v>
      </c>
      <c r="L32" s="23"/>
      <c r="M32" s="26"/>
      <c r="Q32" s="26"/>
      <c r="R32" s="26"/>
      <c r="S32" s="26"/>
      <c r="T32" s="26"/>
      <c r="U32" s="26"/>
      <c r="V32" s="26"/>
      <c r="W32" s="26"/>
      <c r="X32" s="26"/>
    </row>
    <row r="33" hidden="1">
      <c r="A33" s="10" t="s">
        <v>190</v>
      </c>
      <c r="B33" s="10" t="s">
        <v>334</v>
      </c>
      <c r="C33" s="27" t="s">
        <v>146</v>
      </c>
      <c r="D33" s="10" t="s">
        <v>147</v>
      </c>
      <c r="E33" s="28" t="s">
        <v>194</v>
      </c>
      <c r="F33" s="23" t="s">
        <v>195</v>
      </c>
      <c r="G33" s="23" t="s">
        <v>203</v>
      </c>
      <c r="H33" s="23" t="s">
        <v>233</v>
      </c>
      <c r="I33" s="23" t="s">
        <v>260</v>
      </c>
      <c r="J33" s="23" t="s">
        <v>198</v>
      </c>
      <c r="K33" s="23" t="str">
        <f t="shared" si="1"/>
        <v>603360</v>
      </c>
      <c r="L33" s="23"/>
      <c r="M33" s="26"/>
      <c r="Q33" s="26"/>
      <c r="R33" s="26"/>
      <c r="S33" s="26"/>
      <c r="T33" s="26"/>
      <c r="U33" s="26"/>
      <c r="V33" s="26"/>
      <c r="W33" s="26"/>
      <c r="X33" s="26"/>
    </row>
    <row r="34" hidden="1">
      <c r="A34" s="10" t="s">
        <v>190</v>
      </c>
      <c r="B34" s="10" t="s">
        <v>337</v>
      </c>
      <c r="C34" s="27" t="s">
        <v>82</v>
      </c>
      <c r="D34" s="10" t="s">
        <v>83</v>
      </c>
      <c r="E34" s="28" t="s">
        <v>194</v>
      </c>
      <c r="F34" s="23" t="s">
        <v>195</v>
      </c>
      <c r="G34" s="23" t="s">
        <v>203</v>
      </c>
      <c r="H34" s="23" t="s">
        <v>216</v>
      </c>
      <c r="I34" s="23" t="s">
        <v>338</v>
      </c>
      <c r="J34" s="23" t="s">
        <v>198</v>
      </c>
      <c r="K34" s="23" t="str">
        <f t="shared" si="1"/>
        <v>601588</v>
      </c>
      <c r="L34" s="23"/>
      <c r="M34" s="26"/>
      <c r="Q34" s="26"/>
      <c r="R34" s="26"/>
      <c r="S34" s="26"/>
      <c r="T34" s="26"/>
      <c r="U34" s="26"/>
      <c r="V34" s="26"/>
      <c r="W34" s="26"/>
      <c r="X34" s="26"/>
    </row>
    <row r="35" hidden="1">
      <c r="A35" s="10" t="s">
        <v>190</v>
      </c>
      <c r="B35" s="10" t="s">
        <v>341</v>
      </c>
      <c r="C35" s="27" t="s">
        <v>342</v>
      </c>
      <c r="D35" s="10" t="s">
        <v>343</v>
      </c>
      <c r="E35" s="28" t="s">
        <v>194</v>
      </c>
      <c r="F35" s="23" t="s">
        <v>195</v>
      </c>
      <c r="G35" s="23" t="s">
        <v>203</v>
      </c>
      <c r="H35" s="23" t="s">
        <v>242</v>
      </c>
      <c r="I35" s="23" t="s">
        <v>243</v>
      </c>
      <c r="J35" s="23" t="s">
        <v>229</v>
      </c>
      <c r="K35" s="23" t="str">
        <f t="shared" si="1"/>
        <v>666426q</v>
      </c>
      <c r="L35" s="23"/>
      <c r="M35" s="26"/>
      <c r="Q35" s="26"/>
      <c r="R35" s="26"/>
      <c r="S35" s="26"/>
      <c r="T35" s="26"/>
      <c r="U35" s="26"/>
      <c r="V35" s="26"/>
      <c r="W35" s="26"/>
      <c r="X35" s="26"/>
    </row>
    <row r="36" hidden="1">
      <c r="A36" s="10" t="s">
        <v>190</v>
      </c>
      <c r="B36" s="10" t="s">
        <v>346</v>
      </c>
      <c r="C36" s="27" t="s">
        <v>347</v>
      </c>
      <c r="D36" s="10" t="s">
        <v>348</v>
      </c>
      <c r="E36" s="28" t="s">
        <v>194</v>
      </c>
      <c r="F36" s="23" t="s">
        <v>195</v>
      </c>
      <c r="G36" s="23" t="s">
        <v>203</v>
      </c>
      <c r="H36" s="23" t="s">
        <v>349</v>
      </c>
      <c r="I36" s="23" t="s">
        <v>223</v>
      </c>
      <c r="J36" s="23" t="s">
        <v>198</v>
      </c>
      <c r="K36" s="23" t="str">
        <f t="shared" si="1"/>
        <v>687667q</v>
      </c>
      <c r="L36" s="23"/>
      <c r="M36" s="26"/>
      <c r="Q36" s="26"/>
      <c r="R36" s="26"/>
      <c r="S36" s="26"/>
      <c r="T36" s="26"/>
      <c r="U36" s="26"/>
      <c r="V36" s="26"/>
      <c r="W36" s="26"/>
      <c r="X36" s="26"/>
    </row>
    <row r="37" hidden="1">
      <c r="A37" s="10" t="s">
        <v>190</v>
      </c>
      <c r="B37" s="10" t="s">
        <v>352</v>
      </c>
      <c r="C37" s="27" t="s">
        <v>110</v>
      </c>
      <c r="D37" s="10" t="s">
        <v>111</v>
      </c>
      <c r="E37" s="28" t="s">
        <v>194</v>
      </c>
      <c r="F37" s="23" t="s">
        <v>195</v>
      </c>
      <c r="G37" s="23" t="s">
        <v>203</v>
      </c>
      <c r="H37" s="23" t="s">
        <v>293</v>
      </c>
      <c r="I37" s="23" t="s">
        <v>294</v>
      </c>
      <c r="J37" s="23" t="s">
        <v>238</v>
      </c>
      <c r="K37" s="23" t="str">
        <f t="shared" si="1"/>
        <v>681412</v>
      </c>
      <c r="L37" s="23"/>
      <c r="M37" s="26"/>
      <c r="Q37" s="26"/>
      <c r="R37" s="26"/>
      <c r="S37" s="26"/>
      <c r="T37" s="26"/>
      <c r="U37" s="26"/>
      <c r="V37" s="26"/>
      <c r="W37" s="26"/>
      <c r="X37" s="26"/>
    </row>
    <row r="38" hidden="1">
      <c r="A38" s="10" t="s">
        <v>190</v>
      </c>
      <c r="B38" s="10" t="s">
        <v>355</v>
      </c>
      <c r="C38" s="27" t="s">
        <v>168</v>
      </c>
      <c r="D38" s="10" t="s">
        <v>169</v>
      </c>
      <c r="E38" s="28" t="s">
        <v>194</v>
      </c>
      <c r="F38" s="23" t="s">
        <v>195</v>
      </c>
      <c r="G38" s="23" t="s">
        <v>203</v>
      </c>
      <c r="H38" s="23" t="s">
        <v>233</v>
      </c>
      <c r="I38" s="23" t="s">
        <v>234</v>
      </c>
      <c r="J38" s="23" t="s">
        <v>198</v>
      </c>
      <c r="K38" s="23" t="str">
        <f t="shared" si="1"/>
        <v>686530</v>
      </c>
      <c r="L38" s="23"/>
      <c r="M38" s="26"/>
      <c r="Q38" s="26"/>
      <c r="R38" s="26"/>
      <c r="S38" s="26"/>
      <c r="T38" s="26"/>
      <c r="U38" s="26"/>
      <c r="V38" s="26"/>
      <c r="W38" s="26"/>
      <c r="X38" s="26"/>
    </row>
    <row r="39" hidden="1">
      <c r="A39" s="10" t="s">
        <v>190</v>
      </c>
      <c r="B39" s="10" t="s">
        <v>358</v>
      </c>
      <c r="C39" s="27" t="s">
        <v>359</v>
      </c>
      <c r="D39" s="10" t="s">
        <v>360</v>
      </c>
      <c r="E39" s="28" t="s">
        <v>194</v>
      </c>
      <c r="F39" s="23" t="s">
        <v>195</v>
      </c>
      <c r="G39" s="23" t="s">
        <v>203</v>
      </c>
      <c r="H39" s="23" t="s">
        <v>349</v>
      </c>
      <c r="I39" s="23" t="s">
        <v>223</v>
      </c>
      <c r="J39" s="23" t="s">
        <v>198</v>
      </c>
      <c r="K39" s="23" t="str">
        <f t="shared" si="1"/>
        <v>688145q</v>
      </c>
      <c r="L39" s="23"/>
      <c r="M39" s="26"/>
      <c r="Q39" s="26"/>
      <c r="R39" s="26"/>
      <c r="S39" s="26"/>
      <c r="T39" s="26"/>
      <c r="U39" s="26"/>
      <c r="V39" s="26"/>
      <c r="W39" s="26"/>
      <c r="X39" s="26"/>
    </row>
    <row r="40" hidden="1">
      <c r="A40" s="10" t="s">
        <v>190</v>
      </c>
      <c r="B40" s="10" t="s">
        <v>363</v>
      </c>
      <c r="C40" s="27" t="s">
        <v>172</v>
      </c>
      <c r="D40" s="10" t="s">
        <v>173</v>
      </c>
      <c r="E40" s="28" t="s">
        <v>194</v>
      </c>
      <c r="F40" s="23" t="s">
        <v>195</v>
      </c>
      <c r="G40" s="23" t="s">
        <v>203</v>
      </c>
      <c r="H40" s="23" t="s">
        <v>242</v>
      </c>
      <c r="I40" s="23" t="s">
        <v>364</v>
      </c>
      <c r="J40" s="23" t="s">
        <v>198</v>
      </c>
      <c r="K40" s="23" t="str">
        <f t="shared" si="1"/>
        <v>687124</v>
      </c>
      <c r="L40" s="23"/>
      <c r="M40" s="26"/>
      <c r="Q40" s="26"/>
      <c r="R40" s="26"/>
      <c r="S40" s="26"/>
      <c r="T40" s="26"/>
      <c r="U40" s="26"/>
      <c r="V40" s="26"/>
      <c r="W40" s="26"/>
      <c r="X40" s="26"/>
    </row>
    <row r="41" hidden="1">
      <c r="A41" s="10" t="s">
        <v>190</v>
      </c>
      <c r="B41" s="10" t="s">
        <v>367</v>
      </c>
      <c r="C41" s="27" t="s">
        <v>154</v>
      </c>
      <c r="D41" s="10" t="s">
        <v>155</v>
      </c>
      <c r="E41" s="28" t="s">
        <v>194</v>
      </c>
      <c r="F41" s="23" t="s">
        <v>195</v>
      </c>
      <c r="G41" s="23" t="s">
        <v>203</v>
      </c>
      <c r="H41" s="23" t="s">
        <v>222</v>
      </c>
      <c r="I41" s="23" t="s">
        <v>368</v>
      </c>
      <c r="J41" s="23" t="s">
        <v>198</v>
      </c>
      <c r="K41" s="23" t="str">
        <f t="shared" si="1"/>
        <v>659497</v>
      </c>
      <c r="L41" s="23"/>
      <c r="M41" s="26"/>
      <c r="Q41" s="26"/>
      <c r="R41" s="26"/>
      <c r="S41" s="26"/>
      <c r="T41" s="26"/>
      <c r="U41" s="26"/>
      <c r="V41" s="26"/>
      <c r="W41" s="26"/>
      <c r="X41" s="26"/>
    </row>
    <row r="42" hidden="1">
      <c r="A42" s="10" t="s">
        <v>190</v>
      </c>
      <c r="B42" s="10" t="s">
        <v>371</v>
      </c>
      <c r="C42" s="27" t="s">
        <v>372</v>
      </c>
      <c r="D42" s="10" t="s">
        <v>373</v>
      </c>
      <c r="E42" s="28" t="s">
        <v>194</v>
      </c>
      <c r="F42" s="23" t="s">
        <v>195</v>
      </c>
      <c r="G42" s="23" t="s">
        <v>374</v>
      </c>
      <c r="H42" s="23" t="s">
        <v>375</v>
      </c>
      <c r="I42" s="32"/>
      <c r="J42" s="23" t="s">
        <v>198</v>
      </c>
      <c r="K42" s="23" t="str">
        <f t="shared" si="1"/>
        <v>691367q</v>
      </c>
      <c r="L42" s="23"/>
      <c r="M42" s="26"/>
      <c r="Q42" s="26"/>
      <c r="R42" s="26"/>
      <c r="S42" s="26"/>
      <c r="T42" s="26"/>
      <c r="U42" s="26"/>
      <c r="V42" s="26"/>
      <c r="W42" s="26"/>
      <c r="X42" s="26"/>
    </row>
    <row r="43" hidden="1">
      <c r="A43" s="10" t="s">
        <v>190</v>
      </c>
      <c r="B43" s="10" t="s">
        <v>378</v>
      </c>
      <c r="C43" s="27" t="s">
        <v>379</v>
      </c>
      <c r="D43" s="10" t="s">
        <v>380</v>
      </c>
      <c r="E43" s="28" t="s">
        <v>194</v>
      </c>
      <c r="F43" s="23" t="s">
        <v>195</v>
      </c>
      <c r="G43" s="23" t="s">
        <v>374</v>
      </c>
      <c r="H43" s="23" t="s">
        <v>375</v>
      </c>
      <c r="I43" s="32"/>
      <c r="J43" s="23" t="s">
        <v>198</v>
      </c>
      <c r="K43" s="23" t="str">
        <f t="shared" si="1"/>
        <v>691350q</v>
      </c>
      <c r="L43" s="23"/>
      <c r="M43" s="26"/>
      <c r="Q43" s="26"/>
      <c r="R43" s="26"/>
      <c r="S43" s="26"/>
      <c r="T43" s="26"/>
      <c r="U43" s="26"/>
      <c r="V43" s="26"/>
      <c r="W43" s="26"/>
      <c r="X43" s="26"/>
    </row>
    <row r="44" hidden="1">
      <c r="A44" s="10" t="s">
        <v>190</v>
      </c>
      <c r="B44" s="10" t="s">
        <v>383</v>
      </c>
      <c r="C44" s="27" t="s">
        <v>104</v>
      </c>
      <c r="D44" s="10" t="s">
        <v>105</v>
      </c>
      <c r="E44" s="28" t="s">
        <v>194</v>
      </c>
      <c r="F44" s="23" t="s">
        <v>195</v>
      </c>
      <c r="G44" s="23" t="s">
        <v>203</v>
      </c>
      <c r="H44" s="23" t="s">
        <v>293</v>
      </c>
      <c r="I44" s="23" t="s">
        <v>294</v>
      </c>
      <c r="J44" s="23" t="s">
        <v>238</v>
      </c>
      <c r="K44" s="23" t="str">
        <f t="shared" si="1"/>
        <v>681382</v>
      </c>
      <c r="L44" s="23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</row>
    <row r="45" hidden="1">
      <c r="A45" s="10" t="s">
        <v>190</v>
      </c>
      <c r="B45" s="10" t="s">
        <v>384</v>
      </c>
      <c r="C45" s="27" t="s">
        <v>385</v>
      </c>
      <c r="D45" s="10" t="s">
        <v>386</v>
      </c>
      <c r="E45" s="28" t="s">
        <v>194</v>
      </c>
      <c r="F45" s="23" t="s">
        <v>195</v>
      </c>
      <c r="G45" s="23" t="s">
        <v>203</v>
      </c>
      <c r="H45" s="23" t="s">
        <v>349</v>
      </c>
      <c r="I45" s="23" t="s">
        <v>223</v>
      </c>
      <c r="J45" s="23" t="s">
        <v>198</v>
      </c>
      <c r="K45" s="23" t="str">
        <f t="shared" si="1"/>
        <v>685205q</v>
      </c>
      <c r="L45" s="23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</row>
    <row r="46" hidden="1">
      <c r="A46" s="10" t="s">
        <v>190</v>
      </c>
      <c r="B46" s="10" t="s">
        <v>387</v>
      </c>
      <c r="C46" s="27" t="s">
        <v>60</v>
      </c>
      <c r="D46" s="10" t="s">
        <v>61</v>
      </c>
      <c r="E46" s="28" t="s">
        <v>194</v>
      </c>
      <c r="F46" s="23" t="s">
        <v>195</v>
      </c>
      <c r="G46" s="23" t="s">
        <v>203</v>
      </c>
      <c r="H46" s="23" t="s">
        <v>233</v>
      </c>
      <c r="I46" s="23" t="s">
        <v>280</v>
      </c>
      <c r="J46" s="23" t="s">
        <v>238</v>
      </c>
      <c r="K46" s="23" t="str">
        <f t="shared" si="1"/>
        <v>688299</v>
      </c>
      <c r="L46" s="23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</row>
    <row r="47" hidden="1">
      <c r="A47" s="10" t="s">
        <v>190</v>
      </c>
      <c r="B47" s="10" t="s">
        <v>388</v>
      </c>
      <c r="C47" s="27" t="s">
        <v>98</v>
      </c>
      <c r="D47" s="10" t="s">
        <v>99</v>
      </c>
      <c r="E47" s="28" t="s">
        <v>194</v>
      </c>
      <c r="F47" s="23" t="s">
        <v>195</v>
      </c>
      <c r="G47" s="23" t="s">
        <v>203</v>
      </c>
      <c r="H47" s="23" t="s">
        <v>216</v>
      </c>
      <c r="I47" s="23" t="s">
        <v>223</v>
      </c>
      <c r="J47" s="23" t="s">
        <v>198</v>
      </c>
      <c r="K47" s="23" t="str">
        <f t="shared" si="1"/>
        <v>688473</v>
      </c>
      <c r="L47" s="23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</row>
    <row r="48" hidden="1">
      <c r="A48" s="10" t="s">
        <v>190</v>
      </c>
      <c r="B48" s="10" t="s">
        <v>389</v>
      </c>
      <c r="C48" s="27" t="s">
        <v>162</v>
      </c>
      <c r="D48" s="10" t="s">
        <v>163</v>
      </c>
      <c r="E48" s="28" t="s">
        <v>194</v>
      </c>
      <c r="F48" s="23" t="s">
        <v>195</v>
      </c>
      <c r="G48" s="23" t="s">
        <v>196</v>
      </c>
      <c r="H48" s="23" t="s">
        <v>390</v>
      </c>
      <c r="I48" s="23" t="s">
        <v>391</v>
      </c>
      <c r="J48" s="23" t="s">
        <v>238</v>
      </c>
      <c r="K48" s="23" t="str">
        <f t="shared" si="1"/>
        <v>665849</v>
      </c>
      <c r="L48" s="23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</row>
    <row r="49" hidden="1">
      <c r="A49" s="10" t="s">
        <v>190</v>
      </c>
      <c r="B49" s="10" t="s">
        <v>392</v>
      </c>
      <c r="C49" s="27" t="s">
        <v>393</v>
      </c>
      <c r="D49" s="10" t="s">
        <v>394</v>
      </c>
      <c r="E49" s="28" t="s">
        <v>194</v>
      </c>
      <c r="F49" s="23" t="s">
        <v>195</v>
      </c>
      <c r="G49" s="23" t="s">
        <v>203</v>
      </c>
      <c r="H49" s="23" t="s">
        <v>204</v>
      </c>
      <c r="I49" s="23" t="s">
        <v>205</v>
      </c>
      <c r="J49" s="23" t="s">
        <v>198</v>
      </c>
      <c r="K49" s="23" t="str">
        <f t="shared" si="1"/>
        <v>635910w</v>
      </c>
      <c r="L49" s="23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</row>
    <row r="50" hidden="1">
      <c r="A50" s="10" t="s">
        <v>190</v>
      </c>
      <c r="B50" s="10" t="s">
        <v>395</v>
      </c>
      <c r="C50" s="27" t="s">
        <v>47</v>
      </c>
      <c r="D50" s="10" t="s">
        <v>48</v>
      </c>
      <c r="E50" s="28" t="s">
        <v>194</v>
      </c>
      <c r="F50" s="23" t="s">
        <v>195</v>
      </c>
      <c r="G50" s="23" t="s">
        <v>203</v>
      </c>
      <c r="H50" s="23" t="s">
        <v>216</v>
      </c>
      <c r="I50" s="23" t="s">
        <v>396</v>
      </c>
      <c r="J50" s="23" t="s">
        <v>198</v>
      </c>
      <c r="K50" s="23" t="str">
        <f t="shared" si="1"/>
        <v>634692</v>
      </c>
      <c r="L50" s="23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</row>
    <row r="51" hidden="1">
      <c r="A51" s="10" t="s">
        <v>190</v>
      </c>
      <c r="B51" s="10" t="s">
        <v>397</v>
      </c>
      <c r="C51" s="27" t="s">
        <v>398</v>
      </c>
      <c r="D51" s="10" t="s">
        <v>399</v>
      </c>
      <c r="E51" s="28" t="s">
        <v>194</v>
      </c>
      <c r="F51" s="23" t="s">
        <v>195</v>
      </c>
      <c r="G51" s="23" t="s">
        <v>203</v>
      </c>
      <c r="H51" s="23" t="s">
        <v>242</v>
      </c>
      <c r="I51" s="23" t="s">
        <v>364</v>
      </c>
      <c r="J51" s="23" t="s">
        <v>198</v>
      </c>
      <c r="K51" s="23" t="str">
        <f t="shared" si="1"/>
        <v>651453w</v>
      </c>
      <c r="L51" s="23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</row>
    <row r="52" hidden="1">
      <c r="A52" s="10" t="s">
        <v>190</v>
      </c>
      <c r="B52" s="10" t="s">
        <v>400</v>
      </c>
      <c r="C52" s="27" t="s">
        <v>319</v>
      </c>
      <c r="D52" s="10" t="s">
        <v>25</v>
      </c>
      <c r="E52" s="28" t="s">
        <v>194</v>
      </c>
      <c r="F52" s="23" t="s">
        <v>195</v>
      </c>
      <c r="G52" s="23" t="s">
        <v>401</v>
      </c>
      <c r="H52" s="23" t="s">
        <v>402</v>
      </c>
      <c r="I52" s="32"/>
      <c r="J52" s="23" t="s">
        <v>198</v>
      </c>
      <c r="K52" s="23" t="str">
        <f t="shared" si="1"/>
        <v>690469w</v>
      </c>
      <c r="L52" s="23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</row>
    <row r="53" hidden="1">
      <c r="A53" s="10" t="s">
        <v>190</v>
      </c>
      <c r="B53" s="10" t="s">
        <v>403</v>
      </c>
      <c r="C53" s="27" t="s">
        <v>404</v>
      </c>
      <c r="D53" s="10" t="s">
        <v>405</v>
      </c>
      <c r="E53" s="28" t="s">
        <v>194</v>
      </c>
      <c r="F53" s="23" t="s">
        <v>195</v>
      </c>
      <c r="G53" s="23" t="s">
        <v>374</v>
      </c>
      <c r="H53" s="23" t="s">
        <v>375</v>
      </c>
      <c r="I53" s="32"/>
      <c r="J53" s="23" t="s">
        <v>198</v>
      </c>
      <c r="K53" s="23" t="str">
        <f t="shared" si="1"/>
        <v>691367</v>
      </c>
      <c r="L53" s="23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</row>
    <row r="54" hidden="1">
      <c r="A54" s="10" t="s">
        <v>190</v>
      </c>
      <c r="B54" s="10" t="s">
        <v>406</v>
      </c>
      <c r="C54" s="27" t="s">
        <v>333</v>
      </c>
      <c r="D54" s="10" t="s">
        <v>332</v>
      </c>
      <c r="E54" s="28" t="s">
        <v>194</v>
      </c>
      <c r="F54" s="23" t="s">
        <v>195</v>
      </c>
      <c r="G54" s="23" t="s">
        <v>401</v>
      </c>
      <c r="H54" s="23" t="s">
        <v>402</v>
      </c>
      <c r="I54" s="32"/>
      <c r="J54" s="23" t="s">
        <v>198</v>
      </c>
      <c r="K54" s="23" t="str">
        <f t="shared" si="1"/>
        <v>690117</v>
      </c>
      <c r="L54" s="23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</row>
    <row r="55" hidden="1">
      <c r="A55" s="10" t="s">
        <v>190</v>
      </c>
      <c r="B55" s="10" t="s">
        <v>407</v>
      </c>
      <c r="C55" s="27" t="s">
        <v>312</v>
      </c>
      <c r="D55" s="10" t="s">
        <v>311</v>
      </c>
      <c r="E55" s="28" t="s">
        <v>194</v>
      </c>
      <c r="F55" s="23" t="s">
        <v>195</v>
      </c>
      <c r="G55" s="23" t="s">
        <v>401</v>
      </c>
      <c r="H55" s="23" t="s">
        <v>402</v>
      </c>
      <c r="I55" s="32"/>
      <c r="J55" s="23" t="s">
        <v>198</v>
      </c>
      <c r="K55" s="23" t="str">
        <f t="shared" si="1"/>
        <v>690728</v>
      </c>
      <c r="L55" s="23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</row>
    <row r="56" hidden="1">
      <c r="A56" s="10" t="s">
        <v>190</v>
      </c>
      <c r="B56" s="10" t="s">
        <v>408</v>
      </c>
      <c r="C56" s="27" t="s">
        <v>409</v>
      </c>
      <c r="D56" s="10" t="s">
        <v>410</v>
      </c>
      <c r="E56" s="28" t="s">
        <v>194</v>
      </c>
      <c r="F56" s="23" t="s">
        <v>195</v>
      </c>
      <c r="G56" s="23" t="s">
        <v>203</v>
      </c>
      <c r="H56" s="23" t="s">
        <v>204</v>
      </c>
      <c r="I56" s="23" t="s">
        <v>205</v>
      </c>
      <c r="J56" s="23" t="s">
        <v>238</v>
      </c>
      <c r="K56" s="23" t="str">
        <f t="shared" si="1"/>
        <v>688152w</v>
      </c>
      <c r="L56" s="23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</row>
    <row r="57" hidden="1">
      <c r="A57" s="10" t="s">
        <v>190</v>
      </c>
      <c r="B57" s="10" t="s">
        <v>411</v>
      </c>
      <c r="C57" s="27" t="s">
        <v>412</v>
      </c>
      <c r="D57" s="10" t="s">
        <v>413</v>
      </c>
      <c r="E57" s="28" t="s">
        <v>194</v>
      </c>
      <c r="F57" s="23" t="s">
        <v>195</v>
      </c>
      <c r="G57" s="23" t="s">
        <v>203</v>
      </c>
      <c r="H57" s="23" t="s">
        <v>216</v>
      </c>
      <c r="I57" s="23" t="s">
        <v>338</v>
      </c>
      <c r="J57" s="23" t="s">
        <v>198</v>
      </c>
      <c r="K57" s="23" t="str">
        <f t="shared" si="1"/>
        <v>650487w</v>
      </c>
      <c r="L57" s="23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</row>
    <row r="58" hidden="1">
      <c r="A58" s="10" t="s">
        <v>414</v>
      </c>
      <c r="B58" s="10" t="s">
        <v>415</v>
      </c>
      <c r="C58" s="27" t="s">
        <v>416</v>
      </c>
      <c r="D58" s="10" t="s">
        <v>417</v>
      </c>
      <c r="E58" s="28" t="s">
        <v>418</v>
      </c>
      <c r="F58" s="23" t="s">
        <v>419</v>
      </c>
      <c r="G58" s="23" t="s">
        <v>203</v>
      </c>
      <c r="H58" s="23" t="s">
        <v>293</v>
      </c>
      <c r="I58" s="32"/>
      <c r="J58" s="23" t="s">
        <v>6</v>
      </c>
      <c r="K58" s="23" t="str">
        <f t="shared" si="1"/>
        <v>648040p</v>
      </c>
      <c r="L58" s="23"/>
      <c r="M58" s="26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</row>
    <row r="59" hidden="1">
      <c r="A59" s="10" t="s">
        <v>190</v>
      </c>
      <c r="B59" s="10" t="s">
        <v>420</v>
      </c>
      <c r="C59" s="27" t="s">
        <v>421</v>
      </c>
      <c r="D59" s="10" t="s">
        <v>422</v>
      </c>
      <c r="E59" s="28" t="s">
        <v>194</v>
      </c>
      <c r="F59" s="23" t="s">
        <v>195</v>
      </c>
      <c r="G59" s="23" t="s">
        <v>203</v>
      </c>
      <c r="H59" s="23" t="s">
        <v>349</v>
      </c>
      <c r="I59" s="23" t="s">
        <v>423</v>
      </c>
      <c r="J59" s="23" t="s">
        <v>198</v>
      </c>
      <c r="K59" s="23" t="str">
        <f t="shared" si="1"/>
        <v>676654w</v>
      </c>
      <c r="L59" s="23"/>
      <c r="M59" s="26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</row>
    <row r="60" hidden="1">
      <c r="A60" s="10" t="s">
        <v>190</v>
      </c>
      <c r="B60" s="10" t="s">
        <v>424</v>
      </c>
      <c r="C60" s="27" t="s">
        <v>425</v>
      </c>
      <c r="D60" s="10" t="s">
        <v>426</v>
      </c>
      <c r="E60" s="28" t="s">
        <v>194</v>
      </c>
      <c r="F60" s="23" t="s">
        <v>195</v>
      </c>
      <c r="G60" s="23" t="s">
        <v>203</v>
      </c>
      <c r="H60" s="23" t="s">
        <v>349</v>
      </c>
      <c r="I60" s="23" t="s">
        <v>423</v>
      </c>
      <c r="J60" s="23" t="s">
        <v>198</v>
      </c>
      <c r="K60" s="23" t="str">
        <f t="shared" si="1"/>
        <v>684093w</v>
      </c>
      <c r="L60" s="23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</row>
    <row r="61" hidden="1">
      <c r="A61" s="10" t="s">
        <v>427</v>
      </c>
      <c r="B61" s="10" t="s">
        <v>428</v>
      </c>
      <c r="C61" s="27" t="s">
        <v>429</v>
      </c>
      <c r="D61" s="10" t="s">
        <v>430</v>
      </c>
      <c r="E61" s="28" t="s">
        <v>431</v>
      </c>
      <c r="F61" s="23" t="s">
        <v>432</v>
      </c>
      <c r="G61" s="23" t="s">
        <v>203</v>
      </c>
      <c r="H61" s="23" t="s">
        <v>433</v>
      </c>
      <c r="I61" s="32"/>
      <c r="J61" s="23" t="s">
        <v>6</v>
      </c>
      <c r="K61" s="23" t="str">
        <f t="shared" si="1"/>
        <v>678917s</v>
      </c>
      <c r="L61" s="23"/>
      <c r="M61" s="26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</row>
    <row r="62" hidden="1">
      <c r="A62" s="10" t="s">
        <v>190</v>
      </c>
      <c r="B62" s="10" t="s">
        <v>434</v>
      </c>
      <c r="C62" s="27" t="s">
        <v>140</v>
      </c>
      <c r="D62" s="10" t="s">
        <v>141</v>
      </c>
      <c r="E62" s="28" t="s">
        <v>194</v>
      </c>
      <c r="F62" s="23" t="s">
        <v>195</v>
      </c>
      <c r="G62" s="23" t="s">
        <v>203</v>
      </c>
      <c r="H62" s="23" t="s">
        <v>242</v>
      </c>
      <c r="I62" s="23" t="s">
        <v>243</v>
      </c>
      <c r="J62" s="23" t="s">
        <v>198</v>
      </c>
      <c r="K62" s="23" t="str">
        <f t="shared" si="1"/>
        <v>684529</v>
      </c>
      <c r="L62" s="23"/>
      <c r="M62" s="26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</row>
    <row r="63" hidden="1">
      <c r="A63" s="10" t="s">
        <v>190</v>
      </c>
      <c r="B63" s="10" t="s">
        <v>435</v>
      </c>
      <c r="C63" s="27" t="s">
        <v>436</v>
      </c>
      <c r="D63" s="10" t="s">
        <v>437</v>
      </c>
      <c r="E63" s="28" t="s">
        <v>194</v>
      </c>
      <c r="F63" s="23" t="s">
        <v>195</v>
      </c>
      <c r="G63" s="23" t="s">
        <v>203</v>
      </c>
      <c r="H63" s="23" t="s">
        <v>242</v>
      </c>
      <c r="I63" s="23" t="s">
        <v>243</v>
      </c>
      <c r="J63" s="23" t="s">
        <v>238</v>
      </c>
      <c r="K63" s="23" t="str">
        <f t="shared" si="1"/>
        <v>684567w</v>
      </c>
      <c r="L63" s="23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</row>
    <row r="64" hidden="1">
      <c r="A64" s="10" t="s">
        <v>190</v>
      </c>
      <c r="B64" s="10" t="s">
        <v>438</v>
      </c>
      <c r="C64" s="27" t="s">
        <v>439</v>
      </c>
      <c r="D64" s="10" t="s">
        <v>440</v>
      </c>
      <c r="E64" s="28" t="s">
        <v>194</v>
      </c>
      <c r="F64" s="23" t="s">
        <v>195</v>
      </c>
      <c r="G64" s="23" t="s">
        <v>203</v>
      </c>
      <c r="H64" s="23" t="s">
        <v>242</v>
      </c>
      <c r="I64" s="23" t="s">
        <v>243</v>
      </c>
      <c r="J64" s="23" t="s">
        <v>198</v>
      </c>
      <c r="K64" s="23" t="str">
        <f t="shared" si="1"/>
        <v>684529A</v>
      </c>
      <c r="L64" s="23"/>
      <c r="M64" s="26"/>
      <c r="N64" s="26"/>
      <c r="O64" s="26"/>
      <c r="P64" s="26"/>
      <c r="Q64" s="26"/>
      <c r="R64" s="26"/>
      <c r="S64" s="26"/>
      <c r="T64" s="26"/>
      <c r="U64" s="26"/>
      <c r="V64" s="26"/>
      <c r="W64" s="26"/>
      <c r="X64" s="26"/>
    </row>
    <row r="65" hidden="1">
      <c r="A65" s="10" t="s">
        <v>190</v>
      </c>
      <c r="B65" s="10" t="s">
        <v>441</v>
      </c>
      <c r="C65" s="27" t="s">
        <v>442</v>
      </c>
      <c r="D65" s="10" t="s">
        <v>443</v>
      </c>
      <c r="E65" s="28" t="s">
        <v>194</v>
      </c>
      <c r="F65" s="23" t="s">
        <v>195</v>
      </c>
      <c r="G65" s="23" t="s">
        <v>203</v>
      </c>
      <c r="H65" s="23" t="s">
        <v>242</v>
      </c>
      <c r="I65" s="23" t="s">
        <v>243</v>
      </c>
      <c r="J65" s="23" t="s">
        <v>238</v>
      </c>
      <c r="K65" s="23" t="str">
        <f t="shared" si="1"/>
        <v>684567</v>
      </c>
      <c r="L65" s="23"/>
      <c r="M65" s="26"/>
      <c r="N65" s="26"/>
      <c r="O65" s="26"/>
      <c r="P65" s="26"/>
      <c r="Q65" s="26"/>
      <c r="R65" s="26"/>
      <c r="S65" s="26"/>
      <c r="T65" s="26"/>
      <c r="U65" s="26"/>
      <c r="V65" s="26"/>
      <c r="W65" s="26"/>
      <c r="X65" s="26"/>
    </row>
    <row r="66" hidden="1">
      <c r="A66" s="10" t="s">
        <v>190</v>
      </c>
      <c r="B66" s="10" t="s">
        <v>444</v>
      </c>
      <c r="C66" s="27" t="s">
        <v>445</v>
      </c>
      <c r="D66" s="10" t="s">
        <v>446</v>
      </c>
      <c r="E66" s="28" t="s">
        <v>194</v>
      </c>
      <c r="F66" s="23" t="s">
        <v>195</v>
      </c>
      <c r="G66" s="23" t="s">
        <v>203</v>
      </c>
      <c r="H66" s="23" t="s">
        <v>242</v>
      </c>
      <c r="I66" s="23" t="s">
        <v>243</v>
      </c>
      <c r="J66" s="23" t="s">
        <v>229</v>
      </c>
      <c r="K66" s="23" t="str">
        <f t="shared" si="1"/>
        <v>666426</v>
      </c>
      <c r="L66" s="23"/>
      <c r="M66" s="26"/>
      <c r="N66" s="26"/>
      <c r="O66" s="26"/>
      <c r="P66" s="26"/>
      <c r="Q66" s="26"/>
      <c r="R66" s="26"/>
      <c r="S66" s="26"/>
      <c r="T66" s="26"/>
      <c r="U66" s="26"/>
      <c r="V66" s="26"/>
      <c r="W66" s="26"/>
      <c r="X66" s="26"/>
    </row>
    <row r="67" hidden="1">
      <c r="A67" s="10" t="s">
        <v>190</v>
      </c>
      <c r="B67" s="10" t="s">
        <v>447</v>
      </c>
      <c r="C67" s="27" t="s">
        <v>448</v>
      </c>
      <c r="D67" s="10" t="s">
        <v>449</v>
      </c>
      <c r="E67" s="28" t="s">
        <v>194</v>
      </c>
      <c r="F67" s="23" t="s">
        <v>195</v>
      </c>
      <c r="G67" s="23" t="s">
        <v>203</v>
      </c>
      <c r="H67" s="23" t="s">
        <v>242</v>
      </c>
      <c r="I67" s="23" t="s">
        <v>243</v>
      </c>
      <c r="J67" s="23" t="s">
        <v>198</v>
      </c>
      <c r="K67" s="23" t="str">
        <f t="shared" si="1"/>
        <v>684451w</v>
      </c>
      <c r="L67" s="23"/>
      <c r="M67" s="26"/>
      <c r="N67" s="26"/>
      <c r="O67" s="26"/>
      <c r="P67" s="26"/>
      <c r="Q67" s="26"/>
      <c r="R67" s="26"/>
      <c r="S67" s="26"/>
      <c r="T67" s="26"/>
      <c r="U67" s="26"/>
      <c r="V67" s="26"/>
      <c r="W67" s="26"/>
      <c r="X67" s="26"/>
    </row>
    <row r="68" hidden="1">
      <c r="A68" s="10" t="s">
        <v>190</v>
      </c>
      <c r="B68" s="10" t="s">
        <v>450</v>
      </c>
      <c r="C68" s="27" t="s">
        <v>451</v>
      </c>
      <c r="D68" s="10" t="s">
        <v>452</v>
      </c>
      <c r="E68" s="28" t="s">
        <v>194</v>
      </c>
      <c r="F68" s="23" t="s">
        <v>195</v>
      </c>
      <c r="G68" s="23" t="s">
        <v>203</v>
      </c>
      <c r="H68" s="23" t="s">
        <v>242</v>
      </c>
      <c r="I68" s="23" t="s">
        <v>243</v>
      </c>
      <c r="J68" s="23" t="s">
        <v>198</v>
      </c>
      <c r="K68" s="23" t="str">
        <f t="shared" si="1"/>
        <v>684451</v>
      </c>
      <c r="L68" s="23"/>
      <c r="M68" s="26"/>
      <c r="N68" s="26"/>
      <c r="O68" s="26"/>
      <c r="P68" s="26"/>
      <c r="Q68" s="26"/>
      <c r="R68" s="26"/>
      <c r="S68" s="26"/>
      <c r="T68" s="26"/>
      <c r="U68" s="26"/>
      <c r="V68" s="26"/>
      <c r="W68" s="26"/>
      <c r="X68" s="26"/>
    </row>
    <row r="69" hidden="1">
      <c r="A69" s="10" t="s">
        <v>190</v>
      </c>
      <c r="B69" s="10" t="s">
        <v>453</v>
      </c>
      <c r="C69" s="27" t="s">
        <v>454</v>
      </c>
      <c r="D69" s="10" t="s">
        <v>455</v>
      </c>
      <c r="E69" s="28" t="s">
        <v>194</v>
      </c>
      <c r="F69" s="23" t="s">
        <v>195</v>
      </c>
      <c r="G69" s="23" t="s">
        <v>203</v>
      </c>
      <c r="H69" s="23" t="s">
        <v>242</v>
      </c>
      <c r="I69" s="23" t="s">
        <v>273</v>
      </c>
      <c r="J69" s="23" t="s">
        <v>198</v>
      </c>
      <c r="K69" s="23" t="str">
        <f t="shared" si="1"/>
        <v>687520</v>
      </c>
      <c r="L69" s="23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</row>
    <row r="70" hidden="1">
      <c r="A70" s="10" t="s">
        <v>190</v>
      </c>
      <c r="B70" s="10" t="s">
        <v>456</v>
      </c>
      <c r="C70" s="27" t="s">
        <v>457</v>
      </c>
      <c r="D70" s="10" t="s">
        <v>458</v>
      </c>
      <c r="E70" s="28" t="s">
        <v>194</v>
      </c>
      <c r="F70" s="23" t="s">
        <v>195</v>
      </c>
      <c r="G70" s="23" t="s">
        <v>203</v>
      </c>
      <c r="H70" s="23" t="s">
        <v>242</v>
      </c>
      <c r="I70" s="23" t="s">
        <v>243</v>
      </c>
      <c r="J70" s="23" t="s">
        <v>198</v>
      </c>
      <c r="K70" s="23" t="str">
        <f t="shared" si="1"/>
        <v>686271w</v>
      </c>
      <c r="L70" s="23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</row>
    <row r="71" hidden="1">
      <c r="A71" s="10" t="s">
        <v>190</v>
      </c>
      <c r="B71" s="10" t="s">
        <v>459</v>
      </c>
      <c r="C71" s="27" t="s">
        <v>460</v>
      </c>
      <c r="D71" s="10" t="s">
        <v>461</v>
      </c>
      <c r="E71" s="28" t="s">
        <v>194</v>
      </c>
      <c r="F71" s="23" t="s">
        <v>195</v>
      </c>
      <c r="G71" s="23" t="s">
        <v>203</v>
      </c>
      <c r="H71" s="23" t="s">
        <v>242</v>
      </c>
      <c r="I71" s="23" t="s">
        <v>243</v>
      </c>
      <c r="J71" s="23" t="s">
        <v>198</v>
      </c>
      <c r="K71" s="23" t="str">
        <f t="shared" si="1"/>
        <v>686271</v>
      </c>
      <c r="L71" s="23"/>
      <c r="M71" s="26"/>
      <c r="N71" s="26"/>
      <c r="O71" s="26"/>
      <c r="P71" s="26"/>
      <c r="Q71" s="26"/>
      <c r="R71" s="26"/>
      <c r="S71" s="26"/>
      <c r="T71" s="26"/>
      <c r="U71" s="26"/>
      <c r="V71" s="26"/>
      <c r="W71" s="26"/>
      <c r="X71" s="26"/>
    </row>
    <row r="72" hidden="1">
      <c r="A72" s="10" t="s">
        <v>190</v>
      </c>
      <c r="B72" s="10" t="s">
        <v>462</v>
      </c>
      <c r="C72" s="27" t="s">
        <v>463</v>
      </c>
      <c r="D72" s="10" t="s">
        <v>464</v>
      </c>
      <c r="E72" s="28" t="s">
        <v>194</v>
      </c>
      <c r="F72" s="23" t="s">
        <v>195</v>
      </c>
      <c r="G72" s="23" t="s">
        <v>203</v>
      </c>
      <c r="H72" s="23" t="s">
        <v>242</v>
      </c>
      <c r="I72" s="23" t="s">
        <v>243</v>
      </c>
      <c r="J72" s="23" t="s">
        <v>238</v>
      </c>
      <c r="K72" s="23" t="str">
        <f t="shared" si="1"/>
        <v>687537w</v>
      </c>
      <c r="L72" s="23"/>
      <c r="M72" s="26"/>
      <c r="N72" s="26"/>
      <c r="O72" s="26"/>
      <c r="P72" s="26"/>
      <c r="Q72" s="26"/>
      <c r="R72" s="26"/>
      <c r="S72" s="26"/>
      <c r="T72" s="26"/>
      <c r="U72" s="26"/>
      <c r="V72" s="26"/>
      <c r="W72" s="26"/>
      <c r="X72" s="26"/>
    </row>
    <row r="73" hidden="1">
      <c r="A73" s="10" t="s">
        <v>190</v>
      </c>
      <c r="B73" s="10" t="s">
        <v>465</v>
      </c>
      <c r="C73" s="27" t="s">
        <v>466</v>
      </c>
      <c r="D73" s="10" t="s">
        <v>467</v>
      </c>
      <c r="E73" s="28" t="s">
        <v>194</v>
      </c>
      <c r="F73" s="23" t="s">
        <v>195</v>
      </c>
      <c r="G73" s="23" t="s">
        <v>203</v>
      </c>
      <c r="H73" s="23" t="s">
        <v>242</v>
      </c>
      <c r="I73" s="23" t="s">
        <v>243</v>
      </c>
      <c r="J73" s="23" t="s">
        <v>198</v>
      </c>
      <c r="K73" s="23" t="str">
        <f t="shared" si="1"/>
        <v>672489w</v>
      </c>
      <c r="L73" s="23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</row>
    <row r="74" hidden="1">
      <c r="A74" s="10" t="s">
        <v>190</v>
      </c>
      <c r="B74" s="10" t="s">
        <v>468</v>
      </c>
      <c r="C74" s="27" t="s">
        <v>469</v>
      </c>
      <c r="D74" s="10" t="s">
        <v>470</v>
      </c>
      <c r="E74" s="28" t="s">
        <v>194</v>
      </c>
      <c r="F74" s="23" t="s">
        <v>195</v>
      </c>
      <c r="G74" s="23" t="s">
        <v>203</v>
      </c>
      <c r="H74" s="23" t="s">
        <v>242</v>
      </c>
      <c r="I74" s="23" t="s">
        <v>243</v>
      </c>
      <c r="J74" s="23" t="s">
        <v>198</v>
      </c>
      <c r="K74" s="23" t="str">
        <f t="shared" si="1"/>
        <v>672519w</v>
      </c>
      <c r="L74" s="23"/>
      <c r="M74" s="26"/>
      <c r="N74" s="26"/>
      <c r="O74" s="26"/>
      <c r="P74" s="26"/>
      <c r="Q74" s="26"/>
      <c r="R74" s="26"/>
      <c r="S74" s="26"/>
      <c r="T74" s="26"/>
      <c r="U74" s="26"/>
      <c r="V74" s="26"/>
      <c r="W74" s="26"/>
      <c r="X74" s="26"/>
    </row>
    <row r="75" hidden="1">
      <c r="A75" s="10" t="s">
        <v>190</v>
      </c>
      <c r="B75" s="10" t="s">
        <v>471</v>
      </c>
      <c r="C75" s="27" t="s">
        <v>152</v>
      </c>
      <c r="D75" s="10" t="s">
        <v>153</v>
      </c>
      <c r="E75" s="28" t="s">
        <v>194</v>
      </c>
      <c r="F75" s="23" t="s">
        <v>195</v>
      </c>
      <c r="G75" s="23" t="s">
        <v>203</v>
      </c>
      <c r="H75" s="23" t="s">
        <v>242</v>
      </c>
      <c r="I75" s="23" t="s">
        <v>364</v>
      </c>
      <c r="J75" s="23" t="s">
        <v>198</v>
      </c>
      <c r="K75" s="23" t="str">
        <f t="shared" si="1"/>
        <v>651453</v>
      </c>
      <c r="L75" s="23"/>
      <c r="M75" s="26"/>
      <c r="N75" s="26"/>
      <c r="O75" s="26"/>
      <c r="P75" s="26"/>
      <c r="Q75" s="26"/>
      <c r="R75" s="26"/>
      <c r="S75" s="26"/>
      <c r="T75" s="26"/>
      <c r="U75" s="26"/>
      <c r="V75" s="26"/>
      <c r="W75" s="26"/>
      <c r="X75" s="26"/>
    </row>
    <row r="76" hidden="1">
      <c r="A76" s="10" t="s">
        <v>190</v>
      </c>
      <c r="B76" s="10" t="s">
        <v>472</v>
      </c>
      <c r="C76" s="27" t="s">
        <v>473</v>
      </c>
      <c r="D76" s="10" t="s">
        <v>474</v>
      </c>
      <c r="E76" s="28" t="s">
        <v>194</v>
      </c>
      <c r="F76" s="23" t="s">
        <v>195</v>
      </c>
      <c r="G76" s="23" t="s">
        <v>203</v>
      </c>
      <c r="H76" s="23" t="s">
        <v>242</v>
      </c>
      <c r="I76" s="23" t="s">
        <v>243</v>
      </c>
      <c r="J76" s="23" t="s">
        <v>198</v>
      </c>
      <c r="K76" s="23" t="str">
        <f t="shared" si="1"/>
        <v>672489wz</v>
      </c>
      <c r="L76" s="23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</row>
    <row r="77" hidden="1">
      <c r="A77" s="10" t="s">
        <v>190</v>
      </c>
      <c r="B77" s="10" t="s">
        <v>475</v>
      </c>
      <c r="C77" s="27" t="s">
        <v>476</v>
      </c>
      <c r="D77" s="10" t="s">
        <v>477</v>
      </c>
      <c r="E77" s="28" t="s">
        <v>194</v>
      </c>
      <c r="F77" s="23" t="s">
        <v>195</v>
      </c>
      <c r="G77" s="23" t="s">
        <v>203</v>
      </c>
      <c r="H77" s="23" t="s">
        <v>242</v>
      </c>
      <c r="I77" s="23" t="s">
        <v>243</v>
      </c>
      <c r="J77" s="23" t="s">
        <v>198</v>
      </c>
      <c r="K77" s="23" t="str">
        <f t="shared" si="1"/>
        <v>672519</v>
      </c>
      <c r="L77" s="23"/>
      <c r="M77" s="26"/>
      <c r="N77" s="26"/>
      <c r="O77" s="26"/>
      <c r="P77" s="26"/>
      <c r="Q77" s="26"/>
      <c r="R77" s="26"/>
      <c r="S77" s="26"/>
      <c r="T77" s="26"/>
      <c r="U77" s="26"/>
      <c r="V77" s="26"/>
      <c r="W77" s="26"/>
      <c r="X77" s="26"/>
    </row>
    <row r="78" hidden="1">
      <c r="A78" s="10" t="s">
        <v>190</v>
      </c>
      <c r="B78" s="10" t="s">
        <v>478</v>
      </c>
      <c r="C78" s="27" t="s">
        <v>479</v>
      </c>
      <c r="D78" s="10" t="s">
        <v>480</v>
      </c>
      <c r="E78" s="28" t="s">
        <v>194</v>
      </c>
      <c r="F78" s="23" t="s">
        <v>195</v>
      </c>
      <c r="G78" s="23" t="s">
        <v>203</v>
      </c>
      <c r="H78" s="23" t="s">
        <v>242</v>
      </c>
      <c r="I78" s="23" t="s">
        <v>364</v>
      </c>
      <c r="J78" s="23" t="s">
        <v>229</v>
      </c>
      <c r="K78" s="23" t="str">
        <f t="shared" si="1"/>
        <v>667409</v>
      </c>
      <c r="L78" s="23"/>
      <c r="M78" s="26"/>
      <c r="N78" s="26"/>
      <c r="O78" s="26"/>
      <c r="P78" s="26"/>
      <c r="Q78" s="26"/>
      <c r="R78" s="26"/>
      <c r="S78" s="26"/>
      <c r="T78" s="26"/>
      <c r="U78" s="26"/>
      <c r="V78" s="26"/>
      <c r="W78" s="26"/>
      <c r="X78" s="26"/>
    </row>
    <row r="79" hidden="1">
      <c r="A79" s="10" t="s">
        <v>190</v>
      </c>
      <c r="B79" s="10" t="s">
        <v>481</v>
      </c>
      <c r="C79" s="27" t="s">
        <v>482</v>
      </c>
      <c r="D79" s="10" t="s">
        <v>483</v>
      </c>
      <c r="E79" s="28" t="s">
        <v>194</v>
      </c>
      <c r="F79" s="23" t="s">
        <v>195</v>
      </c>
      <c r="G79" s="23" t="s">
        <v>203</v>
      </c>
      <c r="H79" s="23" t="s">
        <v>242</v>
      </c>
      <c r="I79" s="32"/>
      <c r="J79" s="23" t="s">
        <v>198</v>
      </c>
      <c r="K79" s="23" t="str">
        <f t="shared" si="1"/>
        <v>687537</v>
      </c>
      <c r="L79" s="23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</row>
    <row r="80" hidden="1">
      <c r="A80" s="10" t="s">
        <v>190</v>
      </c>
      <c r="B80" s="10" t="s">
        <v>484</v>
      </c>
      <c r="C80" s="27" t="s">
        <v>485</v>
      </c>
      <c r="D80" s="10" t="s">
        <v>486</v>
      </c>
      <c r="E80" s="28" t="s">
        <v>194</v>
      </c>
      <c r="F80" s="23" t="s">
        <v>195</v>
      </c>
      <c r="G80" s="23" t="s">
        <v>203</v>
      </c>
      <c r="H80" s="23" t="s">
        <v>242</v>
      </c>
      <c r="I80" s="23" t="s">
        <v>364</v>
      </c>
      <c r="J80" s="23" t="s">
        <v>198</v>
      </c>
      <c r="K80" s="23" t="str">
        <f t="shared" si="1"/>
        <v>687124a</v>
      </c>
      <c r="L80" s="23"/>
      <c r="M80" s="26"/>
      <c r="N80" s="26"/>
      <c r="O80" s="26"/>
      <c r="P80" s="26"/>
      <c r="Q80" s="26"/>
      <c r="R80" s="26"/>
      <c r="S80" s="26"/>
      <c r="T80" s="26"/>
      <c r="U80" s="26"/>
      <c r="V80" s="26"/>
      <c r="W80" s="26"/>
      <c r="X80" s="26"/>
    </row>
    <row r="81" hidden="1">
      <c r="A81" s="10" t="s">
        <v>190</v>
      </c>
      <c r="B81" s="10" t="s">
        <v>487</v>
      </c>
      <c r="C81" s="27" t="s">
        <v>488</v>
      </c>
      <c r="D81" s="10" t="s">
        <v>489</v>
      </c>
      <c r="E81" s="28" t="s">
        <v>194</v>
      </c>
      <c r="F81" s="23" t="s">
        <v>195</v>
      </c>
      <c r="G81" s="23" t="s">
        <v>203</v>
      </c>
      <c r="H81" s="23" t="s">
        <v>242</v>
      </c>
      <c r="I81" s="23" t="s">
        <v>243</v>
      </c>
      <c r="J81" s="23" t="s">
        <v>198</v>
      </c>
      <c r="K81" s="23" t="str">
        <f t="shared" si="1"/>
        <v>672496xz</v>
      </c>
      <c r="L81" s="23"/>
      <c r="M81" s="26"/>
      <c r="N81" s="26"/>
      <c r="O81" s="26"/>
      <c r="P81" s="26"/>
      <c r="Q81" s="26"/>
      <c r="R81" s="26"/>
      <c r="S81" s="26"/>
      <c r="T81" s="26"/>
      <c r="U81" s="26"/>
      <c r="V81" s="26"/>
      <c r="W81" s="26"/>
      <c r="X81" s="26"/>
    </row>
    <row r="82" hidden="1">
      <c r="A82" s="10" t="s">
        <v>190</v>
      </c>
      <c r="B82" s="10" t="s">
        <v>490</v>
      </c>
      <c r="C82" s="27" t="s">
        <v>491</v>
      </c>
      <c r="D82" s="10" t="s">
        <v>492</v>
      </c>
      <c r="E82" s="28" t="s">
        <v>194</v>
      </c>
      <c r="F82" s="23" t="s">
        <v>195</v>
      </c>
      <c r="G82" s="23" t="s">
        <v>203</v>
      </c>
      <c r="H82" s="23" t="s">
        <v>242</v>
      </c>
      <c r="I82" s="23" t="s">
        <v>243</v>
      </c>
      <c r="J82" s="23" t="s">
        <v>229</v>
      </c>
      <c r="K82" s="23" t="str">
        <f t="shared" si="1"/>
        <v>663616AA</v>
      </c>
      <c r="L82" s="23"/>
      <c r="M82" s="26"/>
      <c r="N82" s="26"/>
      <c r="O82" s="26"/>
      <c r="P82" s="26"/>
      <c r="Q82" s="26"/>
      <c r="R82" s="26"/>
      <c r="S82" s="26"/>
      <c r="T82" s="26"/>
      <c r="U82" s="26"/>
      <c r="V82" s="26"/>
      <c r="W82" s="26"/>
      <c r="X82" s="26"/>
    </row>
    <row r="83" hidden="1">
      <c r="A83" s="10" t="s">
        <v>190</v>
      </c>
      <c r="B83" s="10" t="s">
        <v>493</v>
      </c>
      <c r="C83" s="27" t="s">
        <v>494</v>
      </c>
      <c r="D83" s="10" t="s">
        <v>495</v>
      </c>
      <c r="E83" s="28" t="s">
        <v>194</v>
      </c>
      <c r="F83" s="23" t="s">
        <v>195</v>
      </c>
      <c r="G83" s="23" t="s">
        <v>203</v>
      </c>
      <c r="H83" s="23" t="s">
        <v>242</v>
      </c>
      <c r="I83" s="23" t="s">
        <v>273</v>
      </c>
      <c r="J83" s="23" t="s">
        <v>198</v>
      </c>
      <c r="K83" s="23" t="str">
        <f t="shared" si="1"/>
        <v>685854</v>
      </c>
      <c r="L83" s="23"/>
      <c r="M83" s="26"/>
      <c r="N83" s="26"/>
      <c r="O83" s="26"/>
      <c r="P83" s="26"/>
      <c r="Q83" s="26"/>
      <c r="R83" s="26"/>
      <c r="S83" s="26"/>
      <c r="T83" s="26"/>
      <c r="U83" s="26"/>
      <c r="V83" s="26"/>
      <c r="W83" s="26"/>
      <c r="X83" s="26"/>
    </row>
    <row r="84" hidden="1">
      <c r="A84" s="10" t="s">
        <v>190</v>
      </c>
      <c r="B84" s="10" t="s">
        <v>496</v>
      </c>
      <c r="C84" s="27" t="s">
        <v>497</v>
      </c>
      <c r="D84" s="10" t="s">
        <v>498</v>
      </c>
      <c r="E84" s="28" t="s">
        <v>194</v>
      </c>
      <c r="F84" s="23" t="s">
        <v>195</v>
      </c>
      <c r="G84" s="23" t="s">
        <v>203</v>
      </c>
      <c r="H84" s="23" t="s">
        <v>242</v>
      </c>
      <c r="I84" s="23" t="s">
        <v>243</v>
      </c>
      <c r="J84" s="23" t="s">
        <v>198</v>
      </c>
      <c r="K84" s="23" t="str">
        <f t="shared" si="1"/>
        <v>672502xz</v>
      </c>
      <c r="L84" s="23"/>
      <c r="M84" s="26"/>
      <c r="N84" s="26"/>
      <c r="O84" s="26"/>
      <c r="P84" s="26"/>
      <c r="Q84" s="26"/>
      <c r="R84" s="26"/>
      <c r="S84" s="26"/>
      <c r="T84" s="26"/>
      <c r="U84" s="26"/>
      <c r="V84" s="26"/>
      <c r="W84" s="26"/>
      <c r="X84" s="26"/>
    </row>
    <row r="85" hidden="1">
      <c r="A85" s="10" t="s">
        <v>499</v>
      </c>
      <c r="B85" s="10" t="s">
        <v>500</v>
      </c>
      <c r="C85" s="27" t="s">
        <v>501</v>
      </c>
      <c r="D85" s="10" t="s">
        <v>502</v>
      </c>
      <c r="E85" s="28" t="s">
        <v>194</v>
      </c>
      <c r="F85" s="23" t="s">
        <v>195</v>
      </c>
      <c r="G85" s="23" t="s">
        <v>203</v>
      </c>
      <c r="H85" s="23" t="s">
        <v>242</v>
      </c>
      <c r="I85" s="32"/>
      <c r="J85" s="23" t="s">
        <v>6</v>
      </c>
      <c r="K85" s="23" t="str">
        <f t="shared" si="1"/>
        <v>684468xz</v>
      </c>
      <c r="L85" s="23"/>
      <c r="M85" s="26"/>
      <c r="N85" s="26"/>
      <c r="O85" s="26"/>
      <c r="P85" s="26"/>
      <c r="Q85" s="26"/>
      <c r="R85" s="26"/>
      <c r="S85" s="26"/>
      <c r="T85" s="26"/>
      <c r="U85" s="26"/>
      <c r="V85" s="26"/>
      <c r="W85" s="26"/>
      <c r="X85" s="26"/>
    </row>
    <row r="86" hidden="1">
      <c r="A86" s="10" t="s">
        <v>499</v>
      </c>
      <c r="B86" s="10" t="s">
        <v>503</v>
      </c>
      <c r="C86" s="27" t="s">
        <v>504</v>
      </c>
      <c r="D86" s="10" t="s">
        <v>505</v>
      </c>
      <c r="E86" s="28" t="s">
        <v>194</v>
      </c>
      <c r="F86" s="23" t="s">
        <v>195</v>
      </c>
      <c r="G86" s="23" t="s">
        <v>203</v>
      </c>
      <c r="H86" s="23" t="s">
        <v>242</v>
      </c>
      <c r="I86" s="32"/>
      <c r="J86" s="23" t="s">
        <v>6</v>
      </c>
      <c r="K86" s="23" t="str">
        <f t="shared" si="1"/>
        <v>685151xz</v>
      </c>
      <c r="L86" s="23"/>
      <c r="M86" s="26"/>
      <c r="N86" s="26"/>
      <c r="O86" s="26"/>
      <c r="P86" s="26"/>
      <c r="Q86" s="26"/>
      <c r="R86" s="26"/>
      <c r="S86" s="26"/>
      <c r="T86" s="26"/>
      <c r="U86" s="26"/>
      <c r="V86" s="26"/>
      <c r="W86" s="26"/>
      <c r="X86" s="26"/>
    </row>
    <row r="87" hidden="1">
      <c r="A87" s="10" t="s">
        <v>499</v>
      </c>
      <c r="B87" s="10" t="s">
        <v>506</v>
      </c>
      <c r="C87" s="27" t="s">
        <v>507</v>
      </c>
      <c r="D87" s="10" t="s">
        <v>508</v>
      </c>
      <c r="E87" s="28" t="s">
        <v>194</v>
      </c>
      <c r="F87" s="23" t="s">
        <v>195</v>
      </c>
      <c r="G87" s="23" t="s">
        <v>203</v>
      </c>
      <c r="H87" s="23" t="s">
        <v>242</v>
      </c>
      <c r="I87" s="32"/>
      <c r="J87" s="23" t="s">
        <v>6</v>
      </c>
      <c r="K87" s="23" t="str">
        <f t="shared" si="1"/>
        <v>686233xz</v>
      </c>
      <c r="L87" s="23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</row>
    <row r="88" hidden="1">
      <c r="A88" s="10" t="s">
        <v>499</v>
      </c>
      <c r="B88" s="10" t="s">
        <v>509</v>
      </c>
      <c r="C88" s="27" t="s">
        <v>510</v>
      </c>
      <c r="D88" s="10" t="s">
        <v>511</v>
      </c>
      <c r="E88" s="28" t="s">
        <v>194</v>
      </c>
      <c r="F88" s="23" t="s">
        <v>195</v>
      </c>
      <c r="G88" s="23" t="s">
        <v>203</v>
      </c>
      <c r="H88" s="23" t="s">
        <v>242</v>
      </c>
      <c r="I88" s="32"/>
      <c r="J88" s="23" t="s">
        <v>6</v>
      </c>
      <c r="K88" s="23" t="str">
        <f t="shared" si="1"/>
        <v>672489</v>
      </c>
      <c r="L88" s="23"/>
      <c r="M88" s="26"/>
      <c r="N88" s="26"/>
      <c r="O88" s="26"/>
      <c r="P88" s="26"/>
      <c r="Q88" s="26"/>
      <c r="R88" s="26"/>
      <c r="S88" s="26"/>
      <c r="T88" s="26"/>
      <c r="U88" s="26"/>
      <c r="V88" s="26"/>
      <c r="W88" s="26"/>
      <c r="X88" s="26"/>
    </row>
    <row r="89" hidden="1">
      <c r="A89" s="10" t="s">
        <v>499</v>
      </c>
      <c r="B89" s="10" t="s">
        <v>512</v>
      </c>
      <c r="C89" s="27" t="s">
        <v>513</v>
      </c>
      <c r="D89" s="10" t="s">
        <v>514</v>
      </c>
      <c r="E89" s="28" t="s">
        <v>194</v>
      </c>
      <c r="F89" s="23" t="s">
        <v>195</v>
      </c>
      <c r="G89" s="23" t="s">
        <v>203</v>
      </c>
      <c r="H89" s="23" t="s">
        <v>242</v>
      </c>
      <c r="I89" s="32"/>
      <c r="J89" s="23" t="s">
        <v>6</v>
      </c>
      <c r="K89" s="23" t="str">
        <f t="shared" si="1"/>
        <v>672496AA</v>
      </c>
      <c r="L89" s="23"/>
      <c r="M89" s="26"/>
      <c r="N89" s="26"/>
      <c r="O89" s="26"/>
      <c r="P89" s="26"/>
      <c r="Q89" s="26"/>
      <c r="R89" s="26"/>
      <c r="S89" s="26"/>
      <c r="T89" s="26"/>
      <c r="U89" s="26"/>
      <c r="V89" s="26"/>
      <c r="W89" s="26"/>
      <c r="X89" s="26"/>
    </row>
    <row r="90" hidden="1">
      <c r="A90" s="10" t="s">
        <v>499</v>
      </c>
      <c r="B90" s="10" t="s">
        <v>515</v>
      </c>
      <c r="C90" s="27" t="s">
        <v>516</v>
      </c>
      <c r="D90" s="10" t="s">
        <v>517</v>
      </c>
      <c r="E90" s="28" t="s">
        <v>194</v>
      </c>
      <c r="F90" s="23" t="s">
        <v>195</v>
      </c>
      <c r="G90" s="23" t="s">
        <v>203</v>
      </c>
      <c r="H90" s="23" t="s">
        <v>242</v>
      </c>
      <c r="I90" s="32"/>
      <c r="J90" s="23" t="s">
        <v>6</v>
      </c>
      <c r="K90" s="23" t="str">
        <f t="shared" si="1"/>
        <v>672502AA</v>
      </c>
      <c r="L90" s="23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</row>
    <row r="91" hidden="1">
      <c r="A91" s="10" t="s">
        <v>499</v>
      </c>
      <c r="B91" s="10" t="s">
        <v>518</v>
      </c>
      <c r="C91" s="27" t="s">
        <v>519</v>
      </c>
      <c r="D91" s="10" t="s">
        <v>520</v>
      </c>
      <c r="E91" s="28" t="s">
        <v>194</v>
      </c>
      <c r="F91" s="23" t="s">
        <v>195</v>
      </c>
      <c r="G91" s="23" t="s">
        <v>521</v>
      </c>
      <c r="H91" s="23" t="s">
        <v>242</v>
      </c>
      <c r="I91" s="32"/>
      <c r="J91" s="23" t="s">
        <v>6</v>
      </c>
      <c r="K91" s="23" t="str">
        <f t="shared" si="1"/>
        <v>673998</v>
      </c>
      <c r="L91" s="23"/>
      <c r="M91" s="26"/>
      <c r="N91" s="26"/>
      <c r="O91" s="26"/>
      <c r="P91" s="26"/>
      <c r="Q91" s="26"/>
      <c r="R91" s="26"/>
      <c r="S91" s="26"/>
      <c r="T91" s="26"/>
      <c r="U91" s="26"/>
      <c r="V91" s="26"/>
      <c r="W91" s="26"/>
      <c r="X91" s="26"/>
    </row>
    <row r="92" hidden="1">
      <c r="A92" s="10" t="s">
        <v>499</v>
      </c>
      <c r="B92" s="10" t="s">
        <v>522</v>
      </c>
      <c r="C92" s="27" t="s">
        <v>523</v>
      </c>
      <c r="D92" s="10" t="s">
        <v>524</v>
      </c>
      <c r="E92" s="28" t="s">
        <v>194</v>
      </c>
      <c r="F92" s="23" t="s">
        <v>525</v>
      </c>
      <c r="G92" s="23" t="s">
        <v>203</v>
      </c>
      <c r="H92" s="23" t="s">
        <v>242</v>
      </c>
      <c r="I92" s="32"/>
      <c r="J92" s="23" t="s">
        <v>6</v>
      </c>
      <c r="K92" s="23" t="str">
        <f t="shared" si="1"/>
        <v>668307</v>
      </c>
      <c r="L92" s="23"/>
      <c r="M92" s="26"/>
      <c r="N92" s="26"/>
      <c r="O92" s="26"/>
      <c r="P92" s="26"/>
      <c r="Q92" s="26"/>
      <c r="R92" s="26"/>
      <c r="S92" s="26"/>
      <c r="T92" s="26"/>
      <c r="U92" s="26"/>
      <c r="V92" s="26"/>
      <c r="W92" s="26"/>
      <c r="X92" s="26"/>
    </row>
    <row r="93" hidden="1">
      <c r="A93" s="10" t="s">
        <v>427</v>
      </c>
      <c r="B93" s="10" t="s">
        <v>526</v>
      </c>
      <c r="C93" s="27" t="s">
        <v>527</v>
      </c>
      <c r="D93" s="10" t="s">
        <v>528</v>
      </c>
      <c r="E93" s="28" t="s">
        <v>529</v>
      </c>
      <c r="F93" s="23" t="s">
        <v>530</v>
      </c>
      <c r="G93" s="23" t="s">
        <v>521</v>
      </c>
      <c r="H93" s="23" t="s">
        <v>242</v>
      </c>
      <c r="I93" s="32"/>
      <c r="J93" s="23" t="s">
        <v>6</v>
      </c>
      <c r="K93" s="23" t="str">
        <f t="shared" si="1"/>
        <v>671215xz</v>
      </c>
      <c r="L93" s="23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</row>
    <row r="94" hidden="1">
      <c r="A94" s="10" t="s">
        <v>414</v>
      </c>
      <c r="B94" s="10" t="s">
        <v>531</v>
      </c>
      <c r="C94" s="27" t="s">
        <v>532</v>
      </c>
      <c r="D94" s="10" t="s">
        <v>533</v>
      </c>
      <c r="E94" s="28" t="s">
        <v>534</v>
      </c>
      <c r="F94" s="23" t="s">
        <v>535</v>
      </c>
      <c r="G94" s="23" t="s">
        <v>203</v>
      </c>
      <c r="H94" s="23" t="s">
        <v>242</v>
      </c>
      <c r="I94" s="32"/>
      <c r="J94" s="23" t="s">
        <v>6</v>
      </c>
      <c r="K94" s="23" t="str">
        <f t="shared" si="1"/>
        <v>668307p</v>
      </c>
      <c r="L94" s="23"/>
      <c r="M94" s="26"/>
      <c r="N94" s="26"/>
      <c r="O94" s="26"/>
      <c r="P94" s="26"/>
      <c r="Q94" s="26"/>
      <c r="R94" s="26"/>
      <c r="S94" s="26"/>
      <c r="T94" s="26"/>
      <c r="U94" s="26"/>
      <c r="V94" s="26"/>
      <c r="W94" s="26"/>
      <c r="X94" s="26"/>
    </row>
    <row r="95" hidden="1">
      <c r="A95" s="10" t="s">
        <v>499</v>
      </c>
      <c r="B95" s="10" t="s">
        <v>536</v>
      </c>
      <c r="C95" s="27" t="s">
        <v>537</v>
      </c>
      <c r="D95" s="10" t="s">
        <v>538</v>
      </c>
      <c r="E95" s="28" t="s">
        <v>194</v>
      </c>
      <c r="F95" s="23" t="s">
        <v>195</v>
      </c>
      <c r="G95" s="23" t="s">
        <v>203</v>
      </c>
      <c r="H95" s="23" t="s">
        <v>539</v>
      </c>
      <c r="I95" s="32"/>
      <c r="J95" s="23" t="s">
        <v>6</v>
      </c>
      <c r="K95" s="23" t="str">
        <f t="shared" si="1"/>
        <v>673360</v>
      </c>
      <c r="L95" s="23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</row>
    <row r="96" hidden="1">
      <c r="A96" s="10" t="s">
        <v>190</v>
      </c>
      <c r="B96" s="10" t="s">
        <v>540</v>
      </c>
      <c r="C96" s="27" t="s">
        <v>541</v>
      </c>
      <c r="D96" s="10" t="s">
        <v>542</v>
      </c>
      <c r="E96" s="28" t="s">
        <v>194</v>
      </c>
      <c r="F96" s="23" t="s">
        <v>543</v>
      </c>
      <c r="G96" s="23" t="s">
        <v>1</v>
      </c>
      <c r="H96" s="23" t="s">
        <v>544</v>
      </c>
      <c r="I96" s="32"/>
      <c r="J96" s="23" t="s">
        <v>198</v>
      </c>
      <c r="K96" s="23" t="str">
        <f t="shared" si="1"/>
        <v>678986</v>
      </c>
      <c r="L96" s="23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</row>
    <row r="97" hidden="1">
      <c r="A97" s="10" t="s">
        <v>190</v>
      </c>
      <c r="B97" s="10" t="s">
        <v>545</v>
      </c>
      <c r="C97" s="27" t="s">
        <v>546</v>
      </c>
      <c r="D97" s="10" t="s">
        <v>547</v>
      </c>
      <c r="E97" s="28" t="s">
        <v>194</v>
      </c>
      <c r="F97" s="23" t="s">
        <v>543</v>
      </c>
      <c r="G97" s="23" t="s">
        <v>1</v>
      </c>
      <c r="H97" s="23" t="s">
        <v>544</v>
      </c>
      <c r="I97" s="32"/>
      <c r="J97" s="23" t="s">
        <v>198</v>
      </c>
      <c r="K97" s="23" t="str">
        <f t="shared" si="1"/>
        <v>690186xz</v>
      </c>
      <c r="L97" s="23"/>
      <c r="M97" s="26"/>
      <c r="N97" s="26"/>
      <c r="O97" s="26"/>
      <c r="P97" s="26"/>
      <c r="Q97" s="26"/>
      <c r="R97" s="26"/>
      <c r="S97" s="26"/>
      <c r="T97" s="26"/>
      <c r="U97" s="26"/>
      <c r="V97" s="26"/>
      <c r="W97" s="26"/>
      <c r="X97" s="26"/>
    </row>
    <row r="98" hidden="1">
      <c r="A98" s="10" t="s">
        <v>190</v>
      </c>
      <c r="B98" s="10" t="s">
        <v>548</v>
      </c>
      <c r="C98" s="27" t="s">
        <v>549</v>
      </c>
      <c r="D98" s="10" t="s">
        <v>550</v>
      </c>
      <c r="E98" s="28" t="s">
        <v>194</v>
      </c>
      <c r="F98" s="23" t="s">
        <v>543</v>
      </c>
      <c r="G98" s="23" t="s">
        <v>1</v>
      </c>
      <c r="H98" s="23" t="s">
        <v>544</v>
      </c>
      <c r="I98" s="32"/>
      <c r="J98" s="23" t="s">
        <v>198</v>
      </c>
      <c r="K98" s="23" t="str">
        <f t="shared" si="1"/>
        <v>674896</v>
      </c>
      <c r="L98" s="23"/>
      <c r="M98" s="26"/>
      <c r="N98" s="26"/>
      <c r="O98" s="26"/>
      <c r="P98" s="26"/>
      <c r="Q98" s="26"/>
      <c r="R98" s="26"/>
      <c r="S98" s="26"/>
      <c r="T98" s="26"/>
      <c r="U98" s="26"/>
      <c r="V98" s="26"/>
      <c r="W98" s="26"/>
      <c r="X98" s="26"/>
    </row>
    <row r="99" hidden="1">
      <c r="A99" s="10" t="s">
        <v>190</v>
      </c>
      <c r="B99" s="10" t="s">
        <v>551</v>
      </c>
      <c r="C99" s="27" t="s">
        <v>552</v>
      </c>
      <c r="D99" s="10" t="s">
        <v>553</v>
      </c>
      <c r="E99" s="28" t="s">
        <v>194</v>
      </c>
      <c r="F99" s="23" t="s">
        <v>543</v>
      </c>
      <c r="G99" s="23" t="s">
        <v>1</v>
      </c>
      <c r="H99" s="23" t="s">
        <v>544</v>
      </c>
      <c r="I99" s="32"/>
      <c r="J99" s="23" t="s">
        <v>198</v>
      </c>
      <c r="K99" s="23" t="str">
        <f t="shared" si="1"/>
        <v>684468</v>
      </c>
      <c r="L99" s="23"/>
      <c r="M99" s="26"/>
      <c r="N99" s="26"/>
      <c r="O99" s="26"/>
      <c r="P99" s="26"/>
      <c r="Q99" s="26"/>
      <c r="R99" s="26"/>
      <c r="S99" s="26"/>
      <c r="T99" s="26"/>
      <c r="U99" s="26"/>
      <c r="V99" s="26"/>
      <c r="W99" s="26"/>
      <c r="X99" s="26"/>
    </row>
    <row r="100" hidden="1">
      <c r="A100" s="10" t="s">
        <v>190</v>
      </c>
      <c r="B100" s="10" t="s">
        <v>554</v>
      </c>
      <c r="C100" s="27" t="s">
        <v>555</v>
      </c>
      <c r="D100" s="10" t="s">
        <v>556</v>
      </c>
      <c r="E100" s="28" t="s">
        <v>194</v>
      </c>
      <c r="F100" s="23" t="s">
        <v>543</v>
      </c>
      <c r="G100" s="23" t="s">
        <v>1</v>
      </c>
      <c r="H100" s="23" t="s">
        <v>544</v>
      </c>
      <c r="I100" s="32"/>
      <c r="J100" s="23" t="s">
        <v>198</v>
      </c>
      <c r="K100" s="23" t="str">
        <f t="shared" si="1"/>
        <v>686233</v>
      </c>
      <c r="L100" s="23"/>
      <c r="M100" s="26"/>
      <c r="N100" s="26"/>
      <c r="O100" s="26"/>
      <c r="P100" s="26"/>
      <c r="Q100" s="26"/>
      <c r="R100" s="26"/>
      <c r="S100" s="26"/>
      <c r="T100" s="26"/>
      <c r="U100" s="26"/>
      <c r="V100" s="26"/>
      <c r="W100" s="26"/>
      <c r="X100" s="26"/>
    </row>
    <row r="101" hidden="1">
      <c r="A101" s="10" t="s">
        <v>190</v>
      </c>
      <c r="B101" s="10" t="s">
        <v>557</v>
      </c>
      <c r="C101" s="27" t="s">
        <v>558</v>
      </c>
      <c r="D101" s="10" t="s">
        <v>559</v>
      </c>
      <c r="E101" s="28" t="s">
        <v>194</v>
      </c>
      <c r="F101" s="23" t="s">
        <v>543</v>
      </c>
      <c r="G101" s="23" t="s">
        <v>1</v>
      </c>
      <c r="H101" s="23" t="s">
        <v>544</v>
      </c>
      <c r="I101" s="32"/>
      <c r="J101" s="23" t="s">
        <v>198</v>
      </c>
      <c r="K101" s="23" t="str">
        <f t="shared" si="1"/>
        <v>685151</v>
      </c>
      <c r="L101" s="23"/>
      <c r="M101" s="26"/>
      <c r="N101" s="26"/>
      <c r="O101" s="26"/>
      <c r="P101" s="26"/>
      <c r="Q101" s="26"/>
      <c r="R101" s="26"/>
      <c r="S101" s="26"/>
      <c r="T101" s="26"/>
      <c r="U101" s="26"/>
      <c r="V101" s="26"/>
      <c r="W101" s="26"/>
      <c r="X101" s="26"/>
    </row>
    <row r="102" hidden="1">
      <c r="A102" s="10" t="s">
        <v>190</v>
      </c>
      <c r="B102" s="10" t="s">
        <v>560</v>
      </c>
      <c r="C102" s="27" t="s">
        <v>561</v>
      </c>
      <c r="D102" s="10" t="s">
        <v>562</v>
      </c>
      <c r="E102" s="28" t="s">
        <v>194</v>
      </c>
      <c r="F102" s="23" t="s">
        <v>543</v>
      </c>
      <c r="G102" s="23" t="s">
        <v>1</v>
      </c>
      <c r="H102" s="23" t="s">
        <v>544</v>
      </c>
      <c r="I102" s="32"/>
      <c r="J102" s="23" t="s">
        <v>198</v>
      </c>
      <c r="K102" s="23" t="str">
        <f t="shared" si="1"/>
        <v>684840xx</v>
      </c>
      <c r="L102" s="23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</row>
    <row r="103" hidden="1">
      <c r="A103" s="10" t="s">
        <v>427</v>
      </c>
      <c r="B103" s="10" t="s">
        <v>563</v>
      </c>
      <c r="C103" s="27" t="s">
        <v>564</v>
      </c>
      <c r="D103" s="10" t="s">
        <v>565</v>
      </c>
      <c r="E103" s="28" t="s">
        <v>534</v>
      </c>
      <c r="F103" s="23" t="s">
        <v>535</v>
      </c>
      <c r="G103" s="23" t="s">
        <v>196</v>
      </c>
      <c r="H103" s="23" t="s">
        <v>566</v>
      </c>
      <c r="I103" s="32"/>
      <c r="J103" s="23" t="s">
        <v>6</v>
      </c>
      <c r="K103" s="23" t="str">
        <f t="shared" si="1"/>
        <v>667409s</v>
      </c>
      <c r="L103" s="23"/>
      <c r="M103" s="26"/>
      <c r="N103" s="26"/>
      <c r="O103" s="26"/>
      <c r="P103" s="26"/>
      <c r="Q103" s="26"/>
      <c r="R103" s="26"/>
      <c r="S103" s="26"/>
      <c r="T103" s="26"/>
      <c r="U103" s="26"/>
      <c r="V103" s="26"/>
      <c r="W103" s="26"/>
      <c r="X103" s="26"/>
    </row>
    <row r="104" hidden="1">
      <c r="A104" s="10" t="s">
        <v>414</v>
      </c>
      <c r="B104" s="10" t="s">
        <v>567</v>
      </c>
      <c r="C104" s="27" t="s">
        <v>568</v>
      </c>
      <c r="D104" s="10" t="s">
        <v>569</v>
      </c>
      <c r="E104" s="28" t="s">
        <v>194</v>
      </c>
      <c r="F104" s="23" t="s">
        <v>525</v>
      </c>
      <c r="G104" s="23" t="s">
        <v>196</v>
      </c>
      <c r="H104" s="23" t="s">
        <v>566</v>
      </c>
      <c r="I104" s="32"/>
      <c r="J104" s="23" t="s">
        <v>6</v>
      </c>
      <c r="K104" s="23" t="str">
        <f t="shared" si="1"/>
        <v>667409p</v>
      </c>
      <c r="L104" s="23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</row>
    <row r="105" hidden="1">
      <c r="A105" s="10" t="s">
        <v>499</v>
      </c>
      <c r="B105" s="10" t="s">
        <v>570</v>
      </c>
      <c r="C105" s="27" t="s">
        <v>571</v>
      </c>
      <c r="D105" s="10" t="s">
        <v>572</v>
      </c>
      <c r="E105" s="28" t="s">
        <v>194</v>
      </c>
      <c r="F105" s="23" t="s">
        <v>525</v>
      </c>
      <c r="G105" s="23" t="s">
        <v>203</v>
      </c>
      <c r="H105" s="23" t="s">
        <v>573</v>
      </c>
      <c r="I105" s="32"/>
      <c r="J105" s="23" t="s">
        <v>6</v>
      </c>
      <c r="K105" s="23" t="str">
        <f t="shared" si="1"/>
        <v>672878</v>
      </c>
      <c r="L105" s="23"/>
      <c r="M105" s="26"/>
      <c r="N105" s="26"/>
      <c r="O105" s="26"/>
      <c r="P105" s="26"/>
      <c r="Q105" s="26"/>
      <c r="R105" s="26"/>
      <c r="S105" s="26"/>
      <c r="T105" s="26"/>
      <c r="U105" s="26"/>
      <c r="V105" s="26"/>
      <c r="W105" s="26"/>
      <c r="X105" s="26"/>
    </row>
    <row r="106" hidden="1">
      <c r="A106" s="10" t="s">
        <v>499</v>
      </c>
      <c r="B106" s="10" t="s">
        <v>574</v>
      </c>
      <c r="C106" s="27" t="s">
        <v>575</v>
      </c>
      <c r="D106" s="10" t="s">
        <v>576</v>
      </c>
      <c r="E106" s="28" t="s">
        <v>194</v>
      </c>
      <c r="F106" s="23" t="s">
        <v>195</v>
      </c>
      <c r="G106" s="23" t="s">
        <v>203</v>
      </c>
      <c r="H106" s="23" t="s">
        <v>573</v>
      </c>
      <c r="I106" s="32"/>
      <c r="J106" s="23" t="s">
        <v>6</v>
      </c>
      <c r="K106" s="23" t="str">
        <f t="shared" si="1"/>
        <v>690490</v>
      </c>
      <c r="L106" s="23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</row>
    <row r="107" hidden="1">
      <c r="A107" s="10" t="s">
        <v>427</v>
      </c>
      <c r="B107" s="10" t="s">
        <v>577</v>
      </c>
      <c r="C107" s="27" t="s">
        <v>578</v>
      </c>
      <c r="D107" s="10" t="s">
        <v>579</v>
      </c>
      <c r="E107" s="28" t="s">
        <v>580</v>
      </c>
      <c r="F107" s="23" t="s">
        <v>581</v>
      </c>
      <c r="G107" s="23" t="s">
        <v>203</v>
      </c>
      <c r="H107" s="23" t="s">
        <v>573</v>
      </c>
      <c r="I107" s="32"/>
      <c r="J107" s="23" t="s">
        <v>6</v>
      </c>
      <c r="K107" s="23" t="str">
        <f t="shared" si="1"/>
        <v>673295xx</v>
      </c>
      <c r="L107" s="23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</row>
    <row r="108" hidden="1">
      <c r="A108" s="10" t="s">
        <v>427</v>
      </c>
      <c r="B108" s="10" t="s">
        <v>582</v>
      </c>
      <c r="C108" s="27" t="s">
        <v>583</v>
      </c>
      <c r="D108" s="10" t="s">
        <v>584</v>
      </c>
      <c r="E108" s="28" t="s">
        <v>580</v>
      </c>
      <c r="F108" s="23" t="s">
        <v>585</v>
      </c>
      <c r="G108" s="23" t="s">
        <v>203</v>
      </c>
      <c r="H108" s="23" t="s">
        <v>573</v>
      </c>
      <c r="I108" s="32"/>
      <c r="J108" s="23" t="s">
        <v>6</v>
      </c>
      <c r="K108" s="23" t="str">
        <f t="shared" si="1"/>
        <v>673301xx</v>
      </c>
      <c r="L108" s="23"/>
      <c r="M108" s="26"/>
      <c r="N108" s="26"/>
      <c r="O108" s="26"/>
      <c r="P108" s="26"/>
      <c r="Q108" s="26"/>
      <c r="R108" s="26"/>
      <c r="S108" s="26"/>
      <c r="T108" s="26"/>
      <c r="U108" s="26"/>
      <c r="V108" s="26"/>
      <c r="W108" s="26"/>
      <c r="X108" s="26"/>
    </row>
    <row r="109" hidden="1">
      <c r="A109" s="10" t="s">
        <v>414</v>
      </c>
      <c r="B109" s="10" t="s">
        <v>586</v>
      </c>
      <c r="C109" s="27" t="s">
        <v>587</v>
      </c>
      <c r="D109" s="10" t="s">
        <v>588</v>
      </c>
      <c r="E109" s="28" t="s">
        <v>194</v>
      </c>
      <c r="F109" s="23" t="s">
        <v>589</v>
      </c>
      <c r="G109" s="23" t="s">
        <v>203</v>
      </c>
      <c r="H109" s="23" t="s">
        <v>573</v>
      </c>
      <c r="I109" s="32"/>
      <c r="J109" s="23" t="s">
        <v>6</v>
      </c>
      <c r="K109" s="23" t="str">
        <f t="shared" si="1"/>
        <v>682778p</v>
      </c>
      <c r="L109" s="23"/>
      <c r="M109" s="26"/>
      <c r="N109" s="26"/>
      <c r="O109" s="26"/>
      <c r="P109" s="26"/>
      <c r="Q109" s="26"/>
      <c r="R109" s="26"/>
      <c r="S109" s="26"/>
      <c r="T109" s="26"/>
      <c r="U109" s="26"/>
      <c r="V109" s="26"/>
      <c r="W109" s="26"/>
      <c r="X109" s="26"/>
    </row>
    <row r="110" hidden="1">
      <c r="A110" s="10" t="s">
        <v>414</v>
      </c>
      <c r="B110" s="10" t="s">
        <v>590</v>
      </c>
      <c r="C110" s="27" t="s">
        <v>591</v>
      </c>
      <c r="D110" s="10" t="s">
        <v>592</v>
      </c>
      <c r="E110" s="28" t="s">
        <v>534</v>
      </c>
      <c r="F110" s="23" t="s">
        <v>535</v>
      </c>
      <c r="G110" s="23" t="s">
        <v>203</v>
      </c>
      <c r="H110" s="23" t="s">
        <v>573</v>
      </c>
      <c r="I110" s="32"/>
      <c r="J110" s="23" t="s">
        <v>6</v>
      </c>
      <c r="K110" s="23" t="str">
        <f t="shared" si="1"/>
        <v>672878p</v>
      </c>
      <c r="L110" s="23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</row>
    <row r="111" hidden="1">
      <c r="A111" s="10" t="s">
        <v>190</v>
      </c>
      <c r="B111" s="10" t="s">
        <v>593</v>
      </c>
      <c r="C111" s="27" t="s">
        <v>269</v>
      </c>
      <c r="D111" s="10" t="s">
        <v>268</v>
      </c>
      <c r="E111" s="28" t="s">
        <v>194</v>
      </c>
      <c r="F111" s="23" t="s">
        <v>195</v>
      </c>
      <c r="G111" s="23" t="s">
        <v>401</v>
      </c>
      <c r="H111" s="23" t="s">
        <v>594</v>
      </c>
      <c r="I111" s="32"/>
      <c r="J111" s="23" t="s">
        <v>198</v>
      </c>
      <c r="K111" s="23" t="str">
        <f t="shared" si="1"/>
        <v>671383xx</v>
      </c>
      <c r="L111" s="23"/>
      <c r="M111" s="26"/>
      <c r="N111" s="26"/>
      <c r="O111" s="26"/>
      <c r="P111" s="26"/>
      <c r="Q111" s="26"/>
      <c r="R111" s="26"/>
      <c r="S111" s="26"/>
      <c r="T111" s="26"/>
      <c r="U111" s="26"/>
      <c r="V111" s="26"/>
      <c r="W111" s="26"/>
      <c r="X111" s="26"/>
    </row>
    <row r="112" hidden="1">
      <c r="A112" s="10" t="s">
        <v>190</v>
      </c>
      <c r="B112" s="10" t="s">
        <v>595</v>
      </c>
      <c r="C112" s="27" t="s">
        <v>275</v>
      </c>
      <c r="D112" s="10" t="s">
        <v>274</v>
      </c>
      <c r="E112" s="28" t="s">
        <v>194</v>
      </c>
      <c r="F112" s="23" t="s">
        <v>195</v>
      </c>
      <c r="G112" s="23" t="s">
        <v>401</v>
      </c>
      <c r="H112" s="23" t="s">
        <v>594</v>
      </c>
      <c r="I112" s="32"/>
      <c r="J112" s="23" t="s">
        <v>198</v>
      </c>
      <c r="K112" s="23" t="str">
        <f t="shared" si="1"/>
        <v>650718</v>
      </c>
      <c r="L112" s="23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</row>
    <row r="113" hidden="1">
      <c r="A113" s="10" t="s">
        <v>190</v>
      </c>
      <c r="B113" s="10" t="s">
        <v>596</v>
      </c>
      <c r="C113" s="27" t="s">
        <v>278</v>
      </c>
      <c r="D113" s="10" t="s">
        <v>277</v>
      </c>
      <c r="E113" s="28" t="s">
        <v>194</v>
      </c>
      <c r="F113" s="23" t="s">
        <v>195</v>
      </c>
      <c r="G113" s="23" t="s">
        <v>401</v>
      </c>
      <c r="H113" s="23" t="s">
        <v>594</v>
      </c>
      <c r="I113" s="32"/>
      <c r="J113" s="23" t="s">
        <v>198</v>
      </c>
      <c r="K113" s="23" t="str">
        <f t="shared" si="1"/>
        <v>659495</v>
      </c>
      <c r="L113" s="23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</row>
    <row r="114" hidden="1">
      <c r="A114" s="10" t="s">
        <v>499</v>
      </c>
      <c r="B114" s="10" t="s">
        <v>597</v>
      </c>
      <c r="C114" s="27" t="s">
        <v>598</v>
      </c>
      <c r="D114" s="10" t="s">
        <v>599</v>
      </c>
      <c r="E114" s="28" t="s">
        <v>194</v>
      </c>
      <c r="F114" s="23" t="s">
        <v>195</v>
      </c>
      <c r="G114" s="23" t="s">
        <v>203</v>
      </c>
      <c r="H114" s="23" t="s">
        <v>600</v>
      </c>
      <c r="I114" s="32"/>
      <c r="J114" s="23" t="s">
        <v>6</v>
      </c>
      <c r="K114" s="23" t="str">
        <f t="shared" si="1"/>
        <v>690469</v>
      </c>
      <c r="L114" s="23"/>
      <c r="M114" s="26"/>
      <c r="N114" s="26"/>
      <c r="O114" s="26"/>
      <c r="P114" s="26"/>
      <c r="Q114" s="26"/>
      <c r="R114" s="26"/>
      <c r="S114" s="26"/>
      <c r="T114" s="26"/>
      <c r="U114" s="26"/>
      <c r="V114" s="26"/>
      <c r="W114" s="26"/>
      <c r="X114" s="26"/>
    </row>
    <row r="115" hidden="1">
      <c r="A115" s="10" t="s">
        <v>427</v>
      </c>
      <c r="B115" s="10" t="s">
        <v>601</v>
      </c>
      <c r="C115" s="27" t="s">
        <v>602</v>
      </c>
      <c r="D115" s="10" t="s">
        <v>603</v>
      </c>
      <c r="E115" s="28" t="s">
        <v>604</v>
      </c>
      <c r="F115" s="23" t="s">
        <v>605</v>
      </c>
      <c r="G115" s="23" t="s">
        <v>521</v>
      </c>
      <c r="H115" s="23" t="s">
        <v>600</v>
      </c>
      <c r="I115" s="32"/>
      <c r="J115" s="23" t="s">
        <v>6</v>
      </c>
      <c r="K115" s="23" t="str">
        <f t="shared" si="1"/>
        <v>674889xx</v>
      </c>
      <c r="L115" s="23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</row>
    <row r="116" hidden="1">
      <c r="A116" s="10" t="s">
        <v>427</v>
      </c>
      <c r="B116" s="10" t="s">
        <v>606</v>
      </c>
      <c r="C116" s="27" t="s">
        <v>607</v>
      </c>
      <c r="D116" s="10" t="s">
        <v>608</v>
      </c>
      <c r="E116" s="28" t="s">
        <v>580</v>
      </c>
      <c r="F116" s="23" t="s">
        <v>581</v>
      </c>
      <c r="G116" s="23" t="s">
        <v>203</v>
      </c>
      <c r="H116" s="23" t="s">
        <v>600</v>
      </c>
      <c r="I116" s="32"/>
      <c r="J116" s="23" t="s">
        <v>6</v>
      </c>
      <c r="K116" s="23" t="str">
        <f t="shared" si="1"/>
        <v>673318xx</v>
      </c>
      <c r="L116" s="23"/>
      <c r="M116" s="26"/>
      <c r="N116" s="26"/>
      <c r="O116" s="26"/>
      <c r="P116" s="26"/>
      <c r="Q116" s="26"/>
      <c r="R116" s="26"/>
      <c r="S116" s="26"/>
      <c r="T116" s="26"/>
      <c r="U116" s="26"/>
      <c r="V116" s="26"/>
      <c r="W116" s="26"/>
      <c r="X116" s="26"/>
    </row>
    <row r="117" hidden="1">
      <c r="A117" s="10" t="s">
        <v>427</v>
      </c>
      <c r="B117" s="10" t="s">
        <v>609</v>
      </c>
      <c r="C117" s="27" t="s">
        <v>610</v>
      </c>
      <c r="D117" s="10" t="s">
        <v>611</v>
      </c>
      <c r="E117" s="28" t="s">
        <v>580</v>
      </c>
      <c r="F117" s="23" t="s">
        <v>585</v>
      </c>
      <c r="G117" s="23" t="s">
        <v>203</v>
      </c>
      <c r="H117" s="23" t="s">
        <v>600</v>
      </c>
      <c r="I117" s="32"/>
      <c r="J117" s="23" t="s">
        <v>6</v>
      </c>
      <c r="K117" s="23" t="str">
        <f t="shared" si="1"/>
        <v>673325xx</v>
      </c>
      <c r="L117" s="23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</row>
    <row r="118" hidden="1">
      <c r="A118" s="10" t="s">
        <v>427</v>
      </c>
      <c r="B118" s="10" t="s">
        <v>612</v>
      </c>
      <c r="C118" s="27" t="s">
        <v>613</v>
      </c>
      <c r="D118" s="10" t="s">
        <v>614</v>
      </c>
      <c r="E118" s="28" t="s">
        <v>418</v>
      </c>
      <c r="F118" s="23" t="s">
        <v>419</v>
      </c>
      <c r="G118" s="23" t="s">
        <v>203</v>
      </c>
      <c r="H118" s="23" t="s">
        <v>600</v>
      </c>
      <c r="I118" s="32"/>
      <c r="J118" s="23" t="s">
        <v>6</v>
      </c>
      <c r="K118" s="23" t="str">
        <f t="shared" si="1"/>
        <v>680712</v>
      </c>
      <c r="L118" s="23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</row>
    <row r="119" hidden="1">
      <c r="A119" s="10" t="s">
        <v>414</v>
      </c>
      <c r="B119" s="10" t="s">
        <v>615</v>
      </c>
      <c r="C119" s="27" t="s">
        <v>616</v>
      </c>
      <c r="D119" s="10" t="s">
        <v>617</v>
      </c>
      <c r="E119" s="28" t="s">
        <v>604</v>
      </c>
      <c r="F119" s="23" t="s">
        <v>605</v>
      </c>
      <c r="G119" s="23" t="s">
        <v>203</v>
      </c>
      <c r="H119" s="23" t="s">
        <v>600</v>
      </c>
      <c r="I119" s="32"/>
      <c r="J119" s="23" t="s">
        <v>6</v>
      </c>
      <c r="K119" s="23" t="str">
        <f t="shared" si="1"/>
        <v>680712p</v>
      </c>
      <c r="L119" s="23"/>
      <c r="M119" s="26"/>
      <c r="N119" s="26"/>
      <c r="O119" s="26"/>
      <c r="P119" s="26"/>
      <c r="Q119" s="26"/>
      <c r="R119" s="26"/>
      <c r="S119" s="26"/>
      <c r="T119" s="26"/>
      <c r="U119" s="26"/>
      <c r="V119" s="26"/>
      <c r="W119" s="26"/>
      <c r="X119" s="26"/>
    </row>
    <row r="120" hidden="1">
      <c r="A120" s="10" t="s">
        <v>190</v>
      </c>
      <c r="B120" s="10" t="s">
        <v>618</v>
      </c>
      <c r="C120" s="27" t="s">
        <v>619</v>
      </c>
      <c r="D120" s="10" t="s">
        <v>620</v>
      </c>
      <c r="E120" s="28" t="s">
        <v>621</v>
      </c>
      <c r="F120" s="23" t="s">
        <v>621</v>
      </c>
      <c r="G120" s="23" t="s">
        <v>621</v>
      </c>
      <c r="H120" s="23" t="s">
        <v>621</v>
      </c>
      <c r="I120" s="23" t="s">
        <v>621</v>
      </c>
      <c r="J120" s="23" t="s">
        <v>229</v>
      </c>
      <c r="K120" s="23" t="str">
        <f t="shared" si="1"/>
        <v>671215</v>
      </c>
      <c r="L120" s="23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</row>
    <row r="121" hidden="1">
      <c r="A121" s="10" t="s">
        <v>190</v>
      </c>
      <c r="B121" s="10" t="s">
        <v>622</v>
      </c>
      <c r="C121" s="27" t="s">
        <v>623</v>
      </c>
      <c r="D121" s="10" t="s">
        <v>624</v>
      </c>
      <c r="E121" s="28" t="s">
        <v>194</v>
      </c>
      <c r="F121" s="23" t="s">
        <v>195</v>
      </c>
      <c r="G121" s="23" t="s">
        <v>196</v>
      </c>
      <c r="H121" s="23" t="s">
        <v>625</v>
      </c>
      <c r="I121" s="23" t="s">
        <v>626</v>
      </c>
      <c r="J121" s="23" t="s">
        <v>198</v>
      </c>
      <c r="K121" s="23" t="str">
        <f t="shared" si="1"/>
        <v>677354xx</v>
      </c>
      <c r="L121" s="23"/>
      <c r="M121" s="26"/>
      <c r="N121" s="26"/>
      <c r="O121" s="26"/>
      <c r="P121" s="26"/>
      <c r="Q121" s="26"/>
      <c r="R121" s="26"/>
      <c r="S121" s="26"/>
      <c r="T121" s="26"/>
      <c r="U121" s="26"/>
      <c r="V121" s="26"/>
      <c r="W121" s="26"/>
      <c r="X121" s="26"/>
    </row>
    <row r="122" hidden="1">
      <c r="A122" s="10" t="s">
        <v>190</v>
      </c>
      <c r="B122" s="10" t="s">
        <v>627</v>
      </c>
      <c r="C122" s="27" t="s">
        <v>628</v>
      </c>
      <c r="D122" s="10" t="s">
        <v>629</v>
      </c>
      <c r="E122" s="28" t="s">
        <v>194</v>
      </c>
      <c r="F122" s="23" t="s">
        <v>195</v>
      </c>
      <c r="G122" s="23" t="s">
        <v>196</v>
      </c>
      <c r="H122" s="23" t="s">
        <v>625</v>
      </c>
      <c r="I122" s="23" t="s">
        <v>626</v>
      </c>
      <c r="J122" s="23" t="s">
        <v>238</v>
      </c>
      <c r="K122" s="23" t="str">
        <f t="shared" si="1"/>
        <v>677347xx</v>
      </c>
      <c r="L122" s="23"/>
      <c r="M122" s="26"/>
      <c r="N122" s="26"/>
      <c r="O122" s="26"/>
      <c r="P122" s="26"/>
      <c r="Q122" s="26"/>
      <c r="R122" s="26"/>
      <c r="S122" s="26"/>
      <c r="T122" s="26"/>
      <c r="U122" s="26"/>
      <c r="V122" s="26"/>
      <c r="W122" s="26"/>
      <c r="X122" s="26"/>
    </row>
    <row r="123" hidden="1">
      <c r="A123" s="10" t="s">
        <v>190</v>
      </c>
      <c r="B123" s="10" t="s">
        <v>630</v>
      </c>
      <c r="C123" s="27" t="s">
        <v>631</v>
      </c>
      <c r="D123" s="10" t="s">
        <v>632</v>
      </c>
      <c r="E123" s="28" t="s">
        <v>194</v>
      </c>
      <c r="F123" s="23" t="s">
        <v>195</v>
      </c>
      <c r="G123" s="23" t="s">
        <v>196</v>
      </c>
      <c r="H123" s="23" t="s">
        <v>625</v>
      </c>
      <c r="I123" s="23" t="s">
        <v>626</v>
      </c>
      <c r="J123" s="23" t="s">
        <v>198</v>
      </c>
      <c r="K123" s="23" t="str">
        <f t="shared" si="1"/>
        <v>677354</v>
      </c>
      <c r="L123" s="23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</row>
    <row r="124" hidden="1">
      <c r="A124" s="10" t="s">
        <v>190</v>
      </c>
      <c r="B124" s="10" t="s">
        <v>633</v>
      </c>
      <c r="C124" s="27" t="s">
        <v>634</v>
      </c>
      <c r="D124" s="10" t="s">
        <v>635</v>
      </c>
      <c r="E124" s="28" t="s">
        <v>194</v>
      </c>
      <c r="F124" s="23" t="s">
        <v>195</v>
      </c>
      <c r="G124" s="23" t="s">
        <v>196</v>
      </c>
      <c r="H124" s="23" t="s">
        <v>625</v>
      </c>
      <c r="I124" s="23" t="s">
        <v>626</v>
      </c>
      <c r="J124" s="23" t="s">
        <v>238</v>
      </c>
      <c r="K124" s="23" t="str">
        <f t="shared" si="1"/>
        <v>677347</v>
      </c>
      <c r="L124" s="23"/>
      <c r="M124" s="26"/>
      <c r="N124" s="26"/>
      <c r="O124" s="26"/>
      <c r="P124" s="26"/>
      <c r="Q124" s="26"/>
      <c r="R124" s="26"/>
      <c r="S124" s="26"/>
      <c r="T124" s="26"/>
      <c r="U124" s="26"/>
      <c r="V124" s="26"/>
      <c r="W124" s="26"/>
      <c r="X124" s="26"/>
    </row>
    <row r="125" hidden="1">
      <c r="A125" s="10" t="s">
        <v>190</v>
      </c>
      <c r="B125" s="10" t="s">
        <v>636</v>
      </c>
      <c r="C125" s="27" t="s">
        <v>637</v>
      </c>
      <c r="D125" s="10" t="s">
        <v>638</v>
      </c>
      <c r="E125" s="28" t="s">
        <v>194</v>
      </c>
      <c r="F125" s="23" t="s">
        <v>195</v>
      </c>
      <c r="G125" s="23" t="s">
        <v>203</v>
      </c>
      <c r="H125" s="23" t="s">
        <v>625</v>
      </c>
      <c r="I125" s="23" t="s">
        <v>639</v>
      </c>
      <c r="J125" s="23" t="s">
        <v>198</v>
      </c>
      <c r="K125" s="23" t="str">
        <f t="shared" si="1"/>
        <v>648736xx</v>
      </c>
      <c r="L125" s="23"/>
      <c r="M125" s="26"/>
      <c r="N125" s="26"/>
      <c r="O125" s="26"/>
      <c r="P125" s="26"/>
      <c r="Q125" s="26"/>
      <c r="R125" s="26"/>
      <c r="S125" s="26"/>
      <c r="T125" s="26"/>
      <c r="U125" s="26"/>
      <c r="V125" s="26"/>
      <c r="W125" s="26"/>
      <c r="X125" s="26"/>
    </row>
    <row r="126" hidden="1">
      <c r="A126" s="10" t="s">
        <v>190</v>
      </c>
      <c r="B126" s="10" t="s">
        <v>640</v>
      </c>
      <c r="C126" s="27" t="s">
        <v>641</v>
      </c>
      <c r="D126" s="10" t="s">
        <v>642</v>
      </c>
      <c r="E126" s="28" t="s">
        <v>194</v>
      </c>
      <c r="F126" s="23" t="s">
        <v>195</v>
      </c>
      <c r="G126" s="23" t="s">
        <v>196</v>
      </c>
      <c r="H126" s="23" t="s">
        <v>625</v>
      </c>
      <c r="I126" s="23" t="s">
        <v>626</v>
      </c>
      <c r="J126" s="23" t="s">
        <v>198</v>
      </c>
      <c r="K126" s="23" t="str">
        <f t="shared" si="1"/>
        <v>680798xx</v>
      </c>
      <c r="L126" s="23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</row>
    <row r="127" hidden="1">
      <c r="A127" s="10" t="s">
        <v>190</v>
      </c>
      <c r="B127" s="10" t="s">
        <v>643</v>
      </c>
      <c r="C127" s="27" t="s">
        <v>644</v>
      </c>
      <c r="D127" s="10" t="s">
        <v>645</v>
      </c>
      <c r="E127" s="28" t="s">
        <v>194</v>
      </c>
      <c r="F127" s="23" t="s">
        <v>195</v>
      </c>
      <c r="G127" s="23" t="s">
        <v>196</v>
      </c>
      <c r="H127" s="23" t="s">
        <v>625</v>
      </c>
      <c r="I127" s="23" t="s">
        <v>626</v>
      </c>
      <c r="J127" s="23" t="s">
        <v>198</v>
      </c>
      <c r="K127" s="23" t="str">
        <f t="shared" si="1"/>
        <v>680798</v>
      </c>
      <c r="L127" s="23"/>
      <c r="M127" s="26"/>
      <c r="N127" s="26"/>
      <c r="O127" s="26"/>
      <c r="P127" s="26"/>
      <c r="Q127" s="26"/>
      <c r="R127" s="26"/>
      <c r="S127" s="26"/>
      <c r="T127" s="26"/>
      <c r="U127" s="26"/>
      <c r="V127" s="26"/>
      <c r="W127" s="26"/>
      <c r="X127" s="26"/>
    </row>
    <row r="128" hidden="1">
      <c r="A128" s="10" t="s">
        <v>190</v>
      </c>
      <c r="B128" s="10" t="s">
        <v>646</v>
      </c>
      <c r="C128" s="27" t="s">
        <v>647</v>
      </c>
      <c r="D128" s="10" t="s">
        <v>648</v>
      </c>
      <c r="E128" s="28" t="s">
        <v>194</v>
      </c>
      <c r="F128" s="23" t="s">
        <v>195</v>
      </c>
      <c r="G128" s="23" t="s">
        <v>203</v>
      </c>
      <c r="H128" s="23" t="s">
        <v>649</v>
      </c>
      <c r="I128" s="32"/>
      <c r="J128" s="23" t="s">
        <v>229</v>
      </c>
      <c r="K128" s="23" t="str">
        <f t="shared" si="1"/>
        <v>687018cc</v>
      </c>
      <c r="L128" s="23"/>
      <c r="M128" s="26"/>
      <c r="N128" s="26"/>
      <c r="O128" s="26"/>
      <c r="P128" s="26"/>
      <c r="Q128" s="26"/>
      <c r="R128" s="26"/>
      <c r="S128" s="26"/>
      <c r="T128" s="26"/>
      <c r="U128" s="26"/>
      <c r="V128" s="26"/>
      <c r="W128" s="26"/>
      <c r="X128" s="26"/>
    </row>
    <row r="129" hidden="1">
      <c r="A129" s="10" t="s">
        <v>190</v>
      </c>
      <c r="B129" s="10" t="s">
        <v>650</v>
      </c>
      <c r="C129" s="27" t="s">
        <v>651</v>
      </c>
      <c r="D129" s="10" t="s">
        <v>652</v>
      </c>
      <c r="E129" s="28" t="s">
        <v>194</v>
      </c>
      <c r="F129" s="23" t="s">
        <v>195</v>
      </c>
      <c r="G129" s="23" t="s">
        <v>203</v>
      </c>
      <c r="H129" s="23" t="s">
        <v>653</v>
      </c>
      <c r="I129" s="23" t="s">
        <v>654</v>
      </c>
      <c r="J129" s="23" t="s">
        <v>229</v>
      </c>
      <c r="K129" s="23" t="str">
        <f t="shared" si="1"/>
        <v>676555cc</v>
      </c>
      <c r="L129" s="23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</row>
    <row r="130" hidden="1">
      <c r="A130" s="10" t="s">
        <v>190</v>
      </c>
      <c r="B130" s="10" t="s">
        <v>655</v>
      </c>
      <c r="C130" s="27" t="s">
        <v>656</v>
      </c>
      <c r="D130" s="10" t="s">
        <v>657</v>
      </c>
      <c r="E130" s="28" t="s">
        <v>194</v>
      </c>
      <c r="F130" s="23" t="s">
        <v>195</v>
      </c>
      <c r="G130" s="23" t="s">
        <v>203</v>
      </c>
      <c r="H130" s="23" t="s">
        <v>653</v>
      </c>
      <c r="I130" s="23" t="s">
        <v>658</v>
      </c>
      <c r="J130" s="23" t="s">
        <v>198</v>
      </c>
      <c r="K130" s="23" t="str">
        <f t="shared" si="1"/>
        <v>649207c</v>
      </c>
      <c r="L130" s="23"/>
      <c r="M130" s="26"/>
      <c r="N130" s="26"/>
      <c r="O130" s="26"/>
      <c r="P130" s="26"/>
      <c r="Q130" s="26"/>
      <c r="R130" s="26"/>
      <c r="S130" s="26"/>
      <c r="T130" s="26"/>
      <c r="U130" s="26"/>
      <c r="V130" s="26"/>
      <c r="W130" s="26"/>
      <c r="X130" s="26"/>
    </row>
    <row r="131" hidden="1">
      <c r="A131" s="10" t="s">
        <v>190</v>
      </c>
      <c r="B131" s="10" t="s">
        <v>659</v>
      </c>
      <c r="C131" s="27" t="s">
        <v>660</v>
      </c>
      <c r="D131" s="10" t="s">
        <v>661</v>
      </c>
      <c r="E131" s="28" t="s">
        <v>194</v>
      </c>
      <c r="F131" s="23" t="s">
        <v>195</v>
      </c>
      <c r="G131" s="23" t="s">
        <v>203</v>
      </c>
      <c r="H131" s="23" t="s">
        <v>653</v>
      </c>
      <c r="I131" s="23" t="s">
        <v>658</v>
      </c>
      <c r="J131" s="23" t="s">
        <v>198</v>
      </c>
      <c r="K131" s="23" t="str">
        <f t="shared" si="1"/>
        <v>649207</v>
      </c>
      <c r="L131" s="23"/>
      <c r="M131" s="26"/>
      <c r="N131" s="26"/>
      <c r="O131" s="26"/>
      <c r="P131" s="26"/>
      <c r="Q131" s="26"/>
      <c r="R131" s="26"/>
      <c r="S131" s="26"/>
      <c r="T131" s="26"/>
      <c r="U131" s="26"/>
      <c r="V131" s="26"/>
      <c r="W131" s="26"/>
      <c r="X131" s="26"/>
    </row>
    <row r="132" hidden="1">
      <c r="A132" s="10" t="s">
        <v>190</v>
      </c>
      <c r="B132" s="10" t="s">
        <v>662</v>
      </c>
      <c r="C132" s="27" t="s">
        <v>663</v>
      </c>
      <c r="D132" s="10" t="s">
        <v>664</v>
      </c>
      <c r="E132" s="28" t="s">
        <v>194</v>
      </c>
      <c r="F132" s="23" t="s">
        <v>195</v>
      </c>
      <c r="G132" s="23" t="s">
        <v>203</v>
      </c>
      <c r="H132" s="23" t="s">
        <v>653</v>
      </c>
      <c r="I132" s="23" t="s">
        <v>658</v>
      </c>
      <c r="J132" s="23" t="s">
        <v>198</v>
      </c>
      <c r="K132" s="23" t="str">
        <f t="shared" si="1"/>
        <v>687018</v>
      </c>
      <c r="L132" s="23"/>
      <c r="M132" s="26"/>
      <c r="N132" s="26"/>
      <c r="O132" s="26"/>
      <c r="P132" s="26"/>
      <c r="Q132" s="26"/>
      <c r="R132" s="26"/>
      <c r="S132" s="26"/>
      <c r="T132" s="26"/>
      <c r="U132" s="26"/>
      <c r="V132" s="26"/>
      <c r="W132" s="26"/>
      <c r="X132" s="26"/>
    </row>
    <row r="133" hidden="1">
      <c r="A133" s="10" t="s">
        <v>190</v>
      </c>
      <c r="B133" s="10" t="s">
        <v>665</v>
      </c>
      <c r="C133" s="27" t="s">
        <v>666</v>
      </c>
      <c r="D133" s="10" t="s">
        <v>667</v>
      </c>
      <c r="E133" s="28" t="s">
        <v>194</v>
      </c>
      <c r="F133" s="23" t="s">
        <v>195</v>
      </c>
      <c r="G133" s="23" t="s">
        <v>203</v>
      </c>
      <c r="H133" s="23" t="s">
        <v>653</v>
      </c>
      <c r="I133" s="23" t="s">
        <v>668</v>
      </c>
      <c r="J133" s="23" t="s">
        <v>229</v>
      </c>
      <c r="K133" s="23" t="str">
        <f t="shared" si="1"/>
        <v>652139c</v>
      </c>
      <c r="L133" s="23"/>
      <c r="M133" s="26"/>
      <c r="N133" s="26"/>
      <c r="O133" s="26"/>
      <c r="P133" s="26"/>
      <c r="Q133" s="26"/>
      <c r="R133" s="26"/>
      <c r="S133" s="26"/>
      <c r="T133" s="26"/>
      <c r="U133" s="26"/>
      <c r="V133" s="26"/>
      <c r="W133" s="26"/>
      <c r="X133" s="26"/>
    </row>
    <row r="134" hidden="1">
      <c r="A134" s="10" t="s">
        <v>190</v>
      </c>
      <c r="B134" s="10" t="s">
        <v>669</v>
      </c>
      <c r="C134" s="27" t="s">
        <v>670</v>
      </c>
      <c r="D134" s="10" t="s">
        <v>671</v>
      </c>
      <c r="E134" s="28" t="s">
        <v>194</v>
      </c>
      <c r="F134" s="23" t="s">
        <v>195</v>
      </c>
      <c r="G134" s="23" t="s">
        <v>203</v>
      </c>
      <c r="H134" s="23" t="s">
        <v>653</v>
      </c>
      <c r="I134" s="23" t="s">
        <v>672</v>
      </c>
      <c r="J134" s="23" t="s">
        <v>238</v>
      </c>
      <c r="K134" s="23" t="str">
        <f t="shared" si="1"/>
        <v>688220cc</v>
      </c>
      <c r="L134" s="23"/>
      <c r="M134" s="26"/>
      <c r="N134" s="26"/>
      <c r="O134" s="26"/>
      <c r="P134" s="26"/>
      <c r="Q134" s="26"/>
      <c r="R134" s="26"/>
      <c r="S134" s="26"/>
      <c r="T134" s="26"/>
      <c r="U134" s="26"/>
      <c r="V134" s="26"/>
      <c r="W134" s="26"/>
      <c r="X134" s="26"/>
    </row>
    <row r="135" hidden="1">
      <c r="A135" s="10" t="s">
        <v>190</v>
      </c>
      <c r="B135" s="10" t="s">
        <v>673</v>
      </c>
      <c r="C135" s="27" t="s">
        <v>674</v>
      </c>
      <c r="D135" s="10" t="s">
        <v>675</v>
      </c>
      <c r="E135" s="28" t="s">
        <v>194</v>
      </c>
      <c r="F135" s="23" t="s">
        <v>195</v>
      </c>
      <c r="G135" s="23" t="s">
        <v>203</v>
      </c>
      <c r="H135" s="23" t="s">
        <v>653</v>
      </c>
      <c r="I135" s="23" t="s">
        <v>672</v>
      </c>
      <c r="J135" s="23" t="s">
        <v>238</v>
      </c>
      <c r="K135" s="23" t="str">
        <f t="shared" si="1"/>
        <v>688220</v>
      </c>
      <c r="L135" s="23"/>
      <c r="M135" s="26"/>
      <c r="N135" s="26"/>
      <c r="O135" s="26"/>
      <c r="P135" s="26"/>
      <c r="Q135" s="26"/>
      <c r="R135" s="26"/>
      <c r="S135" s="26"/>
      <c r="T135" s="26"/>
      <c r="U135" s="26"/>
      <c r="V135" s="26"/>
      <c r="W135" s="26"/>
      <c r="X135" s="26"/>
    </row>
    <row r="136" hidden="1">
      <c r="A136" s="10" t="s">
        <v>190</v>
      </c>
      <c r="B136" s="10" t="s">
        <v>676</v>
      </c>
      <c r="C136" s="27" t="s">
        <v>677</v>
      </c>
      <c r="D136" s="10" t="s">
        <v>678</v>
      </c>
      <c r="E136" s="28" t="s">
        <v>194</v>
      </c>
      <c r="F136" s="23" t="s">
        <v>195</v>
      </c>
      <c r="G136" s="23" t="s">
        <v>203</v>
      </c>
      <c r="H136" s="23" t="s">
        <v>653</v>
      </c>
      <c r="I136" s="23" t="s">
        <v>668</v>
      </c>
      <c r="J136" s="23" t="s">
        <v>229</v>
      </c>
      <c r="K136" s="23" t="str">
        <f t="shared" si="1"/>
        <v>652139</v>
      </c>
      <c r="L136" s="23"/>
      <c r="M136" s="26"/>
      <c r="N136" s="26"/>
      <c r="O136" s="26"/>
      <c r="P136" s="26"/>
      <c r="Q136" s="26"/>
      <c r="R136" s="26"/>
      <c r="S136" s="26"/>
      <c r="T136" s="26"/>
      <c r="U136" s="26"/>
      <c r="V136" s="26"/>
      <c r="W136" s="26"/>
      <c r="X136" s="26"/>
    </row>
    <row r="137" hidden="1">
      <c r="A137" s="10" t="s">
        <v>190</v>
      </c>
      <c r="B137" s="10" t="s">
        <v>679</v>
      </c>
      <c r="C137" s="27" t="s">
        <v>680</v>
      </c>
      <c r="D137" s="10" t="s">
        <v>681</v>
      </c>
      <c r="E137" s="28" t="s">
        <v>194</v>
      </c>
      <c r="F137" s="23" t="s">
        <v>195</v>
      </c>
      <c r="G137" s="23" t="s">
        <v>203</v>
      </c>
      <c r="H137" s="23" t="s">
        <v>309</v>
      </c>
      <c r="I137" s="23" t="s">
        <v>310</v>
      </c>
      <c r="J137" s="23" t="s">
        <v>198</v>
      </c>
      <c r="K137" s="23" t="str">
        <f t="shared" si="1"/>
        <v>673349c</v>
      </c>
      <c r="L137" s="23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</row>
    <row r="138" hidden="1">
      <c r="A138" s="10" t="s">
        <v>190</v>
      </c>
      <c r="B138" s="10" t="s">
        <v>682</v>
      </c>
      <c r="C138" s="27" t="s">
        <v>683</v>
      </c>
      <c r="D138" s="10" t="s">
        <v>684</v>
      </c>
      <c r="E138" s="28" t="s">
        <v>194</v>
      </c>
      <c r="F138" s="23" t="s">
        <v>195</v>
      </c>
      <c r="G138" s="23" t="s">
        <v>203</v>
      </c>
      <c r="H138" s="23" t="s">
        <v>309</v>
      </c>
      <c r="I138" s="23" t="s">
        <v>310</v>
      </c>
      <c r="J138" s="23" t="s">
        <v>198</v>
      </c>
      <c r="K138" s="23" t="str">
        <f t="shared" si="1"/>
        <v>673318</v>
      </c>
      <c r="L138" s="23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</row>
    <row r="139" hidden="1">
      <c r="A139" s="10" t="s">
        <v>190</v>
      </c>
      <c r="B139" s="10" t="s">
        <v>685</v>
      </c>
      <c r="C139" s="27" t="s">
        <v>686</v>
      </c>
      <c r="D139" s="10" t="s">
        <v>687</v>
      </c>
      <c r="E139" s="28" t="s">
        <v>194</v>
      </c>
      <c r="F139" s="23" t="s">
        <v>195</v>
      </c>
      <c r="G139" s="23" t="s">
        <v>203</v>
      </c>
      <c r="H139" s="23" t="s">
        <v>309</v>
      </c>
      <c r="I139" s="23" t="s">
        <v>310</v>
      </c>
      <c r="J139" s="23" t="s">
        <v>198</v>
      </c>
      <c r="K139" s="23" t="str">
        <f t="shared" si="1"/>
        <v>673325</v>
      </c>
      <c r="L139" s="23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</row>
    <row r="140" hidden="1">
      <c r="A140" s="10" t="s">
        <v>190</v>
      </c>
      <c r="B140" s="10" t="s">
        <v>688</v>
      </c>
      <c r="C140" s="27" t="s">
        <v>689</v>
      </c>
      <c r="D140" s="10" t="s">
        <v>690</v>
      </c>
      <c r="E140" s="28" t="s">
        <v>194</v>
      </c>
      <c r="F140" s="23" t="s">
        <v>195</v>
      </c>
      <c r="G140" s="23" t="s">
        <v>203</v>
      </c>
      <c r="H140" s="23" t="s">
        <v>309</v>
      </c>
      <c r="I140" s="23" t="s">
        <v>310</v>
      </c>
      <c r="J140" s="23" t="s">
        <v>198</v>
      </c>
      <c r="K140" s="23" t="str">
        <f t="shared" si="1"/>
        <v>673363</v>
      </c>
      <c r="L140" s="23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</row>
    <row r="141" hidden="1">
      <c r="A141" s="10" t="s">
        <v>190</v>
      </c>
      <c r="B141" s="10" t="s">
        <v>691</v>
      </c>
      <c r="C141" s="27" t="s">
        <v>692</v>
      </c>
      <c r="D141" s="10" t="s">
        <v>693</v>
      </c>
      <c r="E141" s="28" t="s">
        <v>194</v>
      </c>
      <c r="F141" s="23" t="s">
        <v>195</v>
      </c>
      <c r="G141" s="23" t="s">
        <v>203</v>
      </c>
      <c r="H141" s="23" t="s">
        <v>309</v>
      </c>
      <c r="I141" s="23" t="s">
        <v>694</v>
      </c>
      <c r="J141" s="23" t="s">
        <v>198</v>
      </c>
      <c r="K141" s="23" t="str">
        <f t="shared" si="1"/>
        <v>673301</v>
      </c>
      <c r="L141" s="23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</row>
    <row r="142" hidden="1">
      <c r="A142" s="10" t="s">
        <v>190</v>
      </c>
      <c r="B142" s="10" t="s">
        <v>695</v>
      </c>
      <c r="C142" s="27" t="s">
        <v>696</v>
      </c>
      <c r="D142" s="10" t="s">
        <v>697</v>
      </c>
      <c r="E142" s="28" t="s">
        <v>194</v>
      </c>
      <c r="F142" s="23" t="s">
        <v>195</v>
      </c>
      <c r="G142" s="23" t="s">
        <v>203</v>
      </c>
      <c r="H142" s="23" t="s">
        <v>309</v>
      </c>
      <c r="I142" s="23" t="s">
        <v>694</v>
      </c>
      <c r="J142" s="23" t="s">
        <v>198</v>
      </c>
      <c r="K142" s="23" t="str">
        <f t="shared" si="1"/>
        <v>673295</v>
      </c>
      <c r="L142" s="23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</row>
    <row r="143" hidden="1">
      <c r="A143" s="10" t="s">
        <v>190</v>
      </c>
      <c r="B143" s="10" t="s">
        <v>698</v>
      </c>
      <c r="C143" s="27" t="s">
        <v>699</v>
      </c>
      <c r="D143" s="10" t="s">
        <v>700</v>
      </c>
      <c r="E143" s="28" t="s">
        <v>194</v>
      </c>
      <c r="F143" s="23" t="s">
        <v>195</v>
      </c>
      <c r="G143" s="23" t="s">
        <v>203</v>
      </c>
      <c r="H143" s="23" t="s">
        <v>284</v>
      </c>
      <c r="I143" s="23" t="s">
        <v>701</v>
      </c>
      <c r="J143" s="23" t="s">
        <v>198</v>
      </c>
      <c r="K143" s="23" t="str">
        <f t="shared" si="1"/>
        <v>691121c</v>
      </c>
      <c r="L143" s="23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</row>
    <row r="144" hidden="1">
      <c r="A144" s="10" t="s">
        <v>190</v>
      </c>
      <c r="B144" s="10" t="s">
        <v>702</v>
      </c>
      <c r="C144" s="27" t="s">
        <v>703</v>
      </c>
      <c r="D144" s="10" t="s">
        <v>704</v>
      </c>
      <c r="E144" s="28" t="s">
        <v>194</v>
      </c>
      <c r="F144" s="23" t="s">
        <v>195</v>
      </c>
      <c r="G144" s="23" t="s">
        <v>203</v>
      </c>
      <c r="H144" s="23" t="s">
        <v>284</v>
      </c>
      <c r="I144" s="23" t="s">
        <v>705</v>
      </c>
      <c r="J144" s="23" t="s">
        <v>198</v>
      </c>
      <c r="K144" s="23" t="str">
        <f t="shared" si="1"/>
        <v>603643c</v>
      </c>
      <c r="L144" s="23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</row>
    <row r="145" hidden="1">
      <c r="A145" s="10" t="s">
        <v>190</v>
      </c>
      <c r="B145" s="10" t="s">
        <v>706</v>
      </c>
      <c r="C145" s="27" t="s">
        <v>707</v>
      </c>
      <c r="D145" s="10" t="s">
        <v>708</v>
      </c>
      <c r="E145" s="28" t="s">
        <v>194</v>
      </c>
      <c r="F145" s="23" t="s">
        <v>195</v>
      </c>
      <c r="G145" s="23" t="s">
        <v>203</v>
      </c>
      <c r="H145" s="23" t="s">
        <v>284</v>
      </c>
      <c r="I145" s="23" t="s">
        <v>705</v>
      </c>
      <c r="J145" s="23" t="s">
        <v>198</v>
      </c>
      <c r="K145" s="23" t="str">
        <f t="shared" si="1"/>
        <v>603643</v>
      </c>
      <c r="L145" s="23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</row>
    <row r="146" hidden="1">
      <c r="A146" s="10" t="s">
        <v>190</v>
      </c>
      <c r="B146" s="10" t="s">
        <v>709</v>
      </c>
      <c r="C146" s="27" t="s">
        <v>710</v>
      </c>
      <c r="D146" s="10" t="s">
        <v>711</v>
      </c>
      <c r="E146" s="28" t="s">
        <v>194</v>
      </c>
      <c r="F146" s="23" t="s">
        <v>195</v>
      </c>
      <c r="G146" s="23" t="s">
        <v>203</v>
      </c>
      <c r="H146" s="23" t="s">
        <v>284</v>
      </c>
      <c r="I146" s="23" t="s">
        <v>705</v>
      </c>
      <c r="J146" s="23" t="s">
        <v>198</v>
      </c>
      <c r="K146" s="23" t="str">
        <f t="shared" si="1"/>
        <v>685953</v>
      </c>
      <c r="L146" s="23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</row>
    <row r="147" hidden="1">
      <c r="A147" s="10" t="s">
        <v>190</v>
      </c>
      <c r="B147" s="10" t="s">
        <v>712</v>
      </c>
      <c r="C147" s="27" t="s">
        <v>713</v>
      </c>
      <c r="D147" s="10" t="s">
        <v>714</v>
      </c>
      <c r="E147" s="28" t="s">
        <v>194</v>
      </c>
      <c r="F147" s="23" t="s">
        <v>195</v>
      </c>
      <c r="G147" s="23" t="s">
        <v>203</v>
      </c>
      <c r="H147" s="23" t="s">
        <v>284</v>
      </c>
      <c r="I147" s="23" t="s">
        <v>705</v>
      </c>
      <c r="J147" s="23" t="s">
        <v>198</v>
      </c>
      <c r="K147" s="23" t="str">
        <f t="shared" si="1"/>
        <v>685953c</v>
      </c>
      <c r="L147" s="23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</row>
    <row r="148" hidden="1">
      <c r="A148" s="10" t="s">
        <v>190</v>
      </c>
      <c r="B148" s="10" t="s">
        <v>715</v>
      </c>
      <c r="C148" s="27" t="s">
        <v>716</v>
      </c>
      <c r="D148" s="10" t="s">
        <v>717</v>
      </c>
      <c r="E148" s="28" t="s">
        <v>194</v>
      </c>
      <c r="F148" s="23" t="s">
        <v>195</v>
      </c>
      <c r="G148" s="23" t="s">
        <v>203</v>
      </c>
      <c r="H148" s="23" t="s">
        <v>284</v>
      </c>
      <c r="I148" s="23" t="s">
        <v>701</v>
      </c>
      <c r="J148" s="23" t="s">
        <v>198</v>
      </c>
      <c r="K148" s="23" t="str">
        <f t="shared" si="1"/>
        <v>685045</v>
      </c>
      <c r="L148" s="23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</row>
    <row r="149" hidden="1">
      <c r="A149" s="10" t="s">
        <v>190</v>
      </c>
      <c r="B149" s="10" t="s">
        <v>718</v>
      </c>
      <c r="C149" s="27" t="s">
        <v>719</v>
      </c>
      <c r="D149" s="10" t="s">
        <v>720</v>
      </c>
      <c r="E149" s="28" t="s">
        <v>194</v>
      </c>
      <c r="F149" s="23" t="s">
        <v>195</v>
      </c>
      <c r="G149" s="23" t="s">
        <v>196</v>
      </c>
      <c r="H149" s="23" t="s">
        <v>284</v>
      </c>
      <c r="I149" s="32"/>
      <c r="J149" s="23" t="s">
        <v>198</v>
      </c>
      <c r="K149" s="23" t="str">
        <f t="shared" si="1"/>
        <v>685045c</v>
      </c>
      <c r="L149" s="23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</row>
    <row r="150" hidden="1">
      <c r="A150" s="10" t="s">
        <v>190</v>
      </c>
      <c r="B150" s="10" t="s">
        <v>721</v>
      </c>
      <c r="C150" s="27" t="s">
        <v>722</v>
      </c>
      <c r="D150" s="10" t="s">
        <v>723</v>
      </c>
      <c r="E150" s="28" t="s">
        <v>194</v>
      </c>
      <c r="F150" s="23" t="s">
        <v>195</v>
      </c>
      <c r="G150" s="23" t="s">
        <v>196</v>
      </c>
      <c r="H150" s="23" t="s">
        <v>284</v>
      </c>
      <c r="I150" s="32"/>
      <c r="J150" s="23" t="s">
        <v>198</v>
      </c>
      <c r="K150" s="23" t="str">
        <f t="shared" si="1"/>
        <v>690179</v>
      </c>
      <c r="L150" s="23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</row>
    <row r="151" hidden="1">
      <c r="A151" s="10" t="s">
        <v>190</v>
      </c>
      <c r="B151" s="10" t="s">
        <v>724</v>
      </c>
      <c r="C151" s="27" t="s">
        <v>725</v>
      </c>
      <c r="D151" s="10" t="s">
        <v>726</v>
      </c>
      <c r="E151" s="28" t="s">
        <v>194</v>
      </c>
      <c r="F151" s="23" t="s">
        <v>195</v>
      </c>
      <c r="G151" s="23" t="s">
        <v>203</v>
      </c>
      <c r="H151" s="23" t="s">
        <v>284</v>
      </c>
      <c r="I151" s="23" t="s">
        <v>285</v>
      </c>
      <c r="J151" s="23" t="s">
        <v>198</v>
      </c>
      <c r="K151" s="23" t="str">
        <f t="shared" si="1"/>
        <v>625638aa</v>
      </c>
      <c r="L151" s="23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</row>
    <row r="152" hidden="1">
      <c r="A152" s="10" t="s">
        <v>414</v>
      </c>
      <c r="B152" s="10" t="s">
        <v>727</v>
      </c>
      <c r="C152" s="27" t="s">
        <v>728</v>
      </c>
      <c r="D152" s="10" t="s">
        <v>729</v>
      </c>
      <c r="E152" s="28" t="s">
        <v>194</v>
      </c>
      <c r="F152" s="23" t="s">
        <v>195</v>
      </c>
      <c r="G152" s="23" t="s">
        <v>196</v>
      </c>
      <c r="H152" s="23" t="s">
        <v>284</v>
      </c>
      <c r="I152" s="32"/>
      <c r="J152" s="23" t="s">
        <v>6</v>
      </c>
      <c r="K152" s="23" t="str">
        <f t="shared" si="1"/>
        <v>605654p</v>
      </c>
      <c r="L152" s="23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</row>
    <row r="153" hidden="1">
      <c r="A153" s="10" t="s">
        <v>414</v>
      </c>
      <c r="B153" s="10" t="s">
        <v>730</v>
      </c>
      <c r="C153" s="27" t="s">
        <v>731</v>
      </c>
      <c r="D153" s="10" t="s">
        <v>732</v>
      </c>
      <c r="E153" s="28" t="s">
        <v>194</v>
      </c>
      <c r="F153" s="23" t="s">
        <v>195</v>
      </c>
      <c r="G153" s="23" t="s">
        <v>196</v>
      </c>
      <c r="H153" s="23" t="s">
        <v>284</v>
      </c>
      <c r="I153" s="32"/>
      <c r="J153" s="23" t="s">
        <v>6</v>
      </c>
      <c r="K153" s="23" t="str">
        <f t="shared" si="1"/>
        <v>605647p</v>
      </c>
      <c r="L153" s="23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</row>
    <row r="154" hidden="1">
      <c r="A154" s="10" t="s">
        <v>414</v>
      </c>
      <c r="B154" s="10" t="s">
        <v>733</v>
      </c>
      <c r="C154" s="27" t="s">
        <v>734</v>
      </c>
      <c r="D154" s="10" t="s">
        <v>735</v>
      </c>
      <c r="E154" s="28" t="s">
        <v>194</v>
      </c>
      <c r="F154" s="23" t="s">
        <v>195</v>
      </c>
      <c r="G154" s="23" t="s">
        <v>196</v>
      </c>
      <c r="H154" s="23" t="s">
        <v>284</v>
      </c>
      <c r="I154" s="32"/>
      <c r="J154" s="23" t="s">
        <v>6</v>
      </c>
      <c r="K154" s="23" t="str">
        <f t="shared" si="1"/>
        <v>605685p</v>
      </c>
      <c r="L154" s="23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</row>
    <row r="155" hidden="1">
      <c r="A155" s="10" t="s">
        <v>414</v>
      </c>
      <c r="B155" s="10" t="s">
        <v>736</v>
      </c>
      <c r="C155" s="27" t="s">
        <v>737</v>
      </c>
      <c r="D155" s="10" t="s">
        <v>738</v>
      </c>
      <c r="E155" s="28" t="s">
        <v>194</v>
      </c>
      <c r="F155" s="23" t="s">
        <v>195</v>
      </c>
      <c r="G155" s="23" t="s">
        <v>196</v>
      </c>
      <c r="H155" s="23" t="s">
        <v>284</v>
      </c>
      <c r="I155" s="32"/>
      <c r="J155" s="23" t="s">
        <v>6</v>
      </c>
      <c r="K155" s="23" t="str">
        <f t="shared" si="1"/>
        <v>605678p</v>
      </c>
      <c r="L155" s="23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</row>
    <row r="156" hidden="1">
      <c r="A156" s="10" t="s">
        <v>499</v>
      </c>
      <c r="B156" s="10" t="s">
        <v>739</v>
      </c>
      <c r="C156" s="27" t="s">
        <v>740</v>
      </c>
      <c r="D156" s="10" t="s">
        <v>741</v>
      </c>
      <c r="E156" s="28" t="s">
        <v>194</v>
      </c>
      <c r="F156" s="23" t="s">
        <v>195</v>
      </c>
      <c r="G156" s="23" t="s">
        <v>521</v>
      </c>
      <c r="H156" s="23" t="s">
        <v>374</v>
      </c>
      <c r="I156" s="32"/>
      <c r="J156" s="23" t="s">
        <v>6</v>
      </c>
      <c r="K156" s="23" t="str">
        <f t="shared" si="1"/>
        <v>666945</v>
      </c>
      <c r="L156" s="23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</row>
    <row r="157" hidden="1">
      <c r="A157" s="10" t="s">
        <v>499</v>
      </c>
      <c r="B157" s="10" t="s">
        <v>742</v>
      </c>
      <c r="C157" s="27" t="s">
        <v>743</v>
      </c>
      <c r="D157" s="10" t="s">
        <v>744</v>
      </c>
      <c r="E157" s="28" t="s">
        <v>194</v>
      </c>
      <c r="F157" s="23" t="s">
        <v>195</v>
      </c>
      <c r="G157" s="23" t="s">
        <v>745</v>
      </c>
      <c r="H157" s="23" t="s">
        <v>746</v>
      </c>
      <c r="I157" s="32"/>
      <c r="J157" s="23" t="s">
        <v>6</v>
      </c>
      <c r="K157" s="23" t="str">
        <f t="shared" si="1"/>
        <v>222223</v>
      </c>
      <c r="L157" s="23"/>
      <c r="M157" s="26"/>
      <c r="N157" s="26"/>
      <c r="O157" s="26"/>
      <c r="P157" s="26"/>
      <c r="Q157" s="26"/>
      <c r="R157" s="26"/>
      <c r="S157" s="26"/>
      <c r="T157" s="26"/>
      <c r="U157" s="26"/>
      <c r="V157" s="26"/>
      <c r="W157" s="26"/>
      <c r="X157" s="26"/>
    </row>
    <row r="158" hidden="1">
      <c r="A158" s="10" t="s">
        <v>414</v>
      </c>
      <c r="B158" s="10" t="s">
        <v>747</v>
      </c>
      <c r="C158" s="27" t="s">
        <v>748</v>
      </c>
      <c r="D158" s="10" t="s">
        <v>749</v>
      </c>
      <c r="E158" s="28" t="s">
        <v>194</v>
      </c>
      <c r="F158" s="23" t="s">
        <v>195</v>
      </c>
      <c r="G158" s="23" t="s">
        <v>745</v>
      </c>
      <c r="H158" s="23" t="s">
        <v>746</v>
      </c>
      <c r="I158" s="32"/>
      <c r="J158" s="23" t="s">
        <v>6</v>
      </c>
      <c r="K158" s="23" t="str">
        <f t="shared" si="1"/>
        <v>222223p</v>
      </c>
      <c r="L158" s="23"/>
      <c r="M158" s="26"/>
      <c r="N158" s="26"/>
      <c r="O158" s="26"/>
      <c r="P158" s="26"/>
      <c r="Q158" s="26"/>
      <c r="R158" s="26"/>
      <c r="S158" s="26"/>
      <c r="T158" s="26"/>
      <c r="U158" s="26"/>
      <c r="V158" s="26"/>
      <c r="W158" s="26"/>
      <c r="X158" s="26"/>
    </row>
    <row r="159" hidden="1">
      <c r="A159" s="10" t="s">
        <v>499</v>
      </c>
      <c r="B159" s="10" t="s">
        <v>750</v>
      </c>
      <c r="C159" s="27" t="s">
        <v>751</v>
      </c>
      <c r="D159" s="10" t="s">
        <v>752</v>
      </c>
      <c r="E159" s="28" t="s">
        <v>194</v>
      </c>
      <c r="F159" s="23" t="s">
        <v>195</v>
      </c>
      <c r="G159" s="23" t="s">
        <v>745</v>
      </c>
      <c r="H159" s="23" t="s">
        <v>753</v>
      </c>
      <c r="I159" s="32"/>
      <c r="J159" s="23" t="s">
        <v>6</v>
      </c>
      <c r="K159" s="23" t="str">
        <f t="shared" si="1"/>
        <v>222222</v>
      </c>
      <c r="L159" s="23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</row>
    <row r="160" hidden="1">
      <c r="A160" s="10" t="s">
        <v>414</v>
      </c>
      <c r="B160" s="10" t="s">
        <v>754</v>
      </c>
      <c r="C160" s="27" t="s">
        <v>755</v>
      </c>
      <c r="D160" s="10" t="s">
        <v>756</v>
      </c>
      <c r="E160" s="28" t="s">
        <v>534</v>
      </c>
      <c r="F160" s="23" t="s">
        <v>757</v>
      </c>
      <c r="G160" s="23" t="s">
        <v>745</v>
      </c>
      <c r="H160" s="23" t="s">
        <v>753</v>
      </c>
      <c r="I160" s="32"/>
      <c r="J160" s="23" t="s">
        <v>6</v>
      </c>
      <c r="K160" s="23" t="str">
        <f t="shared" si="1"/>
        <v>222222p</v>
      </c>
      <c r="L160" s="23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</row>
    <row r="161" hidden="1">
      <c r="A161" s="10" t="s">
        <v>190</v>
      </c>
      <c r="B161" s="10" t="s">
        <v>758</v>
      </c>
      <c r="C161" s="27" t="s">
        <v>296</v>
      </c>
      <c r="D161" s="10" t="s">
        <v>295</v>
      </c>
      <c r="E161" s="28" t="s">
        <v>194</v>
      </c>
      <c r="F161" s="23" t="s">
        <v>195</v>
      </c>
      <c r="G161" s="23" t="s">
        <v>401</v>
      </c>
      <c r="H161" s="23" t="s">
        <v>759</v>
      </c>
      <c r="I161" s="32"/>
      <c r="J161" s="23" t="s">
        <v>198</v>
      </c>
      <c r="K161" s="23" t="str">
        <f t="shared" si="1"/>
        <v>657325c</v>
      </c>
      <c r="L161" s="23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</row>
    <row r="162" hidden="1">
      <c r="A162" s="10" t="s">
        <v>190</v>
      </c>
      <c r="B162" s="10" t="s">
        <v>760</v>
      </c>
      <c r="C162" s="27" t="s">
        <v>299</v>
      </c>
      <c r="D162" s="10" t="s">
        <v>298</v>
      </c>
      <c r="E162" s="28" t="s">
        <v>194</v>
      </c>
      <c r="F162" s="23" t="s">
        <v>195</v>
      </c>
      <c r="G162" s="23" t="s">
        <v>401</v>
      </c>
      <c r="H162" s="23" t="s">
        <v>759</v>
      </c>
      <c r="I162" s="23" t="s">
        <v>759</v>
      </c>
      <c r="J162" s="23" t="s">
        <v>198</v>
      </c>
      <c r="K162" s="23" t="str">
        <f t="shared" si="1"/>
        <v>690094</v>
      </c>
      <c r="L162" s="23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</row>
    <row r="163" hidden="1">
      <c r="A163" s="10" t="s">
        <v>190</v>
      </c>
      <c r="B163" s="10" t="s">
        <v>761</v>
      </c>
      <c r="C163" s="27" t="s">
        <v>302</v>
      </c>
      <c r="D163" s="10" t="s">
        <v>301</v>
      </c>
      <c r="E163" s="28" t="s">
        <v>194</v>
      </c>
      <c r="F163" s="23" t="s">
        <v>195</v>
      </c>
      <c r="G163" s="23" t="s">
        <v>401</v>
      </c>
      <c r="H163" s="23" t="s">
        <v>759</v>
      </c>
      <c r="I163" s="23" t="s">
        <v>759</v>
      </c>
      <c r="J163" s="23" t="s">
        <v>198</v>
      </c>
      <c r="K163" s="23" t="str">
        <f t="shared" si="1"/>
        <v>673080</v>
      </c>
      <c r="L163" s="23"/>
      <c r="M163" s="26"/>
      <c r="N163" s="26"/>
      <c r="O163" s="26"/>
      <c r="P163" s="26"/>
      <c r="Q163" s="26"/>
      <c r="R163" s="26"/>
      <c r="S163" s="26"/>
      <c r="T163" s="26"/>
      <c r="U163" s="26"/>
      <c r="V163" s="26"/>
      <c r="W163" s="26"/>
      <c r="X163" s="26"/>
    </row>
    <row r="164" hidden="1">
      <c r="A164" s="10" t="s">
        <v>190</v>
      </c>
      <c r="B164" s="10" t="s">
        <v>762</v>
      </c>
      <c r="C164" s="27" t="s">
        <v>305</v>
      </c>
      <c r="D164" s="10" t="s">
        <v>304</v>
      </c>
      <c r="E164" s="28" t="s">
        <v>194</v>
      </c>
      <c r="F164" s="23" t="s">
        <v>195</v>
      </c>
      <c r="G164" s="23" t="s">
        <v>401</v>
      </c>
      <c r="H164" s="23" t="s">
        <v>759</v>
      </c>
      <c r="I164" s="32"/>
      <c r="J164" s="23" t="s">
        <v>198</v>
      </c>
      <c r="K164" s="23" t="str">
        <f t="shared" si="1"/>
        <v>682785</v>
      </c>
      <c r="L164" s="23"/>
      <c r="M164" s="26"/>
      <c r="N164" s="26"/>
      <c r="O164" s="26"/>
      <c r="P164" s="26"/>
      <c r="Q164" s="26"/>
      <c r="R164" s="26"/>
      <c r="S164" s="26"/>
      <c r="T164" s="26"/>
      <c r="U164" s="26"/>
      <c r="V164" s="26"/>
      <c r="W164" s="26"/>
      <c r="X164" s="26"/>
    </row>
    <row r="165" hidden="1">
      <c r="A165" s="10" t="s">
        <v>190</v>
      </c>
      <c r="B165" s="10" t="s">
        <v>763</v>
      </c>
      <c r="C165" s="27" t="s">
        <v>764</v>
      </c>
      <c r="D165" s="10" t="s">
        <v>765</v>
      </c>
      <c r="E165" s="28" t="s">
        <v>194</v>
      </c>
      <c r="F165" s="23" t="s">
        <v>195</v>
      </c>
      <c r="G165" s="23" t="s">
        <v>203</v>
      </c>
      <c r="H165" s="23" t="s">
        <v>222</v>
      </c>
      <c r="I165" s="23" t="s">
        <v>766</v>
      </c>
      <c r="J165" s="23" t="s">
        <v>198</v>
      </c>
      <c r="K165" s="23" t="str">
        <f t="shared" si="1"/>
        <v>687797</v>
      </c>
      <c r="L165" s="23"/>
      <c r="M165" s="26"/>
      <c r="N165" s="26"/>
      <c r="O165" s="26"/>
      <c r="P165" s="26"/>
      <c r="Q165" s="26"/>
      <c r="R165" s="26"/>
      <c r="S165" s="26"/>
      <c r="T165" s="26"/>
      <c r="U165" s="26"/>
      <c r="V165" s="26"/>
      <c r="W165" s="26"/>
      <c r="X165" s="26"/>
    </row>
    <row r="166" hidden="1">
      <c r="A166" s="10" t="s">
        <v>190</v>
      </c>
      <c r="B166" s="10" t="s">
        <v>767</v>
      </c>
      <c r="C166" s="27" t="s">
        <v>768</v>
      </c>
      <c r="D166" s="10" t="s">
        <v>769</v>
      </c>
      <c r="E166" s="28" t="s">
        <v>194</v>
      </c>
      <c r="F166" s="23" t="s">
        <v>195</v>
      </c>
      <c r="G166" s="23" t="s">
        <v>203</v>
      </c>
      <c r="H166" s="23" t="s">
        <v>222</v>
      </c>
      <c r="I166" s="23" t="s">
        <v>766</v>
      </c>
      <c r="J166" s="23" t="s">
        <v>198</v>
      </c>
      <c r="K166" s="23" t="str">
        <f t="shared" si="1"/>
        <v>687797c</v>
      </c>
      <c r="L166" s="23"/>
      <c r="M166" s="26"/>
      <c r="N166" s="26"/>
      <c r="O166" s="26"/>
      <c r="P166" s="26"/>
      <c r="Q166" s="26"/>
      <c r="R166" s="26"/>
      <c r="S166" s="26"/>
      <c r="T166" s="26"/>
      <c r="U166" s="26"/>
      <c r="V166" s="26"/>
      <c r="W166" s="26"/>
      <c r="X166" s="26"/>
    </row>
    <row r="167" hidden="1">
      <c r="A167" s="10" t="s">
        <v>190</v>
      </c>
      <c r="B167" s="10" t="s">
        <v>770</v>
      </c>
      <c r="C167" s="27" t="s">
        <v>771</v>
      </c>
      <c r="D167" s="10" t="s">
        <v>772</v>
      </c>
      <c r="E167" s="28" t="s">
        <v>194</v>
      </c>
      <c r="F167" s="23" t="s">
        <v>195</v>
      </c>
      <c r="G167" s="23" t="s">
        <v>203</v>
      </c>
      <c r="H167" s="23" t="s">
        <v>222</v>
      </c>
      <c r="I167" s="23" t="s">
        <v>766</v>
      </c>
      <c r="J167" s="23" t="s">
        <v>198</v>
      </c>
      <c r="K167" s="23" t="str">
        <f t="shared" si="1"/>
        <v>686400</v>
      </c>
      <c r="L167" s="23"/>
      <c r="M167" s="26"/>
      <c r="N167" s="26"/>
      <c r="O167" s="26"/>
      <c r="P167" s="26"/>
      <c r="Q167" s="26"/>
      <c r="R167" s="26"/>
      <c r="S167" s="26"/>
      <c r="T167" s="26"/>
      <c r="U167" s="26"/>
      <c r="V167" s="26"/>
      <c r="W167" s="26"/>
      <c r="X167" s="26"/>
    </row>
    <row r="168" hidden="1">
      <c r="A168" s="10" t="s">
        <v>190</v>
      </c>
      <c r="B168" s="10" t="s">
        <v>773</v>
      </c>
      <c r="C168" s="27" t="s">
        <v>774</v>
      </c>
      <c r="D168" s="10" t="s">
        <v>775</v>
      </c>
      <c r="E168" s="28" t="s">
        <v>194</v>
      </c>
      <c r="F168" s="23" t="s">
        <v>195</v>
      </c>
      <c r="G168" s="23" t="s">
        <v>203</v>
      </c>
      <c r="H168" s="23" t="s">
        <v>222</v>
      </c>
      <c r="I168" s="23" t="s">
        <v>223</v>
      </c>
      <c r="J168" s="23" t="s">
        <v>198</v>
      </c>
      <c r="K168" s="23" t="str">
        <f t="shared" si="1"/>
        <v>687773c</v>
      </c>
      <c r="L168" s="23"/>
      <c r="M168" s="26"/>
      <c r="N168" s="26"/>
      <c r="O168" s="26"/>
      <c r="P168" s="26"/>
      <c r="Q168" s="26"/>
      <c r="R168" s="26"/>
      <c r="S168" s="26"/>
      <c r="T168" s="26"/>
      <c r="U168" s="26"/>
      <c r="V168" s="26"/>
      <c r="W168" s="26"/>
      <c r="X168" s="26"/>
    </row>
    <row r="169" hidden="1">
      <c r="A169" s="10" t="s">
        <v>190</v>
      </c>
      <c r="B169" s="10" t="s">
        <v>776</v>
      </c>
      <c r="C169" s="27" t="s">
        <v>777</v>
      </c>
      <c r="D169" s="10" t="s">
        <v>778</v>
      </c>
      <c r="E169" s="28" t="s">
        <v>194</v>
      </c>
      <c r="F169" s="23" t="s">
        <v>195</v>
      </c>
      <c r="G169" s="23" t="s">
        <v>203</v>
      </c>
      <c r="H169" s="23" t="s">
        <v>222</v>
      </c>
      <c r="I169" s="23" t="s">
        <v>766</v>
      </c>
      <c r="J169" s="23" t="s">
        <v>198</v>
      </c>
      <c r="K169" s="23" t="str">
        <f t="shared" si="1"/>
        <v>686400c</v>
      </c>
      <c r="L169" s="23"/>
      <c r="M169" s="26"/>
      <c r="N169" s="26"/>
      <c r="O169" s="26"/>
      <c r="P169" s="26"/>
      <c r="Q169" s="26"/>
      <c r="R169" s="26"/>
      <c r="S169" s="26"/>
      <c r="T169" s="26"/>
      <c r="U169" s="26"/>
      <c r="V169" s="26"/>
      <c r="W169" s="26"/>
      <c r="X169" s="26"/>
    </row>
    <row r="170" hidden="1">
      <c r="A170" s="10" t="s">
        <v>190</v>
      </c>
      <c r="B170" s="10" t="s">
        <v>779</v>
      </c>
      <c r="C170" s="27" t="s">
        <v>780</v>
      </c>
      <c r="D170" s="10" t="s">
        <v>781</v>
      </c>
      <c r="E170" s="28" t="s">
        <v>194</v>
      </c>
      <c r="F170" s="23" t="s">
        <v>195</v>
      </c>
      <c r="G170" s="23" t="s">
        <v>203</v>
      </c>
      <c r="H170" s="23" t="s">
        <v>222</v>
      </c>
      <c r="I170" s="23" t="s">
        <v>223</v>
      </c>
      <c r="J170" s="23" t="s">
        <v>198</v>
      </c>
      <c r="K170" s="23" t="str">
        <f t="shared" si="1"/>
        <v>622729p</v>
      </c>
      <c r="L170" s="23"/>
      <c r="M170" s="26"/>
      <c r="N170" s="26"/>
      <c r="O170" s="26"/>
      <c r="P170" s="26"/>
      <c r="Q170" s="26"/>
      <c r="R170" s="26"/>
      <c r="S170" s="26"/>
      <c r="T170" s="26"/>
      <c r="U170" s="26"/>
      <c r="V170" s="26"/>
      <c r="W170" s="26"/>
      <c r="X170" s="26"/>
    </row>
    <row r="171" hidden="1">
      <c r="A171" s="10" t="s">
        <v>190</v>
      </c>
      <c r="B171" s="10" t="s">
        <v>782</v>
      </c>
      <c r="C171" s="27" t="s">
        <v>783</v>
      </c>
      <c r="D171" s="10" t="s">
        <v>784</v>
      </c>
      <c r="E171" s="28" t="s">
        <v>194</v>
      </c>
      <c r="F171" s="23" t="s">
        <v>195</v>
      </c>
      <c r="G171" s="23" t="s">
        <v>203</v>
      </c>
      <c r="H171" s="23" t="s">
        <v>222</v>
      </c>
      <c r="I171" s="23" t="s">
        <v>368</v>
      </c>
      <c r="J171" s="23" t="s">
        <v>198</v>
      </c>
      <c r="K171" s="23" t="str">
        <f t="shared" si="1"/>
        <v>659497aa</v>
      </c>
      <c r="L171" s="23"/>
      <c r="M171" s="26"/>
      <c r="N171" s="26"/>
      <c r="O171" s="26"/>
      <c r="P171" s="26"/>
      <c r="Q171" s="26"/>
      <c r="R171" s="26"/>
      <c r="S171" s="26"/>
      <c r="T171" s="26"/>
      <c r="U171" s="26"/>
      <c r="V171" s="26"/>
      <c r="W171" s="26"/>
      <c r="X171" s="26"/>
    </row>
    <row r="172" hidden="1">
      <c r="A172" s="10" t="s">
        <v>190</v>
      </c>
      <c r="B172" s="10" t="s">
        <v>785</v>
      </c>
      <c r="C172" s="27" t="s">
        <v>786</v>
      </c>
      <c r="D172" s="10" t="s">
        <v>787</v>
      </c>
      <c r="E172" s="28" t="s">
        <v>194</v>
      </c>
      <c r="F172" s="23" t="s">
        <v>195</v>
      </c>
      <c r="G172" s="23" t="s">
        <v>203</v>
      </c>
      <c r="H172" s="23" t="s">
        <v>222</v>
      </c>
      <c r="I172" s="23" t="s">
        <v>223</v>
      </c>
      <c r="J172" s="23" t="s">
        <v>198</v>
      </c>
      <c r="K172" s="23" t="str">
        <f t="shared" si="1"/>
        <v>664293</v>
      </c>
      <c r="L172" s="23"/>
      <c r="M172" s="26"/>
      <c r="N172" s="26"/>
      <c r="O172" s="26"/>
      <c r="P172" s="26"/>
      <c r="Q172" s="26"/>
      <c r="R172" s="26"/>
      <c r="S172" s="26"/>
      <c r="T172" s="26"/>
      <c r="U172" s="26"/>
      <c r="V172" s="26"/>
      <c r="W172" s="26"/>
      <c r="X172" s="26"/>
    </row>
    <row r="173" hidden="1">
      <c r="A173" s="10" t="s">
        <v>190</v>
      </c>
      <c r="B173" s="10" t="s">
        <v>788</v>
      </c>
      <c r="C173" s="27" t="s">
        <v>789</v>
      </c>
      <c r="D173" s="10" t="s">
        <v>790</v>
      </c>
      <c r="E173" s="28" t="s">
        <v>194</v>
      </c>
      <c r="F173" s="23" t="s">
        <v>195</v>
      </c>
      <c r="G173" s="23" t="s">
        <v>203</v>
      </c>
      <c r="H173" s="23" t="s">
        <v>222</v>
      </c>
      <c r="I173" s="23" t="s">
        <v>223</v>
      </c>
      <c r="J173" s="23" t="s">
        <v>198</v>
      </c>
      <c r="K173" s="23" t="str">
        <f t="shared" si="1"/>
        <v>664293c</v>
      </c>
      <c r="L173" s="23"/>
      <c r="M173" s="26"/>
      <c r="N173" s="26"/>
      <c r="O173" s="26"/>
      <c r="P173" s="26"/>
      <c r="Q173" s="26"/>
      <c r="R173" s="26"/>
      <c r="S173" s="26"/>
      <c r="T173" s="26"/>
      <c r="U173" s="26"/>
      <c r="V173" s="26"/>
      <c r="W173" s="26"/>
      <c r="X173" s="26"/>
    </row>
    <row r="174" hidden="1">
      <c r="A174" s="10" t="s">
        <v>190</v>
      </c>
      <c r="B174" s="10" t="s">
        <v>791</v>
      </c>
      <c r="C174" s="27" t="s">
        <v>792</v>
      </c>
      <c r="D174" s="10" t="s">
        <v>793</v>
      </c>
      <c r="E174" s="28" t="s">
        <v>194</v>
      </c>
      <c r="F174" s="23" t="s">
        <v>195</v>
      </c>
      <c r="G174" s="23" t="s">
        <v>203</v>
      </c>
      <c r="H174" s="23" t="s">
        <v>222</v>
      </c>
      <c r="I174" s="23" t="s">
        <v>223</v>
      </c>
      <c r="J174" s="23" t="s">
        <v>229</v>
      </c>
      <c r="K174" s="23" t="str">
        <f t="shared" si="1"/>
        <v>664279c</v>
      </c>
      <c r="L174" s="23"/>
      <c r="M174" s="26"/>
      <c r="N174" s="26"/>
      <c r="O174" s="26"/>
      <c r="P174" s="26"/>
      <c r="Q174" s="26"/>
      <c r="R174" s="26"/>
      <c r="S174" s="26"/>
      <c r="T174" s="26"/>
      <c r="U174" s="26"/>
      <c r="V174" s="26"/>
      <c r="W174" s="26"/>
      <c r="X174" s="26"/>
    </row>
    <row r="175" hidden="1">
      <c r="A175" s="10" t="s">
        <v>190</v>
      </c>
      <c r="B175" s="10" t="s">
        <v>794</v>
      </c>
      <c r="C175" s="27" t="s">
        <v>78</v>
      </c>
      <c r="D175" s="10" t="s">
        <v>79</v>
      </c>
      <c r="E175" s="28" t="s">
        <v>194</v>
      </c>
      <c r="F175" s="23" t="s">
        <v>195</v>
      </c>
      <c r="G175" s="23" t="s">
        <v>203</v>
      </c>
      <c r="H175" s="23" t="s">
        <v>222</v>
      </c>
      <c r="I175" s="23" t="s">
        <v>253</v>
      </c>
      <c r="J175" s="23" t="s">
        <v>229</v>
      </c>
      <c r="K175" s="23" t="str">
        <f t="shared" si="1"/>
        <v>686882</v>
      </c>
      <c r="L175" s="23"/>
      <c r="M175" s="26"/>
      <c r="N175" s="26"/>
      <c r="O175" s="26"/>
      <c r="P175" s="26"/>
      <c r="Q175" s="26"/>
      <c r="R175" s="26"/>
      <c r="S175" s="26"/>
      <c r="T175" s="26"/>
      <c r="U175" s="26"/>
      <c r="V175" s="26"/>
      <c r="W175" s="26"/>
      <c r="X175" s="26"/>
    </row>
    <row r="176" hidden="1">
      <c r="A176" s="10" t="s">
        <v>190</v>
      </c>
      <c r="B176" s="10" t="s">
        <v>795</v>
      </c>
      <c r="C176" s="27" t="s">
        <v>796</v>
      </c>
      <c r="D176" s="10" t="s">
        <v>797</v>
      </c>
      <c r="E176" s="28" t="s">
        <v>194</v>
      </c>
      <c r="F176" s="23" t="s">
        <v>195</v>
      </c>
      <c r="G176" s="23" t="s">
        <v>203</v>
      </c>
      <c r="H176" s="23" t="s">
        <v>222</v>
      </c>
      <c r="I176" s="23" t="s">
        <v>223</v>
      </c>
      <c r="J176" s="23" t="s">
        <v>198</v>
      </c>
      <c r="K176" s="23" t="str">
        <f t="shared" si="1"/>
        <v>635576c</v>
      </c>
      <c r="L176" s="23"/>
      <c r="M176" s="26"/>
      <c r="N176" s="26"/>
      <c r="O176" s="26"/>
      <c r="P176" s="26"/>
      <c r="Q176" s="26"/>
      <c r="R176" s="26"/>
      <c r="S176" s="26"/>
      <c r="T176" s="26"/>
      <c r="U176" s="26"/>
      <c r="V176" s="26"/>
      <c r="W176" s="26"/>
      <c r="X176" s="26"/>
    </row>
    <row r="177" hidden="1">
      <c r="A177" s="10" t="s">
        <v>190</v>
      </c>
      <c r="B177" s="10" t="s">
        <v>798</v>
      </c>
      <c r="C177" s="27" t="s">
        <v>799</v>
      </c>
      <c r="D177" s="10" t="s">
        <v>800</v>
      </c>
      <c r="E177" s="28" t="s">
        <v>194</v>
      </c>
      <c r="F177" s="23" t="s">
        <v>195</v>
      </c>
      <c r="G177" s="23" t="s">
        <v>203</v>
      </c>
      <c r="H177" s="23" t="s">
        <v>222</v>
      </c>
      <c r="I177" s="23" t="s">
        <v>223</v>
      </c>
      <c r="J177" s="23" t="s">
        <v>198</v>
      </c>
      <c r="K177" s="23" t="str">
        <f t="shared" si="1"/>
        <v>635576</v>
      </c>
      <c r="L177" s="23"/>
      <c r="M177" s="26"/>
      <c r="N177" s="26"/>
      <c r="O177" s="26"/>
      <c r="P177" s="26"/>
      <c r="Q177" s="26"/>
      <c r="R177" s="26"/>
      <c r="S177" s="26"/>
      <c r="T177" s="26"/>
      <c r="U177" s="26"/>
      <c r="V177" s="26"/>
      <c r="W177" s="26"/>
      <c r="X177" s="26"/>
    </row>
    <row r="178" hidden="1">
      <c r="A178" s="10" t="s">
        <v>190</v>
      </c>
      <c r="B178" s="10" t="s">
        <v>801</v>
      </c>
      <c r="C178" s="27" t="s">
        <v>802</v>
      </c>
      <c r="D178" s="10" t="s">
        <v>803</v>
      </c>
      <c r="E178" s="28" t="s">
        <v>194</v>
      </c>
      <c r="F178" s="23" t="s">
        <v>195</v>
      </c>
      <c r="G178" s="23" t="s">
        <v>203</v>
      </c>
      <c r="H178" s="23" t="s">
        <v>222</v>
      </c>
      <c r="I178" s="23" t="s">
        <v>321</v>
      </c>
      <c r="J178" s="23" t="s">
        <v>198</v>
      </c>
      <c r="K178" s="23" t="str">
        <f t="shared" si="1"/>
        <v>676395a</v>
      </c>
      <c r="L178" s="23"/>
      <c r="M178" s="26"/>
      <c r="N178" s="26"/>
      <c r="O178" s="26"/>
      <c r="P178" s="26"/>
      <c r="Q178" s="26"/>
      <c r="R178" s="26"/>
      <c r="S178" s="26"/>
      <c r="T178" s="26"/>
      <c r="U178" s="26"/>
      <c r="V178" s="26"/>
      <c r="W178" s="26"/>
      <c r="X178" s="26"/>
    </row>
    <row r="179" hidden="1">
      <c r="A179" s="10" t="s">
        <v>190</v>
      </c>
      <c r="B179" s="10" t="s">
        <v>804</v>
      </c>
      <c r="C179" s="27" t="s">
        <v>805</v>
      </c>
      <c r="D179" s="10" t="s">
        <v>806</v>
      </c>
      <c r="E179" s="28" t="s">
        <v>194</v>
      </c>
      <c r="F179" s="23" t="s">
        <v>195</v>
      </c>
      <c r="G179" s="23" t="s">
        <v>203</v>
      </c>
      <c r="H179" s="23" t="s">
        <v>222</v>
      </c>
      <c r="I179" s="23" t="s">
        <v>807</v>
      </c>
      <c r="J179" s="23" t="s">
        <v>238</v>
      </c>
      <c r="K179" s="23" t="str">
        <f t="shared" si="1"/>
        <v>684802c</v>
      </c>
      <c r="L179" s="23"/>
      <c r="M179" s="26"/>
      <c r="N179" s="26"/>
      <c r="O179" s="26"/>
      <c r="P179" s="26"/>
      <c r="Q179" s="26"/>
      <c r="R179" s="26"/>
      <c r="S179" s="26"/>
      <c r="T179" s="26"/>
      <c r="U179" s="26"/>
      <c r="V179" s="26"/>
      <c r="W179" s="26"/>
      <c r="X179" s="26"/>
    </row>
    <row r="180" hidden="1">
      <c r="A180" s="10" t="s">
        <v>190</v>
      </c>
      <c r="B180" s="10" t="s">
        <v>808</v>
      </c>
      <c r="C180" s="27" t="s">
        <v>809</v>
      </c>
      <c r="D180" s="10" t="s">
        <v>810</v>
      </c>
      <c r="E180" s="28" t="s">
        <v>194</v>
      </c>
      <c r="F180" s="23" t="s">
        <v>195</v>
      </c>
      <c r="G180" s="23" t="s">
        <v>203</v>
      </c>
      <c r="H180" s="23" t="s">
        <v>222</v>
      </c>
      <c r="I180" s="23" t="s">
        <v>807</v>
      </c>
      <c r="J180" s="23" t="s">
        <v>238</v>
      </c>
      <c r="K180" s="23" t="str">
        <f t="shared" si="1"/>
        <v>684802</v>
      </c>
      <c r="L180" s="23"/>
      <c r="M180" s="26"/>
      <c r="N180" s="26"/>
      <c r="O180" s="26"/>
      <c r="P180" s="26"/>
      <c r="Q180" s="26"/>
      <c r="R180" s="26"/>
      <c r="S180" s="26"/>
      <c r="T180" s="26"/>
      <c r="U180" s="26"/>
      <c r="V180" s="26"/>
      <c r="W180" s="26"/>
      <c r="X180" s="26"/>
    </row>
    <row r="181" hidden="1">
      <c r="A181" s="10" t="s">
        <v>190</v>
      </c>
      <c r="B181" s="10" t="s">
        <v>811</v>
      </c>
      <c r="C181" s="27" t="s">
        <v>812</v>
      </c>
      <c r="D181" s="10" t="s">
        <v>813</v>
      </c>
      <c r="E181" s="28" t="s">
        <v>194</v>
      </c>
      <c r="F181" s="23" t="s">
        <v>195</v>
      </c>
      <c r="G181" s="23" t="s">
        <v>203</v>
      </c>
      <c r="H181" s="23" t="s">
        <v>222</v>
      </c>
      <c r="I181" s="23" t="s">
        <v>223</v>
      </c>
      <c r="J181" s="23" t="s">
        <v>198</v>
      </c>
      <c r="K181" s="23" t="str">
        <f t="shared" si="1"/>
        <v>687766c</v>
      </c>
      <c r="L181" s="23"/>
      <c r="M181" s="26"/>
      <c r="N181" s="26"/>
      <c r="O181" s="26"/>
      <c r="P181" s="26"/>
      <c r="Q181" s="26"/>
      <c r="R181" s="26"/>
      <c r="S181" s="26"/>
      <c r="T181" s="26"/>
      <c r="U181" s="26"/>
      <c r="V181" s="26"/>
      <c r="W181" s="26"/>
      <c r="X181" s="26"/>
    </row>
    <row r="182" hidden="1">
      <c r="A182" s="10" t="s">
        <v>190</v>
      </c>
      <c r="B182" s="10" t="s">
        <v>814</v>
      </c>
      <c r="C182" s="27" t="s">
        <v>815</v>
      </c>
      <c r="D182" s="10" t="s">
        <v>816</v>
      </c>
      <c r="E182" s="28" t="s">
        <v>194</v>
      </c>
      <c r="F182" s="23" t="s">
        <v>195</v>
      </c>
      <c r="G182" s="23" t="s">
        <v>203</v>
      </c>
      <c r="H182" s="23" t="s">
        <v>222</v>
      </c>
      <c r="I182" s="23" t="s">
        <v>321</v>
      </c>
      <c r="J182" s="23" t="s">
        <v>198</v>
      </c>
      <c r="K182" s="23" t="str">
        <f t="shared" si="1"/>
        <v>676418</v>
      </c>
      <c r="L182" s="23"/>
      <c r="M182" s="26"/>
      <c r="N182" s="26"/>
      <c r="O182" s="26"/>
      <c r="P182" s="26"/>
      <c r="Q182" s="26"/>
      <c r="R182" s="26"/>
      <c r="S182" s="26"/>
      <c r="T182" s="26"/>
      <c r="U182" s="26"/>
      <c r="V182" s="26"/>
      <c r="W182" s="26"/>
      <c r="X182" s="26"/>
    </row>
    <row r="183" hidden="1">
      <c r="A183" s="10" t="s">
        <v>190</v>
      </c>
      <c r="B183" s="10" t="s">
        <v>817</v>
      </c>
      <c r="C183" s="27" t="s">
        <v>818</v>
      </c>
      <c r="D183" s="10" t="s">
        <v>819</v>
      </c>
      <c r="E183" s="28" t="s">
        <v>194</v>
      </c>
      <c r="F183" s="23" t="s">
        <v>195</v>
      </c>
      <c r="G183" s="23" t="s">
        <v>203</v>
      </c>
      <c r="H183" s="23" t="s">
        <v>222</v>
      </c>
      <c r="I183" s="23" t="s">
        <v>321</v>
      </c>
      <c r="J183" s="23" t="s">
        <v>238</v>
      </c>
      <c r="K183" s="23" t="str">
        <f t="shared" si="1"/>
        <v>676418c</v>
      </c>
      <c r="L183" s="23"/>
      <c r="M183" s="26"/>
      <c r="N183" s="26"/>
      <c r="O183" s="26"/>
      <c r="P183" s="26"/>
      <c r="Q183" s="26"/>
      <c r="R183" s="26"/>
      <c r="S183" s="26"/>
      <c r="T183" s="26"/>
      <c r="U183" s="26"/>
      <c r="V183" s="26"/>
      <c r="W183" s="26"/>
      <c r="X183" s="26"/>
    </row>
    <row r="184" hidden="1">
      <c r="A184" s="10" t="s">
        <v>190</v>
      </c>
      <c r="B184" s="10" t="s">
        <v>820</v>
      </c>
      <c r="C184" s="27" t="s">
        <v>821</v>
      </c>
      <c r="D184" s="10" t="s">
        <v>822</v>
      </c>
      <c r="E184" s="28" t="s">
        <v>194</v>
      </c>
      <c r="F184" s="23" t="s">
        <v>195</v>
      </c>
      <c r="G184" s="23" t="s">
        <v>203</v>
      </c>
      <c r="H184" s="23" t="s">
        <v>222</v>
      </c>
      <c r="I184" s="23" t="s">
        <v>223</v>
      </c>
      <c r="J184" s="23" t="s">
        <v>198</v>
      </c>
      <c r="K184" s="23" t="str">
        <f t="shared" si="1"/>
        <v>687766</v>
      </c>
      <c r="L184" s="23"/>
      <c r="M184" s="26"/>
      <c r="N184" s="26"/>
      <c r="O184" s="26"/>
      <c r="P184" s="26"/>
      <c r="Q184" s="26"/>
      <c r="R184" s="26"/>
      <c r="S184" s="26"/>
      <c r="T184" s="26"/>
      <c r="U184" s="26"/>
      <c r="V184" s="26"/>
      <c r="W184" s="26"/>
      <c r="X184" s="26"/>
    </row>
    <row r="185" hidden="1">
      <c r="A185" s="10" t="s">
        <v>190</v>
      </c>
      <c r="B185" s="10" t="s">
        <v>823</v>
      </c>
      <c r="C185" s="27" t="s">
        <v>824</v>
      </c>
      <c r="D185" s="10" t="s">
        <v>825</v>
      </c>
      <c r="E185" s="28" t="s">
        <v>194</v>
      </c>
      <c r="F185" s="23" t="s">
        <v>195</v>
      </c>
      <c r="G185" s="23" t="s">
        <v>203</v>
      </c>
      <c r="H185" s="23" t="s">
        <v>222</v>
      </c>
      <c r="I185" s="23" t="s">
        <v>289</v>
      </c>
      <c r="J185" s="23" t="s">
        <v>198</v>
      </c>
      <c r="K185" s="23" t="str">
        <f t="shared" si="1"/>
        <v>676432</v>
      </c>
      <c r="L185" s="23"/>
      <c r="M185" s="26"/>
      <c r="N185" s="26"/>
      <c r="O185" s="26"/>
      <c r="P185" s="26"/>
      <c r="Q185" s="26"/>
      <c r="R185" s="26"/>
      <c r="S185" s="26"/>
      <c r="T185" s="26"/>
      <c r="U185" s="26"/>
      <c r="V185" s="26"/>
      <c r="W185" s="26"/>
      <c r="X185" s="26"/>
    </row>
    <row r="186" hidden="1">
      <c r="A186" s="10" t="s">
        <v>190</v>
      </c>
      <c r="B186" s="10" t="s">
        <v>826</v>
      </c>
      <c r="C186" s="27" t="s">
        <v>827</v>
      </c>
      <c r="D186" s="10" t="s">
        <v>828</v>
      </c>
      <c r="E186" s="28" t="s">
        <v>194</v>
      </c>
      <c r="F186" s="23" t="s">
        <v>195</v>
      </c>
      <c r="G186" s="23" t="s">
        <v>203</v>
      </c>
      <c r="H186" s="23" t="s">
        <v>222</v>
      </c>
      <c r="I186" s="23" t="s">
        <v>289</v>
      </c>
      <c r="J186" s="23" t="s">
        <v>198</v>
      </c>
      <c r="K186" s="23" t="str">
        <f t="shared" si="1"/>
        <v>676432c</v>
      </c>
      <c r="L186" s="23"/>
      <c r="M186" s="26"/>
      <c r="N186" s="26"/>
      <c r="O186" s="26"/>
      <c r="P186" s="26"/>
      <c r="Q186" s="26"/>
      <c r="R186" s="26"/>
      <c r="S186" s="26"/>
      <c r="T186" s="26"/>
      <c r="U186" s="26"/>
      <c r="V186" s="26"/>
      <c r="W186" s="26"/>
      <c r="X186" s="26"/>
    </row>
    <row r="187" hidden="1">
      <c r="A187" s="10" t="s">
        <v>190</v>
      </c>
      <c r="B187" s="10" t="s">
        <v>829</v>
      </c>
      <c r="C187" s="27" t="s">
        <v>830</v>
      </c>
      <c r="D187" s="10" t="s">
        <v>831</v>
      </c>
      <c r="E187" s="28" t="s">
        <v>194</v>
      </c>
      <c r="F187" s="23" t="s">
        <v>195</v>
      </c>
      <c r="G187" s="23" t="s">
        <v>203</v>
      </c>
      <c r="H187" s="23" t="s">
        <v>222</v>
      </c>
      <c r="I187" s="23" t="s">
        <v>289</v>
      </c>
      <c r="J187" s="23" t="s">
        <v>198</v>
      </c>
      <c r="K187" s="23" t="str">
        <f t="shared" si="1"/>
        <v>676425a</v>
      </c>
      <c r="L187" s="23"/>
      <c r="M187" s="26"/>
      <c r="N187" s="26"/>
      <c r="O187" s="26"/>
      <c r="P187" s="26"/>
      <c r="Q187" s="26"/>
      <c r="R187" s="26"/>
      <c r="S187" s="26"/>
      <c r="T187" s="26"/>
      <c r="U187" s="26"/>
      <c r="V187" s="26"/>
      <c r="W187" s="26"/>
      <c r="X187" s="26"/>
    </row>
    <row r="188" hidden="1">
      <c r="A188" s="10" t="s">
        <v>499</v>
      </c>
      <c r="B188" s="10" t="s">
        <v>832</v>
      </c>
      <c r="C188" s="27" t="s">
        <v>833</v>
      </c>
      <c r="D188" s="10" t="s">
        <v>834</v>
      </c>
      <c r="E188" s="28" t="s">
        <v>194</v>
      </c>
      <c r="F188" s="23" t="s">
        <v>835</v>
      </c>
      <c r="G188" s="23" t="s">
        <v>203</v>
      </c>
      <c r="H188" s="23" t="s">
        <v>222</v>
      </c>
      <c r="I188" s="32"/>
      <c r="J188" s="23" t="s">
        <v>6</v>
      </c>
      <c r="K188" s="23" t="str">
        <f t="shared" si="1"/>
        <v>684840</v>
      </c>
      <c r="L188" s="23"/>
      <c r="M188" s="26"/>
      <c r="N188" s="26"/>
      <c r="O188" s="26"/>
      <c r="P188" s="26"/>
      <c r="Q188" s="26"/>
      <c r="R188" s="26"/>
      <c r="S188" s="26"/>
      <c r="T188" s="26"/>
      <c r="U188" s="26"/>
      <c r="V188" s="26"/>
      <c r="W188" s="26"/>
      <c r="X188" s="26"/>
    </row>
    <row r="189" hidden="1">
      <c r="A189" s="10" t="s">
        <v>499</v>
      </c>
      <c r="B189" s="10" t="s">
        <v>836</v>
      </c>
      <c r="C189" s="27" t="s">
        <v>837</v>
      </c>
      <c r="D189" s="10" t="s">
        <v>838</v>
      </c>
      <c r="E189" s="28" t="s">
        <v>194</v>
      </c>
      <c r="F189" s="23" t="s">
        <v>589</v>
      </c>
      <c r="G189" s="23" t="s">
        <v>203</v>
      </c>
      <c r="H189" s="23" t="s">
        <v>222</v>
      </c>
      <c r="I189" s="32"/>
      <c r="J189" s="23" t="s">
        <v>6</v>
      </c>
      <c r="K189" s="23" t="str">
        <f t="shared" si="1"/>
        <v>682761</v>
      </c>
      <c r="L189" s="23"/>
      <c r="M189" s="26"/>
      <c r="N189" s="26"/>
      <c r="O189" s="26"/>
      <c r="P189" s="26"/>
      <c r="Q189" s="26"/>
      <c r="R189" s="26"/>
      <c r="S189" s="26"/>
      <c r="T189" s="26"/>
      <c r="U189" s="26"/>
      <c r="V189" s="26"/>
      <c r="W189" s="26"/>
      <c r="X189" s="26"/>
    </row>
    <row r="190" hidden="1">
      <c r="A190" s="10" t="s">
        <v>427</v>
      </c>
      <c r="B190" s="10" t="s">
        <v>839</v>
      </c>
      <c r="C190" s="27" t="s">
        <v>840</v>
      </c>
      <c r="D190" s="10" t="s">
        <v>841</v>
      </c>
      <c r="E190" s="28" t="s">
        <v>534</v>
      </c>
      <c r="F190" s="23" t="s">
        <v>535</v>
      </c>
      <c r="G190" s="23" t="s">
        <v>203</v>
      </c>
      <c r="H190" s="23" t="s">
        <v>222</v>
      </c>
      <c r="I190" s="32"/>
      <c r="J190" s="23" t="s">
        <v>6</v>
      </c>
      <c r="K190" s="23" t="str">
        <f t="shared" si="1"/>
        <v>667300</v>
      </c>
      <c r="L190" s="23"/>
      <c r="M190" s="26"/>
      <c r="N190" s="26"/>
      <c r="O190" s="26"/>
      <c r="P190" s="26"/>
      <c r="Q190" s="26"/>
      <c r="R190" s="26"/>
      <c r="S190" s="26"/>
      <c r="T190" s="26"/>
      <c r="U190" s="26"/>
      <c r="V190" s="26"/>
      <c r="W190" s="26"/>
      <c r="X190" s="26"/>
    </row>
    <row r="191" hidden="1">
      <c r="A191" s="10" t="s">
        <v>414</v>
      </c>
      <c r="B191" s="10" t="s">
        <v>842</v>
      </c>
      <c r="C191" s="27" t="s">
        <v>843</v>
      </c>
      <c r="D191" s="10" t="s">
        <v>844</v>
      </c>
      <c r="E191" s="28" t="s">
        <v>194</v>
      </c>
      <c r="F191" s="23" t="s">
        <v>195</v>
      </c>
      <c r="G191" s="23" t="s">
        <v>203</v>
      </c>
      <c r="H191" s="23" t="s">
        <v>222</v>
      </c>
      <c r="I191" s="32"/>
      <c r="J191" s="23" t="s">
        <v>6</v>
      </c>
      <c r="K191" s="23" t="str">
        <f t="shared" si="1"/>
        <v>684840p</v>
      </c>
      <c r="L191" s="23"/>
      <c r="M191" s="26"/>
      <c r="N191" s="26"/>
      <c r="O191" s="26"/>
      <c r="P191" s="26"/>
      <c r="Q191" s="26"/>
      <c r="R191" s="26"/>
      <c r="S191" s="26"/>
      <c r="T191" s="26"/>
      <c r="U191" s="26"/>
      <c r="V191" s="26"/>
      <c r="W191" s="26"/>
      <c r="X191" s="26"/>
    </row>
    <row r="192" hidden="1">
      <c r="A192" s="10" t="s">
        <v>414</v>
      </c>
      <c r="B192" s="10" t="s">
        <v>845</v>
      </c>
      <c r="C192" s="27" t="s">
        <v>846</v>
      </c>
      <c r="D192" s="10" t="s">
        <v>847</v>
      </c>
      <c r="E192" s="28" t="s">
        <v>534</v>
      </c>
      <c r="F192" s="23" t="s">
        <v>535</v>
      </c>
      <c r="G192" s="23" t="s">
        <v>203</v>
      </c>
      <c r="H192" s="23" t="s">
        <v>222</v>
      </c>
      <c r="I192" s="32"/>
      <c r="J192" s="23" t="s">
        <v>6</v>
      </c>
      <c r="K192" s="23" t="str">
        <f t="shared" si="1"/>
        <v>667300p</v>
      </c>
      <c r="L192" s="23"/>
      <c r="M192" s="26"/>
      <c r="N192" s="26"/>
      <c r="O192" s="26"/>
      <c r="P192" s="26"/>
      <c r="Q192" s="26"/>
      <c r="R192" s="26"/>
      <c r="S192" s="26"/>
      <c r="T192" s="26"/>
      <c r="U192" s="26"/>
      <c r="V192" s="26"/>
      <c r="W192" s="26"/>
      <c r="X192" s="26"/>
    </row>
    <row r="193" hidden="1">
      <c r="A193" s="10" t="s">
        <v>414</v>
      </c>
      <c r="B193" s="10" t="s">
        <v>848</v>
      </c>
      <c r="C193" s="27" t="s">
        <v>849</v>
      </c>
      <c r="D193" s="10" t="s">
        <v>850</v>
      </c>
      <c r="E193" s="28" t="s">
        <v>194</v>
      </c>
      <c r="F193" s="23" t="s">
        <v>195</v>
      </c>
      <c r="G193" s="23" t="s">
        <v>203</v>
      </c>
      <c r="H193" s="23" t="s">
        <v>222</v>
      </c>
      <c r="I193" s="32"/>
      <c r="J193" s="23" t="s">
        <v>6</v>
      </c>
      <c r="K193" s="23" t="str">
        <f t="shared" si="1"/>
        <v>678917p</v>
      </c>
      <c r="L193" s="23"/>
      <c r="M193" s="26"/>
      <c r="N193" s="26"/>
      <c r="O193" s="26"/>
      <c r="P193" s="26"/>
      <c r="Q193" s="26"/>
      <c r="R193" s="26"/>
      <c r="S193" s="26"/>
      <c r="T193" s="26"/>
      <c r="U193" s="26"/>
      <c r="V193" s="26"/>
      <c r="W193" s="26"/>
      <c r="X193" s="26"/>
    </row>
    <row r="194" hidden="1">
      <c r="A194" s="10" t="s">
        <v>190</v>
      </c>
      <c r="B194" s="10" t="s">
        <v>851</v>
      </c>
      <c r="C194" s="27" t="s">
        <v>852</v>
      </c>
      <c r="D194" s="10" t="s">
        <v>853</v>
      </c>
      <c r="E194" s="28" t="s">
        <v>194</v>
      </c>
      <c r="F194" s="23" t="s">
        <v>195</v>
      </c>
      <c r="G194" s="23" t="s">
        <v>203</v>
      </c>
      <c r="H194" s="23" t="s">
        <v>349</v>
      </c>
      <c r="I194" s="32"/>
      <c r="J194" s="23" t="s">
        <v>229</v>
      </c>
      <c r="K194" s="23" t="str">
        <f t="shared" si="1"/>
        <v>645193</v>
      </c>
      <c r="L194" s="23"/>
      <c r="M194" s="26"/>
      <c r="N194" s="26"/>
      <c r="O194" s="26"/>
      <c r="P194" s="26"/>
      <c r="Q194" s="26"/>
      <c r="R194" s="26"/>
      <c r="S194" s="26"/>
      <c r="T194" s="26"/>
      <c r="U194" s="26"/>
      <c r="V194" s="26"/>
      <c r="W194" s="26"/>
      <c r="X194" s="26"/>
    </row>
    <row r="195" hidden="1">
      <c r="A195" s="10" t="s">
        <v>190</v>
      </c>
      <c r="B195" s="10" t="s">
        <v>854</v>
      </c>
      <c r="C195" s="27" t="s">
        <v>855</v>
      </c>
      <c r="D195" s="10" t="s">
        <v>856</v>
      </c>
      <c r="E195" s="28" t="s">
        <v>194</v>
      </c>
      <c r="F195" s="23" t="s">
        <v>195</v>
      </c>
      <c r="G195" s="23" t="s">
        <v>203</v>
      </c>
      <c r="H195" s="23" t="s">
        <v>349</v>
      </c>
      <c r="I195" s="23" t="s">
        <v>423</v>
      </c>
      <c r="J195" s="23" t="s">
        <v>198</v>
      </c>
      <c r="K195" s="23" t="str">
        <f t="shared" si="1"/>
        <v>676654</v>
      </c>
      <c r="L195" s="23"/>
      <c r="M195" s="26"/>
      <c r="N195" s="26"/>
      <c r="O195" s="26"/>
      <c r="P195" s="26"/>
      <c r="Q195" s="26"/>
      <c r="R195" s="26"/>
      <c r="S195" s="26"/>
      <c r="T195" s="26"/>
      <c r="U195" s="26"/>
      <c r="V195" s="26"/>
      <c r="W195" s="26"/>
      <c r="X195" s="26"/>
    </row>
    <row r="196" hidden="1">
      <c r="A196" s="10" t="s">
        <v>190</v>
      </c>
      <c r="B196" s="10" t="s">
        <v>857</v>
      </c>
      <c r="C196" s="27" t="s">
        <v>858</v>
      </c>
      <c r="D196" s="10" t="s">
        <v>859</v>
      </c>
      <c r="E196" s="28" t="s">
        <v>194</v>
      </c>
      <c r="F196" s="23" t="s">
        <v>195</v>
      </c>
      <c r="G196" s="23" t="s">
        <v>203</v>
      </c>
      <c r="H196" s="23" t="s">
        <v>349</v>
      </c>
      <c r="I196" s="23" t="s">
        <v>223</v>
      </c>
      <c r="J196" s="23" t="s">
        <v>238</v>
      </c>
      <c r="K196" s="23" t="str">
        <f t="shared" si="1"/>
        <v>687278c</v>
      </c>
      <c r="L196" s="23"/>
      <c r="M196" s="26"/>
      <c r="N196" s="26"/>
      <c r="O196" s="26"/>
      <c r="P196" s="26"/>
      <c r="Q196" s="26"/>
      <c r="R196" s="26"/>
      <c r="S196" s="26"/>
      <c r="T196" s="26"/>
      <c r="U196" s="26"/>
      <c r="V196" s="26"/>
      <c r="W196" s="26"/>
      <c r="X196" s="26"/>
    </row>
    <row r="197" hidden="1">
      <c r="A197" s="10" t="s">
        <v>190</v>
      </c>
      <c r="B197" s="10" t="s">
        <v>860</v>
      </c>
      <c r="C197" s="27" t="s">
        <v>861</v>
      </c>
      <c r="D197" s="10" t="s">
        <v>862</v>
      </c>
      <c r="E197" s="28" t="s">
        <v>194</v>
      </c>
      <c r="F197" s="23" t="s">
        <v>195</v>
      </c>
      <c r="G197" s="23" t="s">
        <v>203</v>
      </c>
      <c r="H197" s="23" t="s">
        <v>349</v>
      </c>
      <c r="I197" s="23" t="s">
        <v>223</v>
      </c>
      <c r="J197" s="23" t="s">
        <v>238</v>
      </c>
      <c r="K197" s="23" t="str">
        <f t="shared" si="1"/>
        <v>687650c</v>
      </c>
      <c r="L197" s="23"/>
      <c r="M197" s="26"/>
      <c r="N197" s="26"/>
      <c r="O197" s="26"/>
      <c r="P197" s="26"/>
      <c r="Q197" s="26"/>
      <c r="R197" s="26"/>
      <c r="S197" s="26"/>
      <c r="T197" s="26"/>
      <c r="U197" s="26"/>
      <c r="V197" s="26"/>
      <c r="W197" s="26"/>
      <c r="X197" s="26"/>
    </row>
    <row r="198" hidden="1">
      <c r="A198" s="10" t="s">
        <v>190</v>
      </c>
      <c r="B198" s="10" t="s">
        <v>863</v>
      </c>
      <c r="C198" s="27" t="s">
        <v>864</v>
      </c>
      <c r="D198" s="10" t="s">
        <v>865</v>
      </c>
      <c r="E198" s="28" t="s">
        <v>194</v>
      </c>
      <c r="F198" s="23" t="s">
        <v>195</v>
      </c>
      <c r="G198" s="23" t="s">
        <v>203</v>
      </c>
      <c r="H198" s="23" t="s">
        <v>349</v>
      </c>
      <c r="I198" s="23" t="s">
        <v>223</v>
      </c>
      <c r="J198" s="23" t="s">
        <v>198</v>
      </c>
      <c r="K198" s="23" t="str">
        <f t="shared" si="1"/>
        <v>676661c</v>
      </c>
      <c r="L198" s="23"/>
      <c r="M198" s="26"/>
      <c r="N198" s="26"/>
      <c r="O198" s="26"/>
      <c r="P198" s="26"/>
      <c r="Q198" s="26"/>
      <c r="R198" s="26"/>
      <c r="S198" s="26"/>
      <c r="T198" s="26"/>
      <c r="U198" s="26"/>
      <c r="V198" s="26"/>
      <c r="W198" s="26"/>
      <c r="X198" s="26"/>
    </row>
    <row r="199" hidden="1">
      <c r="A199" s="10" t="s">
        <v>190</v>
      </c>
      <c r="B199" s="10" t="s">
        <v>866</v>
      </c>
      <c r="C199" s="27" t="s">
        <v>867</v>
      </c>
      <c r="D199" s="10" t="s">
        <v>868</v>
      </c>
      <c r="E199" s="28" t="s">
        <v>194</v>
      </c>
      <c r="F199" s="23" t="s">
        <v>195</v>
      </c>
      <c r="G199" s="23" t="s">
        <v>203</v>
      </c>
      <c r="H199" s="23" t="s">
        <v>349</v>
      </c>
      <c r="I199" s="23" t="s">
        <v>223</v>
      </c>
      <c r="J199" s="23" t="s">
        <v>198</v>
      </c>
      <c r="K199" s="23" t="str">
        <f t="shared" si="1"/>
        <v>687667</v>
      </c>
      <c r="L199" s="23"/>
      <c r="M199" s="26"/>
      <c r="N199" s="26"/>
      <c r="O199" s="26"/>
      <c r="P199" s="26"/>
      <c r="Q199" s="26"/>
      <c r="R199" s="26"/>
      <c r="S199" s="26"/>
      <c r="T199" s="26"/>
      <c r="U199" s="26"/>
      <c r="V199" s="26"/>
      <c r="W199" s="26"/>
      <c r="X199" s="26"/>
    </row>
    <row r="200" hidden="1">
      <c r="A200" s="10" t="s">
        <v>190</v>
      </c>
      <c r="B200" s="10" t="s">
        <v>869</v>
      </c>
      <c r="C200" s="27" t="s">
        <v>870</v>
      </c>
      <c r="D200" s="10" t="s">
        <v>871</v>
      </c>
      <c r="E200" s="28" t="s">
        <v>194</v>
      </c>
      <c r="F200" s="23" t="s">
        <v>195</v>
      </c>
      <c r="G200" s="23" t="s">
        <v>203</v>
      </c>
      <c r="H200" s="23" t="s">
        <v>349</v>
      </c>
      <c r="I200" s="23" t="s">
        <v>223</v>
      </c>
      <c r="J200" s="23" t="s">
        <v>198</v>
      </c>
      <c r="K200" s="23" t="str">
        <f t="shared" si="1"/>
        <v>660424c</v>
      </c>
      <c r="L200" s="23"/>
      <c r="M200" s="26"/>
      <c r="N200" s="26"/>
      <c r="O200" s="26"/>
      <c r="P200" s="26"/>
      <c r="Q200" s="26"/>
      <c r="R200" s="26"/>
      <c r="S200" s="26"/>
      <c r="T200" s="26"/>
      <c r="U200" s="26"/>
      <c r="V200" s="26"/>
      <c r="W200" s="26"/>
      <c r="X200" s="26"/>
    </row>
    <row r="201" hidden="1">
      <c r="A201" s="10" t="s">
        <v>190</v>
      </c>
      <c r="B201" s="10" t="s">
        <v>872</v>
      </c>
      <c r="C201" s="27" t="s">
        <v>873</v>
      </c>
      <c r="D201" s="10" t="s">
        <v>874</v>
      </c>
      <c r="E201" s="28" t="s">
        <v>194</v>
      </c>
      <c r="F201" s="23" t="s">
        <v>195</v>
      </c>
      <c r="G201" s="23" t="s">
        <v>203</v>
      </c>
      <c r="H201" s="23" t="s">
        <v>349</v>
      </c>
      <c r="I201" s="23" t="s">
        <v>223</v>
      </c>
      <c r="J201" s="23" t="s">
        <v>198</v>
      </c>
      <c r="K201" s="23" t="str">
        <f t="shared" si="1"/>
        <v>660424</v>
      </c>
      <c r="L201" s="23"/>
      <c r="M201" s="26"/>
      <c r="N201" s="26"/>
      <c r="O201" s="26"/>
      <c r="P201" s="26"/>
      <c r="Q201" s="26"/>
      <c r="R201" s="26"/>
      <c r="S201" s="26"/>
      <c r="T201" s="26"/>
      <c r="U201" s="26"/>
      <c r="V201" s="26"/>
      <c r="W201" s="26"/>
      <c r="X201" s="26"/>
    </row>
    <row r="202" hidden="1">
      <c r="A202" s="10" t="s">
        <v>190</v>
      </c>
      <c r="B202" s="10" t="s">
        <v>875</v>
      </c>
      <c r="C202" s="27" t="s">
        <v>876</v>
      </c>
      <c r="D202" s="10" t="s">
        <v>877</v>
      </c>
      <c r="E202" s="28" t="s">
        <v>194</v>
      </c>
      <c r="F202" s="23" t="s">
        <v>195</v>
      </c>
      <c r="G202" s="23" t="s">
        <v>203</v>
      </c>
      <c r="H202" s="23" t="s">
        <v>349</v>
      </c>
      <c r="I202" s="23" t="s">
        <v>223</v>
      </c>
      <c r="J202" s="23" t="s">
        <v>198</v>
      </c>
      <c r="K202" s="23" t="str">
        <f t="shared" si="1"/>
        <v>688145</v>
      </c>
      <c r="L202" s="23"/>
      <c r="M202" s="26"/>
      <c r="N202" s="26"/>
      <c r="O202" s="26"/>
      <c r="P202" s="26"/>
      <c r="Q202" s="26"/>
      <c r="R202" s="26"/>
      <c r="S202" s="26"/>
      <c r="T202" s="26"/>
      <c r="U202" s="26"/>
      <c r="V202" s="26"/>
      <c r="W202" s="26"/>
      <c r="X202" s="26"/>
    </row>
    <row r="203" hidden="1">
      <c r="A203" s="10" t="s">
        <v>190</v>
      </c>
      <c r="B203" s="10" t="s">
        <v>878</v>
      </c>
      <c r="C203" s="27" t="s">
        <v>879</v>
      </c>
      <c r="D203" s="10" t="s">
        <v>880</v>
      </c>
      <c r="E203" s="28" t="s">
        <v>194</v>
      </c>
      <c r="F203" s="23" t="s">
        <v>195</v>
      </c>
      <c r="G203" s="23" t="s">
        <v>203</v>
      </c>
      <c r="H203" s="23" t="s">
        <v>349</v>
      </c>
      <c r="I203" s="23" t="s">
        <v>223</v>
      </c>
      <c r="J203" s="23" t="s">
        <v>198</v>
      </c>
      <c r="K203" s="23" t="str">
        <f t="shared" si="1"/>
        <v>687681c</v>
      </c>
      <c r="L203" s="23"/>
      <c r="M203" s="26"/>
      <c r="N203" s="26"/>
      <c r="O203" s="26"/>
      <c r="P203" s="26"/>
      <c r="Q203" s="26"/>
      <c r="R203" s="26"/>
      <c r="S203" s="26"/>
      <c r="T203" s="26"/>
      <c r="U203" s="26"/>
      <c r="V203" s="26"/>
      <c r="W203" s="26"/>
      <c r="X203" s="26"/>
    </row>
    <row r="204" hidden="1">
      <c r="A204" s="10" t="s">
        <v>190</v>
      </c>
      <c r="B204" s="10" t="s">
        <v>881</v>
      </c>
      <c r="C204" s="27" t="s">
        <v>882</v>
      </c>
      <c r="D204" s="10" t="s">
        <v>883</v>
      </c>
      <c r="E204" s="28" t="s">
        <v>194</v>
      </c>
      <c r="F204" s="23" t="s">
        <v>195</v>
      </c>
      <c r="G204" s="23" t="s">
        <v>203</v>
      </c>
      <c r="H204" s="23" t="s">
        <v>349</v>
      </c>
      <c r="I204" s="23" t="s">
        <v>223</v>
      </c>
      <c r="J204" s="23" t="s">
        <v>198</v>
      </c>
      <c r="K204" s="23" t="str">
        <f t="shared" si="1"/>
        <v>687681</v>
      </c>
      <c r="L204" s="23"/>
      <c r="M204" s="26"/>
      <c r="N204" s="26"/>
      <c r="O204" s="26"/>
      <c r="P204" s="26"/>
      <c r="Q204" s="26"/>
      <c r="R204" s="26"/>
      <c r="S204" s="26"/>
      <c r="T204" s="26"/>
      <c r="U204" s="26"/>
      <c r="V204" s="26"/>
      <c r="W204" s="26"/>
      <c r="X204" s="26"/>
    </row>
    <row r="205" hidden="1">
      <c r="A205" s="10" t="s">
        <v>190</v>
      </c>
      <c r="B205" s="10" t="s">
        <v>884</v>
      </c>
      <c r="C205" s="27" t="s">
        <v>885</v>
      </c>
      <c r="D205" s="10" t="s">
        <v>886</v>
      </c>
      <c r="E205" s="28" t="s">
        <v>194</v>
      </c>
      <c r="F205" s="23" t="s">
        <v>195</v>
      </c>
      <c r="G205" s="23" t="s">
        <v>203</v>
      </c>
      <c r="H205" s="23" t="s">
        <v>349</v>
      </c>
      <c r="I205" s="23" t="s">
        <v>223</v>
      </c>
      <c r="J205" s="23" t="s">
        <v>238</v>
      </c>
      <c r="K205" s="23" t="str">
        <f t="shared" si="1"/>
        <v>634128c</v>
      </c>
      <c r="L205" s="23"/>
      <c r="M205" s="26"/>
      <c r="N205" s="26"/>
      <c r="O205" s="26"/>
      <c r="P205" s="26"/>
      <c r="Q205" s="26"/>
      <c r="R205" s="26"/>
      <c r="S205" s="26"/>
      <c r="T205" s="26"/>
      <c r="U205" s="26"/>
      <c r="V205" s="26"/>
      <c r="W205" s="26"/>
      <c r="X205" s="26"/>
    </row>
    <row r="206" hidden="1">
      <c r="A206" s="10" t="s">
        <v>190</v>
      </c>
      <c r="B206" s="10" t="s">
        <v>887</v>
      </c>
      <c r="C206" s="27" t="s">
        <v>888</v>
      </c>
      <c r="D206" s="10" t="s">
        <v>889</v>
      </c>
      <c r="E206" s="28" t="s">
        <v>194</v>
      </c>
      <c r="F206" s="23" t="s">
        <v>195</v>
      </c>
      <c r="G206" s="23" t="s">
        <v>203</v>
      </c>
      <c r="H206" s="23" t="s">
        <v>349</v>
      </c>
      <c r="I206" s="23" t="s">
        <v>223</v>
      </c>
      <c r="J206" s="23" t="s">
        <v>198</v>
      </c>
      <c r="K206" s="23" t="str">
        <f t="shared" si="1"/>
        <v>687674c</v>
      </c>
      <c r="L206" s="23"/>
      <c r="M206" s="26"/>
      <c r="N206" s="26"/>
      <c r="O206" s="26"/>
      <c r="P206" s="26"/>
      <c r="Q206" s="26"/>
      <c r="R206" s="26"/>
      <c r="S206" s="26"/>
      <c r="T206" s="26"/>
      <c r="U206" s="26"/>
      <c r="V206" s="26"/>
      <c r="W206" s="26"/>
      <c r="X206" s="26"/>
    </row>
    <row r="207" hidden="1">
      <c r="A207" s="10" t="s">
        <v>190</v>
      </c>
      <c r="B207" s="10" t="s">
        <v>890</v>
      </c>
      <c r="C207" s="27" t="s">
        <v>891</v>
      </c>
      <c r="D207" s="10" t="s">
        <v>892</v>
      </c>
      <c r="E207" s="28" t="s">
        <v>194</v>
      </c>
      <c r="F207" s="23" t="s">
        <v>195</v>
      </c>
      <c r="G207" s="23" t="s">
        <v>203</v>
      </c>
      <c r="H207" s="23" t="s">
        <v>349</v>
      </c>
      <c r="I207" s="23" t="s">
        <v>893</v>
      </c>
      <c r="J207" s="23" t="s">
        <v>198</v>
      </c>
      <c r="K207" s="23" t="str">
        <f t="shared" si="1"/>
        <v>688565c</v>
      </c>
      <c r="L207" s="23"/>
      <c r="M207" s="26"/>
      <c r="N207" s="26"/>
      <c r="O207" s="26"/>
      <c r="P207" s="26"/>
      <c r="Q207" s="26"/>
      <c r="R207" s="26"/>
      <c r="S207" s="26"/>
      <c r="T207" s="26"/>
      <c r="U207" s="26"/>
      <c r="V207" s="26"/>
      <c r="W207" s="26"/>
      <c r="X207" s="26"/>
    </row>
    <row r="208" hidden="1">
      <c r="A208" s="10" t="s">
        <v>190</v>
      </c>
      <c r="B208" s="10" t="s">
        <v>894</v>
      </c>
      <c r="C208" s="27" t="s">
        <v>895</v>
      </c>
      <c r="D208" s="10" t="s">
        <v>896</v>
      </c>
      <c r="E208" s="28" t="s">
        <v>194</v>
      </c>
      <c r="F208" s="23" t="s">
        <v>195</v>
      </c>
      <c r="G208" s="23" t="s">
        <v>203</v>
      </c>
      <c r="H208" s="23" t="s">
        <v>349</v>
      </c>
      <c r="I208" s="23" t="s">
        <v>223</v>
      </c>
      <c r="J208" s="23" t="s">
        <v>238</v>
      </c>
      <c r="K208" s="23" t="str">
        <f t="shared" si="1"/>
        <v>687650</v>
      </c>
      <c r="L208" s="23"/>
      <c r="M208" s="26"/>
      <c r="N208" s="26"/>
      <c r="O208" s="26"/>
      <c r="P208" s="26"/>
      <c r="Q208" s="26"/>
      <c r="R208" s="26"/>
      <c r="S208" s="26"/>
      <c r="T208" s="26"/>
      <c r="U208" s="26"/>
      <c r="V208" s="26"/>
      <c r="W208" s="26"/>
      <c r="X208" s="26"/>
    </row>
    <row r="209" hidden="1">
      <c r="A209" s="10" t="s">
        <v>190</v>
      </c>
      <c r="B209" s="10" t="s">
        <v>897</v>
      </c>
      <c r="C209" s="27" t="s">
        <v>898</v>
      </c>
      <c r="D209" s="10" t="s">
        <v>899</v>
      </c>
      <c r="E209" s="28" t="s">
        <v>194</v>
      </c>
      <c r="F209" s="23" t="s">
        <v>195</v>
      </c>
      <c r="G209" s="23" t="s">
        <v>203</v>
      </c>
      <c r="H209" s="23" t="s">
        <v>349</v>
      </c>
      <c r="I209" s="23" t="s">
        <v>223</v>
      </c>
      <c r="J209" s="23" t="s">
        <v>238</v>
      </c>
      <c r="K209" s="23" t="str">
        <f t="shared" si="1"/>
        <v>684161c</v>
      </c>
      <c r="L209" s="23"/>
      <c r="M209" s="26"/>
      <c r="N209" s="26"/>
      <c r="O209" s="26"/>
      <c r="P209" s="26"/>
      <c r="Q209" s="26"/>
      <c r="R209" s="26"/>
      <c r="S209" s="26"/>
      <c r="T209" s="26"/>
      <c r="U209" s="26"/>
      <c r="V209" s="26"/>
      <c r="W209" s="26"/>
      <c r="X209" s="26"/>
    </row>
    <row r="210" hidden="1">
      <c r="A210" s="10" t="s">
        <v>190</v>
      </c>
      <c r="B210" s="10" t="s">
        <v>900</v>
      </c>
      <c r="C210" s="27" t="s">
        <v>901</v>
      </c>
      <c r="D210" s="10" t="s">
        <v>902</v>
      </c>
      <c r="E210" s="28" t="s">
        <v>194</v>
      </c>
      <c r="F210" s="23" t="s">
        <v>195</v>
      </c>
      <c r="G210" s="23" t="s">
        <v>203</v>
      </c>
      <c r="H210" s="23" t="s">
        <v>349</v>
      </c>
      <c r="I210" s="23" t="s">
        <v>223</v>
      </c>
      <c r="J210" s="23" t="s">
        <v>238</v>
      </c>
      <c r="K210" s="23" t="str">
        <f t="shared" si="1"/>
        <v>687278</v>
      </c>
      <c r="L210" s="23"/>
      <c r="M210" s="26"/>
      <c r="N210" s="26"/>
      <c r="O210" s="26"/>
      <c r="P210" s="26"/>
      <c r="Q210" s="26"/>
      <c r="R210" s="26"/>
      <c r="S210" s="26"/>
      <c r="T210" s="26"/>
      <c r="U210" s="26"/>
      <c r="V210" s="26"/>
      <c r="W210" s="26"/>
      <c r="X210" s="26"/>
    </row>
    <row r="211" hidden="1">
      <c r="A211" s="10" t="s">
        <v>190</v>
      </c>
      <c r="B211" s="10" t="s">
        <v>903</v>
      </c>
      <c r="C211" s="27" t="s">
        <v>904</v>
      </c>
      <c r="D211" s="10" t="s">
        <v>905</v>
      </c>
      <c r="E211" s="28" t="s">
        <v>194</v>
      </c>
      <c r="F211" s="23" t="s">
        <v>195</v>
      </c>
      <c r="G211" s="23" t="s">
        <v>203</v>
      </c>
      <c r="H211" s="23" t="s">
        <v>349</v>
      </c>
      <c r="I211" s="23" t="s">
        <v>223</v>
      </c>
      <c r="J211" s="23" t="s">
        <v>198</v>
      </c>
      <c r="K211" s="23" t="str">
        <f t="shared" si="1"/>
        <v>687674</v>
      </c>
      <c r="L211" s="23"/>
      <c r="M211" s="26"/>
      <c r="N211" s="26"/>
      <c r="O211" s="26"/>
      <c r="P211" s="26"/>
      <c r="Q211" s="26"/>
      <c r="R211" s="26"/>
      <c r="S211" s="26"/>
      <c r="T211" s="26"/>
      <c r="U211" s="26"/>
      <c r="V211" s="26"/>
      <c r="W211" s="26"/>
      <c r="X211" s="26"/>
    </row>
    <row r="212" hidden="1">
      <c r="A212" s="10" t="s">
        <v>190</v>
      </c>
      <c r="B212" s="10" t="s">
        <v>906</v>
      </c>
      <c r="C212" s="27" t="s">
        <v>907</v>
      </c>
      <c r="D212" s="10" t="s">
        <v>908</v>
      </c>
      <c r="E212" s="28" t="s">
        <v>194</v>
      </c>
      <c r="F212" s="23" t="s">
        <v>195</v>
      </c>
      <c r="G212" s="23" t="s">
        <v>203</v>
      </c>
      <c r="H212" s="23" t="s">
        <v>349</v>
      </c>
      <c r="I212" s="23" t="s">
        <v>223</v>
      </c>
      <c r="J212" s="23" t="s">
        <v>238</v>
      </c>
      <c r="K212" s="23" t="str">
        <f t="shared" si="1"/>
        <v>634128</v>
      </c>
      <c r="L212" s="23"/>
      <c r="M212" s="26"/>
      <c r="N212" s="26"/>
      <c r="O212" s="26"/>
      <c r="P212" s="26"/>
      <c r="Q212" s="26"/>
      <c r="R212" s="26"/>
      <c r="S212" s="26"/>
      <c r="T212" s="26"/>
      <c r="U212" s="26"/>
      <c r="V212" s="26"/>
      <c r="W212" s="26"/>
      <c r="X212" s="26"/>
    </row>
    <row r="213" hidden="1">
      <c r="A213" s="10" t="s">
        <v>190</v>
      </c>
      <c r="B213" s="10" t="s">
        <v>909</v>
      </c>
      <c r="C213" s="27" t="s">
        <v>910</v>
      </c>
      <c r="D213" s="10" t="s">
        <v>911</v>
      </c>
      <c r="E213" s="28" t="s">
        <v>194</v>
      </c>
      <c r="F213" s="23" t="s">
        <v>195</v>
      </c>
      <c r="G213" s="23" t="s">
        <v>203</v>
      </c>
      <c r="H213" s="23" t="s">
        <v>349</v>
      </c>
      <c r="I213" s="23" t="s">
        <v>893</v>
      </c>
      <c r="J213" s="23" t="s">
        <v>198</v>
      </c>
      <c r="K213" s="23" t="str">
        <f t="shared" si="1"/>
        <v>688565</v>
      </c>
      <c r="L213" s="23"/>
      <c r="M213" s="26"/>
      <c r="N213" s="26"/>
      <c r="O213" s="26"/>
      <c r="P213" s="26"/>
      <c r="Q213" s="26"/>
      <c r="R213" s="26"/>
      <c r="S213" s="26"/>
      <c r="T213" s="26"/>
      <c r="U213" s="26"/>
      <c r="V213" s="26"/>
      <c r="W213" s="26"/>
      <c r="X213" s="26"/>
    </row>
    <row r="214" hidden="1">
      <c r="A214" s="10" t="s">
        <v>190</v>
      </c>
      <c r="B214" s="10" t="s">
        <v>912</v>
      </c>
      <c r="C214" s="27" t="s">
        <v>913</v>
      </c>
      <c r="D214" s="10" t="s">
        <v>914</v>
      </c>
      <c r="E214" s="28" t="s">
        <v>194</v>
      </c>
      <c r="F214" s="23" t="s">
        <v>195</v>
      </c>
      <c r="G214" s="23" t="s">
        <v>203</v>
      </c>
      <c r="H214" s="23" t="s">
        <v>349</v>
      </c>
      <c r="I214" s="23" t="s">
        <v>223</v>
      </c>
      <c r="J214" s="23" t="s">
        <v>238</v>
      </c>
      <c r="K214" s="23" t="str">
        <f t="shared" si="1"/>
        <v>684161</v>
      </c>
      <c r="L214" s="23"/>
      <c r="M214" s="26"/>
      <c r="N214" s="26"/>
      <c r="O214" s="26"/>
      <c r="P214" s="26"/>
      <c r="Q214" s="26"/>
      <c r="R214" s="26"/>
      <c r="S214" s="26"/>
      <c r="T214" s="26"/>
      <c r="U214" s="26"/>
      <c r="V214" s="26"/>
      <c r="W214" s="26"/>
      <c r="X214" s="26"/>
    </row>
    <row r="215" hidden="1">
      <c r="A215" s="10" t="s">
        <v>190</v>
      </c>
      <c r="B215" s="10" t="s">
        <v>915</v>
      </c>
      <c r="C215" s="27" t="s">
        <v>916</v>
      </c>
      <c r="D215" s="10" t="s">
        <v>917</v>
      </c>
      <c r="E215" s="28" t="s">
        <v>194</v>
      </c>
      <c r="F215" s="23" t="s">
        <v>195</v>
      </c>
      <c r="G215" s="23" t="s">
        <v>203</v>
      </c>
      <c r="H215" s="23" t="s">
        <v>349</v>
      </c>
      <c r="I215" s="23" t="s">
        <v>223</v>
      </c>
      <c r="J215" s="23" t="s">
        <v>198</v>
      </c>
      <c r="K215" s="23" t="str">
        <f t="shared" si="1"/>
        <v>685205</v>
      </c>
      <c r="L215" s="23"/>
      <c r="M215" s="26"/>
      <c r="N215" s="26"/>
      <c r="O215" s="26"/>
      <c r="P215" s="26"/>
      <c r="Q215" s="26"/>
      <c r="R215" s="26"/>
      <c r="S215" s="26"/>
      <c r="T215" s="26"/>
      <c r="U215" s="26"/>
      <c r="V215" s="26"/>
      <c r="W215" s="26"/>
      <c r="X215" s="26"/>
    </row>
    <row r="216" hidden="1">
      <c r="A216" s="10" t="s">
        <v>190</v>
      </c>
      <c r="B216" s="10" t="s">
        <v>918</v>
      </c>
      <c r="C216" s="27" t="s">
        <v>919</v>
      </c>
      <c r="D216" s="10" t="s">
        <v>920</v>
      </c>
      <c r="E216" s="28" t="s">
        <v>194</v>
      </c>
      <c r="F216" s="23" t="s">
        <v>195</v>
      </c>
      <c r="G216" s="23" t="s">
        <v>203</v>
      </c>
      <c r="H216" s="23" t="s">
        <v>349</v>
      </c>
      <c r="I216" s="23" t="s">
        <v>423</v>
      </c>
      <c r="J216" s="23" t="s">
        <v>198</v>
      </c>
      <c r="K216" s="23" t="str">
        <f t="shared" si="1"/>
        <v>684093</v>
      </c>
      <c r="L216" s="23"/>
      <c r="M216" s="26"/>
      <c r="N216" s="26"/>
      <c r="O216" s="26"/>
      <c r="P216" s="26"/>
      <c r="Q216" s="26"/>
      <c r="R216" s="26"/>
      <c r="S216" s="26"/>
      <c r="T216" s="26"/>
      <c r="U216" s="26"/>
      <c r="V216" s="26"/>
      <c r="W216" s="26"/>
      <c r="X216" s="26"/>
    </row>
    <row r="217" hidden="1">
      <c r="A217" s="10" t="s">
        <v>499</v>
      </c>
      <c r="B217" s="10" t="s">
        <v>921</v>
      </c>
      <c r="C217" s="27" t="s">
        <v>922</v>
      </c>
      <c r="D217" s="10" t="s">
        <v>923</v>
      </c>
      <c r="E217" s="28" t="s">
        <v>194</v>
      </c>
      <c r="F217" s="23" t="s">
        <v>195</v>
      </c>
      <c r="G217" s="23" t="s">
        <v>203</v>
      </c>
      <c r="H217" s="23" t="s">
        <v>349</v>
      </c>
      <c r="I217" s="32"/>
      <c r="J217" s="23" t="s">
        <v>6</v>
      </c>
      <c r="K217" s="23" t="str">
        <f t="shared" si="1"/>
        <v>678979c</v>
      </c>
      <c r="L217" s="23"/>
      <c r="M217" s="26"/>
      <c r="N217" s="26"/>
      <c r="O217" s="26"/>
      <c r="P217" s="26"/>
      <c r="Q217" s="26"/>
      <c r="R217" s="26"/>
      <c r="S217" s="26"/>
      <c r="T217" s="26"/>
      <c r="U217" s="26"/>
      <c r="V217" s="26"/>
      <c r="W217" s="26"/>
      <c r="X217" s="26"/>
    </row>
    <row r="218" hidden="1">
      <c r="A218" s="10" t="s">
        <v>499</v>
      </c>
      <c r="B218" s="10" t="s">
        <v>924</v>
      </c>
      <c r="C218" s="27" t="s">
        <v>925</v>
      </c>
      <c r="D218" s="10" t="s">
        <v>926</v>
      </c>
      <c r="E218" s="28" t="s">
        <v>194</v>
      </c>
      <c r="F218" s="23" t="s">
        <v>195</v>
      </c>
      <c r="G218" s="23" t="s">
        <v>203</v>
      </c>
      <c r="H218" s="23" t="s">
        <v>349</v>
      </c>
      <c r="I218" s="32"/>
      <c r="J218" s="23" t="s">
        <v>6</v>
      </c>
      <c r="K218" s="23" t="str">
        <f t="shared" si="1"/>
        <v>690476</v>
      </c>
      <c r="L218" s="23"/>
      <c r="M218" s="26"/>
      <c r="N218" s="26"/>
      <c r="O218" s="26"/>
      <c r="P218" s="26"/>
      <c r="Q218" s="26"/>
      <c r="R218" s="26"/>
      <c r="S218" s="26"/>
      <c r="T218" s="26"/>
      <c r="U218" s="26"/>
      <c r="V218" s="26"/>
      <c r="W218" s="26"/>
      <c r="X218" s="26"/>
    </row>
    <row r="219" hidden="1">
      <c r="A219" s="10" t="s">
        <v>499</v>
      </c>
      <c r="B219" s="10" t="s">
        <v>927</v>
      </c>
      <c r="C219" s="27" t="s">
        <v>928</v>
      </c>
      <c r="D219" s="10" t="s">
        <v>929</v>
      </c>
      <c r="E219" s="28" t="s">
        <v>194</v>
      </c>
      <c r="F219" s="23" t="s">
        <v>195</v>
      </c>
      <c r="G219" s="23" t="s">
        <v>203</v>
      </c>
      <c r="H219" s="23" t="s">
        <v>349</v>
      </c>
      <c r="I219" s="32"/>
      <c r="J219" s="23" t="s">
        <v>6</v>
      </c>
      <c r="K219" s="23" t="str">
        <f t="shared" si="1"/>
        <v>690858</v>
      </c>
      <c r="L219" s="23"/>
      <c r="M219" s="26"/>
      <c r="N219" s="26"/>
      <c r="O219" s="26"/>
      <c r="P219" s="26"/>
      <c r="Q219" s="26"/>
      <c r="R219" s="26"/>
      <c r="S219" s="26"/>
      <c r="T219" s="26"/>
      <c r="U219" s="26"/>
      <c r="V219" s="26"/>
      <c r="W219" s="26"/>
      <c r="X219" s="26"/>
    </row>
    <row r="220" hidden="1">
      <c r="A220" s="10" t="s">
        <v>427</v>
      </c>
      <c r="B220" s="10" t="s">
        <v>930</v>
      </c>
      <c r="C220" s="27" t="s">
        <v>931</v>
      </c>
      <c r="D220" s="10" t="s">
        <v>932</v>
      </c>
      <c r="E220" s="28" t="s">
        <v>431</v>
      </c>
      <c r="F220" s="23" t="s">
        <v>933</v>
      </c>
      <c r="G220" s="23" t="s">
        <v>203</v>
      </c>
      <c r="H220" s="23" t="s">
        <v>349</v>
      </c>
      <c r="I220" s="32"/>
      <c r="J220" s="23" t="s">
        <v>6</v>
      </c>
      <c r="K220" s="23" t="str">
        <f t="shared" si="1"/>
        <v>657325</v>
      </c>
      <c r="L220" s="23"/>
      <c r="M220" s="26"/>
      <c r="N220" s="26"/>
      <c r="O220" s="26"/>
      <c r="P220" s="26"/>
      <c r="Q220" s="26"/>
      <c r="R220" s="26"/>
      <c r="S220" s="26"/>
      <c r="T220" s="26"/>
      <c r="U220" s="26"/>
      <c r="V220" s="26"/>
      <c r="W220" s="26"/>
      <c r="X220" s="26"/>
    </row>
    <row r="221" hidden="1">
      <c r="A221" s="10" t="s">
        <v>427</v>
      </c>
      <c r="B221" s="10" t="s">
        <v>934</v>
      </c>
      <c r="C221" s="27" t="s">
        <v>935</v>
      </c>
      <c r="D221" s="10" t="s">
        <v>936</v>
      </c>
      <c r="E221" s="28" t="s">
        <v>580</v>
      </c>
      <c r="F221" s="23" t="s">
        <v>585</v>
      </c>
      <c r="G221" s="23" t="s">
        <v>203</v>
      </c>
      <c r="H221" s="23" t="s">
        <v>349</v>
      </c>
      <c r="I221" s="32"/>
      <c r="J221" s="23" t="s">
        <v>6</v>
      </c>
      <c r="K221" s="23" t="str">
        <f t="shared" si="1"/>
        <v>673349</v>
      </c>
      <c r="L221" s="23"/>
      <c r="M221" s="26"/>
      <c r="N221" s="26"/>
      <c r="O221" s="26"/>
      <c r="P221" s="26"/>
      <c r="Q221" s="26"/>
      <c r="R221" s="26"/>
      <c r="S221" s="26"/>
      <c r="T221" s="26"/>
      <c r="U221" s="26"/>
      <c r="V221" s="26"/>
      <c r="W221" s="26"/>
      <c r="X221" s="26"/>
    </row>
    <row r="222" hidden="1">
      <c r="A222" s="10" t="s">
        <v>427</v>
      </c>
      <c r="B222" s="10" t="s">
        <v>937</v>
      </c>
      <c r="C222" s="27" t="s">
        <v>938</v>
      </c>
      <c r="D222" s="10" t="s">
        <v>939</v>
      </c>
      <c r="E222" s="28" t="s">
        <v>580</v>
      </c>
      <c r="F222" s="23" t="s">
        <v>581</v>
      </c>
      <c r="G222" s="23" t="s">
        <v>203</v>
      </c>
      <c r="H222" s="23" t="s">
        <v>349</v>
      </c>
      <c r="I222" s="32"/>
      <c r="J222" s="23" t="s">
        <v>6</v>
      </c>
      <c r="K222" s="23" t="str">
        <f t="shared" si="1"/>
        <v>673332</v>
      </c>
      <c r="L222" s="23"/>
      <c r="M222" s="26"/>
      <c r="N222" s="26"/>
      <c r="O222" s="26"/>
      <c r="P222" s="26"/>
      <c r="Q222" s="26"/>
      <c r="R222" s="26"/>
      <c r="S222" s="26"/>
      <c r="T222" s="26"/>
      <c r="U222" s="26"/>
      <c r="V222" s="26"/>
      <c r="W222" s="26"/>
      <c r="X222" s="26"/>
    </row>
    <row r="223" hidden="1">
      <c r="A223" s="10" t="s">
        <v>414</v>
      </c>
      <c r="B223" s="10" t="s">
        <v>940</v>
      </c>
      <c r="C223" s="27" t="s">
        <v>941</v>
      </c>
      <c r="D223" s="10" t="s">
        <v>942</v>
      </c>
      <c r="E223" s="28" t="s">
        <v>194</v>
      </c>
      <c r="F223" s="23" t="s">
        <v>589</v>
      </c>
      <c r="G223" s="23" t="s">
        <v>203</v>
      </c>
      <c r="H223" s="23" t="s">
        <v>349</v>
      </c>
      <c r="I223" s="32"/>
      <c r="J223" s="23" t="s">
        <v>6</v>
      </c>
      <c r="K223" s="23" t="str">
        <f t="shared" si="1"/>
        <v>682785p</v>
      </c>
      <c r="L223" s="23"/>
      <c r="M223" s="26"/>
      <c r="N223" s="26"/>
      <c r="O223" s="26"/>
      <c r="P223" s="26"/>
      <c r="Q223" s="26"/>
      <c r="R223" s="26"/>
      <c r="S223" s="26"/>
      <c r="T223" s="26"/>
      <c r="U223" s="26"/>
      <c r="V223" s="26"/>
      <c r="W223" s="26"/>
      <c r="X223" s="26"/>
    </row>
    <row r="224" hidden="1">
      <c r="A224" s="10" t="s">
        <v>414</v>
      </c>
      <c r="B224" s="10" t="s">
        <v>943</v>
      </c>
      <c r="C224" s="27" t="s">
        <v>944</v>
      </c>
      <c r="D224" s="10" t="s">
        <v>945</v>
      </c>
      <c r="E224" s="28" t="s">
        <v>431</v>
      </c>
      <c r="F224" s="23" t="s">
        <v>946</v>
      </c>
      <c r="G224" s="23" t="s">
        <v>203</v>
      </c>
      <c r="H224" s="23" t="s">
        <v>349</v>
      </c>
      <c r="I224" s="32"/>
      <c r="J224" s="23" t="s">
        <v>6</v>
      </c>
      <c r="K224" s="23" t="str">
        <f t="shared" si="1"/>
        <v>678979</v>
      </c>
      <c r="L224" s="23"/>
      <c r="M224" s="26"/>
      <c r="N224" s="26"/>
      <c r="O224" s="26"/>
      <c r="P224" s="26"/>
      <c r="Q224" s="26"/>
      <c r="R224" s="26"/>
      <c r="S224" s="26"/>
      <c r="T224" s="26"/>
      <c r="U224" s="26"/>
      <c r="V224" s="26"/>
      <c r="W224" s="26"/>
      <c r="X224" s="26"/>
    </row>
    <row r="225" hidden="1">
      <c r="A225" s="10" t="s">
        <v>414</v>
      </c>
      <c r="B225" s="10" t="s">
        <v>947</v>
      </c>
      <c r="C225" s="27" t="s">
        <v>948</v>
      </c>
      <c r="D225" s="10" t="s">
        <v>949</v>
      </c>
      <c r="E225" s="28" t="s">
        <v>431</v>
      </c>
      <c r="F225" s="23" t="s">
        <v>950</v>
      </c>
      <c r="G225" s="23" t="s">
        <v>203</v>
      </c>
      <c r="H225" s="23" t="s">
        <v>349</v>
      </c>
      <c r="I225" s="32"/>
      <c r="J225" s="23" t="s">
        <v>6</v>
      </c>
      <c r="K225" s="23" t="str">
        <f t="shared" si="1"/>
        <v>679013p</v>
      </c>
      <c r="L225" s="23"/>
      <c r="M225" s="26"/>
      <c r="N225" s="26"/>
      <c r="O225" s="26"/>
      <c r="P225" s="26"/>
      <c r="Q225" s="26"/>
      <c r="R225" s="26"/>
      <c r="S225" s="26"/>
      <c r="T225" s="26"/>
      <c r="U225" s="26"/>
      <c r="V225" s="26"/>
      <c r="W225" s="26"/>
      <c r="X225" s="26"/>
    </row>
    <row r="226" hidden="1">
      <c r="A226" s="10" t="s">
        <v>414</v>
      </c>
      <c r="B226" s="10" t="s">
        <v>951</v>
      </c>
      <c r="C226" s="27" t="s">
        <v>952</v>
      </c>
      <c r="D226" s="10" t="s">
        <v>953</v>
      </c>
      <c r="E226" s="28" t="s">
        <v>534</v>
      </c>
      <c r="F226" s="23" t="s">
        <v>954</v>
      </c>
      <c r="G226" s="23" t="s">
        <v>203</v>
      </c>
      <c r="H226" s="23" t="s">
        <v>349</v>
      </c>
      <c r="I226" s="32"/>
      <c r="J226" s="23" t="s">
        <v>6</v>
      </c>
      <c r="K226" s="23" t="str">
        <f t="shared" si="1"/>
        <v>645193p</v>
      </c>
      <c r="L226" s="23"/>
      <c r="M226" s="26"/>
      <c r="N226" s="26"/>
      <c r="O226" s="26"/>
      <c r="P226" s="26"/>
      <c r="Q226" s="26"/>
      <c r="R226" s="26"/>
      <c r="S226" s="26"/>
      <c r="T226" s="26"/>
      <c r="U226" s="26"/>
      <c r="V226" s="26"/>
      <c r="W226" s="26"/>
      <c r="X226" s="26"/>
    </row>
    <row r="227" hidden="1">
      <c r="A227" s="10" t="s">
        <v>414</v>
      </c>
      <c r="B227" s="10" t="s">
        <v>955</v>
      </c>
      <c r="C227" s="27" t="s">
        <v>956</v>
      </c>
      <c r="D227" s="10" t="s">
        <v>957</v>
      </c>
      <c r="E227" s="28" t="s">
        <v>418</v>
      </c>
      <c r="F227" s="23" t="s">
        <v>419</v>
      </c>
      <c r="G227" s="23" t="s">
        <v>203</v>
      </c>
      <c r="H227" s="23" t="s">
        <v>349</v>
      </c>
      <c r="I227" s="32"/>
      <c r="J227" s="23" t="s">
        <v>6</v>
      </c>
      <c r="K227" s="23" t="str">
        <f t="shared" si="1"/>
        <v>678979p</v>
      </c>
      <c r="L227" s="23"/>
      <c r="M227" s="26"/>
      <c r="N227" s="26"/>
      <c r="O227" s="26"/>
      <c r="P227" s="26"/>
      <c r="Q227" s="26"/>
      <c r="R227" s="26"/>
      <c r="S227" s="26"/>
      <c r="T227" s="26"/>
      <c r="U227" s="26"/>
      <c r="V227" s="26"/>
      <c r="W227" s="26"/>
      <c r="X227" s="26"/>
    </row>
    <row r="228" hidden="1">
      <c r="A228" s="10" t="s">
        <v>414</v>
      </c>
      <c r="B228" s="10" t="s">
        <v>958</v>
      </c>
      <c r="C228" s="27" t="s">
        <v>959</v>
      </c>
      <c r="D228" s="10" t="s">
        <v>960</v>
      </c>
      <c r="E228" s="28" t="s">
        <v>194</v>
      </c>
      <c r="F228" s="23" t="s">
        <v>195</v>
      </c>
      <c r="G228" s="23" t="s">
        <v>203</v>
      </c>
      <c r="H228" s="23" t="s">
        <v>349</v>
      </c>
      <c r="I228" s="32"/>
      <c r="J228" s="23" t="s">
        <v>6</v>
      </c>
      <c r="K228" s="23" t="str">
        <f t="shared" si="1"/>
        <v>657325p</v>
      </c>
      <c r="L228" s="23"/>
      <c r="M228" s="26"/>
      <c r="N228" s="26"/>
      <c r="O228" s="26"/>
      <c r="P228" s="26"/>
      <c r="Q228" s="26"/>
      <c r="R228" s="26"/>
      <c r="S228" s="26"/>
      <c r="T228" s="26"/>
      <c r="U228" s="26"/>
      <c r="V228" s="26"/>
      <c r="W228" s="26"/>
      <c r="X228" s="26"/>
    </row>
    <row r="229" hidden="1">
      <c r="A229" s="10" t="s">
        <v>190</v>
      </c>
      <c r="B229" s="10" t="s">
        <v>961</v>
      </c>
      <c r="C229" s="27" t="s">
        <v>962</v>
      </c>
      <c r="D229" s="10" t="s">
        <v>963</v>
      </c>
      <c r="E229" s="28" t="s">
        <v>194</v>
      </c>
      <c r="F229" s="23" t="s">
        <v>195</v>
      </c>
      <c r="G229" s="23" t="s">
        <v>374</v>
      </c>
      <c r="H229" s="23" t="s">
        <v>375</v>
      </c>
      <c r="I229" s="32"/>
      <c r="J229" s="23" t="s">
        <v>198</v>
      </c>
      <c r="K229" s="23" t="str">
        <f t="shared" si="1"/>
        <v>691350</v>
      </c>
      <c r="L229" s="23"/>
      <c r="M229" s="26"/>
      <c r="N229" s="26"/>
      <c r="O229" s="26"/>
      <c r="P229" s="26"/>
      <c r="Q229" s="26"/>
      <c r="R229" s="26"/>
      <c r="S229" s="26"/>
      <c r="T229" s="26"/>
      <c r="U229" s="26"/>
      <c r="V229" s="26"/>
      <c r="W229" s="26"/>
      <c r="X229" s="26"/>
    </row>
    <row r="230" hidden="1">
      <c r="A230" s="10" t="s">
        <v>190</v>
      </c>
      <c r="B230" s="10" t="s">
        <v>964</v>
      </c>
      <c r="C230" s="27" t="s">
        <v>965</v>
      </c>
      <c r="D230" s="10" t="s">
        <v>966</v>
      </c>
      <c r="E230" s="28" t="s">
        <v>194</v>
      </c>
      <c r="F230" s="23" t="s">
        <v>195</v>
      </c>
      <c r="G230" s="23" t="s">
        <v>203</v>
      </c>
      <c r="H230" s="23" t="s">
        <v>967</v>
      </c>
      <c r="I230" s="32"/>
      <c r="J230" s="23" t="s">
        <v>198</v>
      </c>
      <c r="K230" s="23" t="str">
        <f t="shared" si="1"/>
        <v>685250a</v>
      </c>
      <c r="L230" s="23"/>
      <c r="M230" s="26"/>
      <c r="N230" s="26"/>
      <c r="O230" s="26"/>
      <c r="P230" s="26"/>
      <c r="Q230" s="26"/>
      <c r="R230" s="26"/>
      <c r="S230" s="26"/>
      <c r="T230" s="26"/>
      <c r="U230" s="26"/>
      <c r="V230" s="26"/>
      <c r="W230" s="26"/>
      <c r="X230" s="26"/>
    </row>
    <row r="231" hidden="1">
      <c r="A231" s="10" t="s">
        <v>190</v>
      </c>
      <c r="B231" s="10" t="s">
        <v>968</v>
      </c>
      <c r="C231" s="27" t="s">
        <v>969</v>
      </c>
      <c r="D231" s="10" t="s">
        <v>970</v>
      </c>
      <c r="E231" s="28" t="s">
        <v>194</v>
      </c>
      <c r="F231" s="23" t="s">
        <v>195</v>
      </c>
      <c r="G231" s="23" t="s">
        <v>203</v>
      </c>
      <c r="H231" s="23" t="s">
        <v>967</v>
      </c>
      <c r="I231" s="32"/>
      <c r="J231" s="23" t="s">
        <v>198</v>
      </c>
      <c r="K231" s="23" t="str">
        <f t="shared" si="1"/>
        <v>619941p</v>
      </c>
      <c r="L231" s="23"/>
      <c r="M231" s="26"/>
      <c r="N231" s="26"/>
      <c r="O231" s="26"/>
      <c r="P231" s="26"/>
      <c r="Q231" s="26"/>
      <c r="R231" s="26"/>
      <c r="S231" s="26"/>
      <c r="T231" s="26"/>
      <c r="U231" s="26"/>
      <c r="V231" s="26"/>
      <c r="W231" s="26"/>
      <c r="X231" s="26"/>
    </row>
    <row r="232" hidden="1">
      <c r="A232" s="10" t="s">
        <v>190</v>
      </c>
      <c r="B232" s="10" t="s">
        <v>971</v>
      </c>
      <c r="C232" s="27" t="s">
        <v>972</v>
      </c>
      <c r="D232" s="10" t="s">
        <v>973</v>
      </c>
      <c r="E232" s="28" t="s">
        <v>194</v>
      </c>
      <c r="F232" s="23" t="s">
        <v>195</v>
      </c>
      <c r="G232" s="23" t="s">
        <v>203</v>
      </c>
      <c r="H232" s="23" t="s">
        <v>967</v>
      </c>
      <c r="I232" s="32"/>
      <c r="J232" s="23" t="s">
        <v>198</v>
      </c>
      <c r="K232" s="23" t="str">
        <f t="shared" si="1"/>
        <v>677446p</v>
      </c>
      <c r="L232" s="23"/>
      <c r="M232" s="26"/>
      <c r="N232" s="26"/>
      <c r="O232" s="26"/>
      <c r="P232" s="26"/>
      <c r="Q232" s="26"/>
      <c r="R232" s="26"/>
      <c r="S232" s="26"/>
      <c r="T232" s="26"/>
      <c r="U232" s="26"/>
      <c r="V232" s="26"/>
      <c r="W232" s="26"/>
      <c r="X232" s="26"/>
    </row>
    <row r="233" hidden="1">
      <c r="A233" s="10" t="s">
        <v>427</v>
      </c>
      <c r="B233" s="10" t="s">
        <v>974</v>
      </c>
      <c r="C233" s="27" t="s">
        <v>975</v>
      </c>
      <c r="D233" s="10" t="s">
        <v>976</v>
      </c>
      <c r="E233" s="28" t="s">
        <v>418</v>
      </c>
      <c r="F233" s="23" t="s">
        <v>977</v>
      </c>
      <c r="G233" s="23" t="s">
        <v>521</v>
      </c>
      <c r="H233" s="23" t="s">
        <v>978</v>
      </c>
      <c r="I233" s="32"/>
      <c r="J233" s="23" t="s">
        <v>6</v>
      </c>
      <c r="K233" s="23" t="str">
        <f t="shared" si="1"/>
        <v>674155</v>
      </c>
      <c r="L233" s="23"/>
      <c r="M233" s="26"/>
      <c r="N233" s="26"/>
      <c r="O233" s="26"/>
      <c r="P233" s="26"/>
      <c r="Q233" s="26"/>
      <c r="R233" s="26"/>
      <c r="S233" s="26"/>
      <c r="T233" s="26"/>
      <c r="U233" s="26"/>
      <c r="V233" s="26"/>
      <c r="W233" s="26"/>
      <c r="X233" s="26"/>
    </row>
    <row r="234" hidden="1">
      <c r="A234" s="10" t="s">
        <v>414</v>
      </c>
      <c r="B234" s="10" t="s">
        <v>979</v>
      </c>
      <c r="C234" s="27" t="s">
        <v>980</v>
      </c>
      <c r="D234" s="10" t="s">
        <v>844</v>
      </c>
      <c r="E234" s="28" t="s">
        <v>529</v>
      </c>
      <c r="F234" s="23" t="s">
        <v>530</v>
      </c>
      <c r="G234" s="23" t="s">
        <v>521</v>
      </c>
      <c r="H234" s="23" t="s">
        <v>978</v>
      </c>
      <c r="I234" s="32"/>
      <c r="J234" s="23" t="s">
        <v>6</v>
      </c>
      <c r="K234" s="23" t="str">
        <f t="shared" si="1"/>
        <v>674155p</v>
      </c>
      <c r="L234" s="23"/>
      <c r="M234" s="26"/>
      <c r="N234" s="26"/>
      <c r="O234" s="26"/>
      <c r="P234" s="26"/>
      <c r="Q234" s="26"/>
      <c r="R234" s="26"/>
      <c r="S234" s="26"/>
      <c r="T234" s="26"/>
      <c r="U234" s="26"/>
      <c r="V234" s="26"/>
      <c r="W234" s="26"/>
      <c r="X234" s="26"/>
    </row>
    <row r="235" hidden="1">
      <c r="A235" s="10" t="s">
        <v>427</v>
      </c>
      <c r="B235" s="10" t="s">
        <v>981</v>
      </c>
      <c r="C235" s="27" t="s">
        <v>982</v>
      </c>
      <c r="D235" s="10" t="s">
        <v>983</v>
      </c>
      <c r="E235" s="28" t="s">
        <v>418</v>
      </c>
      <c r="F235" s="23" t="s">
        <v>977</v>
      </c>
      <c r="G235" s="23" t="s">
        <v>521</v>
      </c>
      <c r="H235" s="23" t="s">
        <v>984</v>
      </c>
      <c r="I235" s="32"/>
      <c r="J235" s="23" t="s">
        <v>6</v>
      </c>
      <c r="K235" s="23" t="str">
        <f t="shared" si="1"/>
        <v>682792s</v>
      </c>
      <c r="L235" s="23"/>
      <c r="M235" s="26"/>
      <c r="N235" s="26"/>
      <c r="O235" s="26"/>
      <c r="P235" s="26"/>
      <c r="Q235" s="26"/>
      <c r="R235" s="26"/>
      <c r="S235" s="26"/>
      <c r="T235" s="26"/>
      <c r="U235" s="26"/>
      <c r="V235" s="26"/>
      <c r="W235" s="26"/>
      <c r="X235" s="26"/>
    </row>
    <row r="236" hidden="1">
      <c r="A236" s="10" t="s">
        <v>427</v>
      </c>
      <c r="B236" s="10" t="s">
        <v>985</v>
      </c>
      <c r="C236" s="27" t="s">
        <v>986</v>
      </c>
      <c r="D236" s="10" t="s">
        <v>987</v>
      </c>
      <c r="E236" s="28" t="s">
        <v>534</v>
      </c>
      <c r="F236" s="23" t="s">
        <v>757</v>
      </c>
      <c r="G236" s="23" t="s">
        <v>521</v>
      </c>
      <c r="H236" s="23" t="s">
        <v>984</v>
      </c>
      <c r="I236" s="32"/>
      <c r="J236" s="23" t="s">
        <v>6</v>
      </c>
      <c r="K236" s="23" t="str">
        <f t="shared" si="1"/>
        <v>682785s</v>
      </c>
      <c r="L236" s="23"/>
      <c r="M236" s="26"/>
      <c r="N236" s="26"/>
      <c r="O236" s="26"/>
      <c r="P236" s="26"/>
      <c r="Q236" s="26"/>
      <c r="R236" s="26"/>
      <c r="S236" s="26"/>
      <c r="T236" s="26"/>
      <c r="U236" s="26"/>
      <c r="V236" s="26"/>
      <c r="W236" s="26"/>
      <c r="X236" s="26"/>
    </row>
    <row r="237" hidden="1">
      <c r="A237" s="10" t="s">
        <v>427</v>
      </c>
      <c r="B237" s="10" t="s">
        <v>988</v>
      </c>
      <c r="C237" s="27" t="s">
        <v>989</v>
      </c>
      <c r="D237" s="10" t="s">
        <v>990</v>
      </c>
      <c r="E237" s="28" t="s">
        <v>534</v>
      </c>
      <c r="F237" s="23" t="s">
        <v>757</v>
      </c>
      <c r="G237" s="23" t="s">
        <v>521</v>
      </c>
      <c r="H237" s="23" t="s">
        <v>984</v>
      </c>
      <c r="I237" s="32"/>
      <c r="J237" s="23" t="s">
        <v>6</v>
      </c>
      <c r="K237" s="23" t="str">
        <f t="shared" si="1"/>
        <v>679013</v>
      </c>
      <c r="L237" s="23"/>
      <c r="M237" s="26"/>
      <c r="N237" s="26"/>
      <c r="O237" s="26"/>
      <c r="P237" s="26"/>
      <c r="Q237" s="26"/>
      <c r="R237" s="26"/>
      <c r="S237" s="26"/>
      <c r="T237" s="26"/>
      <c r="U237" s="26"/>
      <c r="V237" s="26"/>
      <c r="W237" s="26"/>
      <c r="X237" s="26"/>
    </row>
    <row r="238" hidden="1">
      <c r="A238" s="10" t="s">
        <v>427</v>
      </c>
      <c r="B238" s="10" t="s">
        <v>991</v>
      </c>
      <c r="C238" s="27" t="s">
        <v>992</v>
      </c>
      <c r="D238" s="10" t="s">
        <v>993</v>
      </c>
      <c r="E238" s="28" t="s">
        <v>534</v>
      </c>
      <c r="F238" s="23" t="s">
        <v>757</v>
      </c>
      <c r="G238" s="23" t="s">
        <v>203</v>
      </c>
      <c r="H238" s="23" t="s">
        <v>994</v>
      </c>
      <c r="I238" s="32"/>
      <c r="J238" s="23" t="s">
        <v>6</v>
      </c>
      <c r="K238" s="23" t="str">
        <f t="shared" si="1"/>
        <v>632100s</v>
      </c>
      <c r="L238" s="23"/>
      <c r="M238" s="26"/>
      <c r="N238" s="26"/>
      <c r="O238" s="26"/>
      <c r="P238" s="26"/>
      <c r="Q238" s="26"/>
      <c r="R238" s="26"/>
      <c r="S238" s="26"/>
      <c r="T238" s="26"/>
      <c r="U238" s="26"/>
      <c r="V238" s="26"/>
      <c r="W238" s="26"/>
      <c r="X238" s="26"/>
    </row>
    <row r="239" hidden="1">
      <c r="A239" s="10" t="s">
        <v>499</v>
      </c>
      <c r="B239" s="10" t="s">
        <v>995</v>
      </c>
      <c r="C239" s="27" t="s">
        <v>996</v>
      </c>
      <c r="D239" s="10" t="s">
        <v>997</v>
      </c>
      <c r="E239" s="28" t="s">
        <v>194</v>
      </c>
      <c r="F239" s="23" t="s">
        <v>195</v>
      </c>
      <c r="G239" s="23" t="s">
        <v>203</v>
      </c>
      <c r="H239" s="23" t="s">
        <v>998</v>
      </c>
      <c r="I239" s="32"/>
      <c r="J239" s="23" t="s">
        <v>6</v>
      </c>
      <c r="K239" s="23" t="str">
        <f t="shared" si="1"/>
        <v>659251</v>
      </c>
      <c r="L239" s="23"/>
      <c r="M239" s="26"/>
      <c r="N239" s="26"/>
      <c r="O239" s="26"/>
      <c r="P239" s="26"/>
      <c r="Q239" s="26"/>
      <c r="R239" s="26"/>
      <c r="S239" s="26"/>
      <c r="T239" s="26"/>
      <c r="U239" s="26"/>
      <c r="V239" s="26"/>
      <c r="W239" s="26"/>
      <c r="X239" s="26"/>
    </row>
    <row r="240" hidden="1">
      <c r="A240" s="10" t="s">
        <v>499</v>
      </c>
      <c r="B240" s="10" t="s">
        <v>999</v>
      </c>
      <c r="C240" s="27" t="s">
        <v>1000</v>
      </c>
      <c r="D240" s="10" t="s">
        <v>1001</v>
      </c>
      <c r="E240" s="28" t="s">
        <v>194</v>
      </c>
      <c r="F240" s="23" t="s">
        <v>195</v>
      </c>
      <c r="G240" s="23" t="s">
        <v>203</v>
      </c>
      <c r="H240" s="23" t="s">
        <v>998</v>
      </c>
      <c r="I240" s="32"/>
      <c r="J240" s="23" t="s">
        <v>6</v>
      </c>
      <c r="K240" s="23" t="str">
        <f t="shared" si="1"/>
        <v>659268</v>
      </c>
      <c r="L240" s="23"/>
      <c r="M240" s="26"/>
      <c r="N240" s="26"/>
      <c r="O240" s="26"/>
      <c r="P240" s="26"/>
      <c r="Q240" s="26"/>
      <c r="R240" s="26"/>
      <c r="S240" s="26"/>
      <c r="T240" s="26"/>
      <c r="U240" s="26"/>
      <c r="V240" s="26"/>
      <c r="W240" s="26"/>
      <c r="X240" s="26"/>
    </row>
    <row r="241" hidden="1">
      <c r="A241" s="10" t="s">
        <v>499</v>
      </c>
      <c r="B241" s="10" t="s">
        <v>1002</v>
      </c>
      <c r="C241" s="27" t="s">
        <v>1003</v>
      </c>
      <c r="D241" s="10" t="s">
        <v>1004</v>
      </c>
      <c r="E241" s="28" t="s">
        <v>194</v>
      </c>
      <c r="F241" s="23" t="s">
        <v>195</v>
      </c>
      <c r="G241" s="23" t="s">
        <v>521</v>
      </c>
      <c r="H241" s="23" t="s">
        <v>998</v>
      </c>
      <c r="I241" s="32"/>
      <c r="J241" s="23" t="s">
        <v>6</v>
      </c>
      <c r="K241" s="23" t="str">
        <f t="shared" si="1"/>
        <v>659244</v>
      </c>
      <c r="L241" s="23"/>
      <c r="M241" s="26"/>
      <c r="N241" s="26"/>
      <c r="O241" s="26"/>
      <c r="P241" s="26"/>
      <c r="Q241" s="26"/>
      <c r="R241" s="26"/>
      <c r="S241" s="26"/>
      <c r="T241" s="26"/>
      <c r="U241" s="26"/>
      <c r="V241" s="26"/>
      <c r="W241" s="26"/>
      <c r="X241" s="26"/>
    </row>
    <row r="242" hidden="1">
      <c r="A242" s="10" t="s">
        <v>499</v>
      </c>
      <c r="B242" s="10" t="s">
        <v>1005</v>
      </c>
      <c r="C242" s="27" t="s">
        <v>1006</v>
      </c>
      <c r="D242" s="10" t="s">
        <v>1007</v>
      </c>
      <c r="E242" s="28" t="s">
        <v>194</v>
      </c>
      <c r="F242" s="23" t="s">
        <v>195</v>
      </c>
      <c r="G242" s="23" t="s">
        <v>203</v>
      </c>
      <c r="H242" s="23" t="s">
        <v>998</v>
      </c>
      <c r="I242" s="32"/>
      <c r="J242" s="23" t="s">
        <v>6</v>
      </c>
      <c r="K242" s="23" t="str">
        <f t="shared" si="1"/>
        <v>690483</v>
      </c>
      <c r="L242" s="23"/>
      <c r="M242" s="26"/>
      <c r="N242" s="26"/>
      <c r="O242" s="26"/>
      <c r="P242" s="26"/>
      <c r="Q242" s="26"/>
      <c r="R242" s="26"/>
      <c r="S242" s="26"/>
      <c r="T242" s="26"/>
      <c r="U242" s="26"/>
      <c r="V242" s="26"/>
      <c r="W242" s="26"/>
      <c r="X242" s="26"/>
    </row>
    <row r="243" hidden="1">
      <c r="A243" s="10" t="s">
        <v>427</v>
      </c>
      <c r="B243" s="10" t="s">
        <v>1008</v>
      </c>
      <c r="C243" s="27" t="s">
        <v>1009</v>
      </c>
      <c r="D243" s="10" t="s">
        <v>1010</v>
      </c>
      <c r="E243" s="28" t="s">
        <v>431</v>
      </c>
      <c r="F243" s="23" t="s">
        <v>432</v>
      </c>
      <c r="G243" s="23" t="s">
        <v>203</v>
      </c>
      <c r="H243" s="23" t="s">
        <v>998</v>
      </c>
      <c r="I243" s="32"/>
      <c r="J243" s="23" t="s">
        <v>6</v>
      </c>
      <c r="K243" s="23" t="str">
        <f t="shared" si="1"/>
        <v>679136</v>
      </c>
      <c r="L243" s="23"/>
      <c r="M243" s="26"/>
      <c r="N243" s="26"/>
      <c r="O243" s="26"/>
      <c r="P243" s="26"/>
      <c r="Q243" s="26"/>
      <c r="R243" s="26"/>
      <c r="S243" s="26"/>
      <c r="T243" s="26"/>
      <c r="U243" s="26"/>
      <c r="V243" s="26"/>
      <c r="W243" s="26"/>
      <c r="X243" s="26"/>
    </row>
    <row r="244" hidden="1">
      <c r="A244" s="10" t="s">
        <v>414</v>
      </c>
      <c r="B244" s="10" t="s">
        <v>1011</v>
      </c>
      <c r="C244" s="27" t="s">
        <v>1012</v>
      </c>
      <c r="D244" s="10" t="s">
        <v>844</v>
      </c>
      <c r="E244" s="28" t="s">
        <v>194</v>
      </c>
      <c r="F244" s="23" t="s">
        <v>195</v>
      </c>
      <c r="G244" s="23" t="s">
        <v>203</v>
      </c>
      <c r="H244" s="23" t="s">
        <v>998</v>
      </c>
      <c r="I244" s="32"/>
      <c r="J244" s="23" t="s">
        <v>6</v>
      </c>
      <c r="K244" s="23" t="str">
        <f t="shared" si="1"/>
        <v>679136p</v>
      </c>
      <c r="L244" s="23"/>
      <c r="M244" s="26"/>
      <c r="N244" s="26"/>
      <c r="O244" s="26"/>
      <c r="P244" s="26"/>
      <c r="Q244" s="26"/>
      <c r="R244" s="26"/>
      <c r="S244" s="26"/>
      <c r="T244" s="26"/>
      <c r="U244" s="26"/>
      <c r="V244" s="26"/>
      <c r="W244" s="26"/>
      <c r="X244" s="26"/>
    </row>
    <row r="245" hidden="1">
      <c r="A245" s="10" t="s">
        <v>190</v>
      </c>
      <c r="B245" s="10" t="s">
        <v>1013</v>
      </c>
      <c r="C245" s="27" t="s">
        <v>1014</v>
      </c>
      <c r="D245" s="10" t="s">
        <v>1015</v>
      </c>
      <c r="E245" s="28" t="s">
        <v>194</v>
      </c>
      <c r="F245" s="23" t="s">
        <v>195</v>
      </c>
      <c r="G245" s="23" t="s">
        <v>196</v>
      </c>
      <c r="H245" s="23" t="s">
        <v>227</v>
      </c>
      <c r="I245" s="23" t="s">
        <v>228</v>
      </c>
      <c r="J245" s="23" t="s">
        <v>229</v>
      </c>
      <c r="K245" s="23" t="str">
        <f t="shared" si="1"/>
        <v>687384c</v>
      </c>
      <c r="L245" s="23"/>
      <c r="M245" s="26"/>
      <c r="N245" s="26"/>
      <c r="O245" s="26"/>
      <c r="P245" s="26"/>
      <c r="Q245" s="26"/>
      <c r="R245" s="26"/>
      <c r="S245" s="26"/>
      <c r="T245" s="26"/>
      <c r="U245" s="26"/>
      <c r="V245" s="26"/>
      <c r="W245" s="26"/>
      <c r="X245" s="26"/>
    </row>
    <row r="246" hidden="1">
      <c r="A246" s="10" t="s">
        <v>190</v>
      </c>
      <c r="B246" s="10" t="s">
        <v>1016</v>
      </c>
      <c r="C246" s="27" t="s">
        <v>1017</v>
      </c>
      <c r="D246" s="10" t="s">
        <v>1018</v>
      </c>
      <c r="E246" s="28" t="s">
        <v>194</v>
      </c>
      <c r="F246" s="23" t="s">
        <v>195</v>
      </c>
      <c r="G246" s="23" t="s">
        <v>196</v>
      </c>
      <c r="H246" s="23" t="s">
        <v>227</v>
      </c>
      <c r="I246" s="23" t="s">
        <v>228</v>
      </c>
      <c r="J246" s="23" t="s">
        <v>229</v>
      </c>
      <c r="K246" s="23" t="str">
        <f t="shared" si="1"/>
        <v>687377c</v>
      </c>
      <c r="L246" s="23"/>
      <c r="M246" s="26"/>
      <c r="N246" s="26"/>
      <c r="O246" s="26"/>
      <c r="P246" s="26"/>
      <c r="Q246" s="26"/>
      <c r="R246" s="26"/>
      <c r="S246" s="26"/>
      <c r="T246" s="26"/>
      <c r="U246" s="26"/>
      <c r="V246" s="26"/>
      <c r="W246" s="26"/>
      <c r="X246" s="26"/>
    </row>
    <row r="247" hidden="1">
      <c r="A247" s="10" t="s">
        <v>190</v>
      </c>
      <c r="B247" s="10" t="s">
        <v>1019</v>
      </c>
      <c r="C247" s="27" t="s">
        <v>1020</v>
      </c>
      <c r="D247" s="10" t="s">
        <v>1021</v>
      </c>
      <c r="E247" s="28" t="s">
        <v>194</v>
      </c>
      <c r="F247" s="23" t="s">
        <v>195</v>
      </c>
      <c r="G247" s="23" t="s">
        <v>196</v>
      </c>
      <c r="H247" s="23" t="s">
        <v>227</v>
      </c>
      <c r="I247" s="23" t="s">
        <v>228</v>
      </c>
      <c r="J247" s="23" t="s">
        <v>229</v>
      </c>
      <c r="K247" s="23" t="str">
        <f t="shared" si="1"/>
        <v>687384x</v>
      </c>
      <c r="L247" s="23"/>
      <c r="M247" s="26"/>
      <c r="N247" s="26"/>
      <c r="O247" s="26"/>
      <c r="P247" s="26"/>
      <c r="Q247" s="26"/>
      <c r="R247" s="26"/>
      <c r="S247" s="26"/>
      <c r="T247" s="26"/>
      <c r="U247" s="26"/>
      <c r="V247" s="26"/>
      <c r="W247" s="26"/>
      <c r="X247" s="26"/>
    </row>
    <row r="248" hidden="1">
      <c r="A248" s="10" t="s">
        <v>190</v>
      </c>
      <c r="B248" s="10" t="s">
        <v>1022</v>
      </c>
      <c r="C248" s="27" t="s">
        <v>1023</v>
      </c>
      <c r="D248" s="10" t="s">
        <v>1024</v>
      </c>
      <c r="E248" s="28" t="s">
        <v>194</v>
      </c>
      <c r="F248" s="23" t="s">
        <v>195</v>
      </c>
      <c r="G248" s="23" t="s">
        <v>196</v>
      </c>
      <c r="H248" s="23" t="s">
        <v>227</v>
      </c>
      <c r="I248" s="23" t="s">
        <v>228</v>
      </c>
      <c r="J248" s="23" t="s">
        <v>229</v>
      </c>
      <c r="K248" s="23" t="str">
        <f t="shared" si="1"/>
        <v>687360d</v>
      </c>
      <c r="L248" s="23"/>
      <c r="M248" s="26"/>
      <c r="N248" s="26"/>
      <c r="O248" s="26"/>
      <c r="P248" s="26"/>
      <c r="Q248" s="26"/>
      <c r="R248" s="26"/>
      <c r="S248" s="26"/>
      <c r="T248" s="26"/>
      <c r="U248" s="26"/>
      <c r="V248" s="26"/>
      <c r="W248" s="26"/>
      <c r="X248" s="26"/>
    </row>
    <row r="249" hidden="1">
      <c r="A249" s="10" t="s">
        <v>190</v>
      </c>
      <c r="B249" s="10" t="s">
        <v>1025</v>
      </c>
      <c r="C249" s="27" t="s">
        <v>1026</v>
      </c>
      <c r="D249" s="10" t="s">
        <v>1027</v>
      </c>
      <c r="E249" s="28" t="s">
        <v>194</v>
      </c>
      <c r="F249" s="23" t="s">
        <v>195</v>
      </c>
      <c r="G249" s="23" t="s">
        <v>196</v>
      </c>
      <c r="H249" s="23" t="s">
        <v>227</v>
      </c>
      <c r="I249" s="32"/>
      <c r="J249" s="23" t="s">
        <v>198</v>
      </c>
      <c r="K249" s="23" t="str">
        <f t="shared" si="1"/>
        <v>690162</v>
      </c>
      <c r="L249" s="23"/>
      <c r="M249" s="26"/>
      <c r="N249" s="26"/>
      <c r="O249" s="26"/>
      <c r="P249" s="26"/>
      <c r="Q249" s="26"/>
      <c r="R249" s="26"/>
      <c r="S249" s="26"/>
      <c r="T249" s="26"/>
      <c r="U249" s="26"/>
      <c r="V249" s="26"/>
      <c r="W249" s="26"/>
      <c r="X249" s="26"/>
    </row>
    <row r="250" hidden="1">
      <c r="A250" s="10" t="s">
        <v>190</v>
      </c>
      <c r="B250" s="10" t="s">
        <v>1028</v>
      </c>
      <c r="C250" s="27" t="s">
        <v>1029</v>
      </c>
      <c r="D250" s="10" t="s">
        <v>1030</v>
      </c>
      <c r="E250" s="28" t="s">
        <v>194</v>
      </c>
      <c r="F250" s="23" t="s">
        <v>195</v>
      </c>
      <c r="G250" s="23" t="s">
        <v>196</v>
      </c>
      <c r="H250" s="23" t="s">
        <v>227</v>
      </c>
      <c r="I250" s="23" t="s">
        <v>228</v>
      </c>
      <c r="J250" s="23" t="s">
        <v>238</v>
      </c>
      <c r="K250" s="23" t="str">
        <f t="shared" si="1"/>
        <v>687384</v>
      </c>
      <c r="L250" s="23"/>
      <c r="M250" s="26"/>
      <c r="N250" s="26"/>
      <c r="O250" s="26"/>
      <c r="P250" s="26"/>
      <c r="Q250" s="26"/>
      <c r="R250" s="26"/>
      <c r="S250" s="26"/>
      <c r="T250" s="26"/>
      <c r="U250" s="26"/>
      <c r="V250" s="26"/>
      <c r="W250" s="26"/>
      <c r="X250" s="26"/>
    </row>
    <row r="251" hidden="1">
      <c r="A251" s="10" t="s">
        <v>190</v>
      </c>
      <c r="B251" s="10" t="s">
        <v>1031</v>
      </c>
      <c r="C251" s="27" t="s">
        <v>1032</v>
      </c>
      <c r="D251" s="10" t="s">
        <v>1033</v>
      </c>
      <c r="E251" s="28" t="s">
        <v>194</v>
      </c>
      <c r="F251" s="23" t="s">
        <v>195</v>
      </c>
      <c r="G251" s="23" t="s">
        <v>196</v>
      </c>
      <c r="H251" s="23" t="s">
        <v>227</v>
      </c>
      <c r="I251" s="32"/>
      <c r="J251" s="23" t="s">
        <v>198</v>
      </c>
      <c r="K251" s="23" t="str">
        <f t="shared" si="1"/>
        <v>690148</v>
      </c>
      <c r="L251" s="23"/>
      <c r="M251" s="26"/>
      <c r="N251" s="26"/>
      <c r="O251" s="26"/>
      <c r="P251" s="26"/>
      <c r="Q251" s="26"/>
      <c r="R251" s="26"/>
      <c r="S251" s="26"/>
      <c r="T251" s="26"/>
      <c r="U251" s="26"/>
      <c r="V251" s="26"/>
      <c r="W251" s="26"/>
      <c r="X251" s="26"/>
    </row>
    <row r="252" hidden="1">
      <c r="A252" s="10" t="s">
        <v>499</v>
      </c>
      <c r="B252" s="10" t="s">
        <v>1034</v>
      </c>
      <c r="C252" s="27" t="s">
        <v>1035</v>
      </c>
      <c r="D252" s="10" t="s">
        <v>1036</v>
      </c>
      <c r="E252" s="28" t="s">
        <v>194</v>
      </c>
      <c r="F252" s="23" t="s">
        <v>1037</v>
      </c>
      <c r="G252" s="23" t="s">
        <v>196</v>
      </c>
      <c r="H252" s="23" t="s">
        <v>227</v>
      </c>
      <c r="I252" s="23" t="s">
        <v>228</v>
      </c>
      <c r="J252" s="23" t="s">
        <v>6</v>
      </c>
      <c r="K252" s="23" t="str">
        <f t="shared" si="1"/>
        <v>690766d</v>
      </c>
      <c r="L252" s="23"/>
      <c r="M252" s="26"/>
      <c r="N252" s="26"/>
      <c r="O252" s="26"/>
      <c r="P252" s="26"/>
      <c r="Q252" s="26"/>
      <c r="R252" s="26"/>
      <c r="S252" s="26"/>
      <c r="T252" s="26"/>
      <c r="U252" s="26"/>
      <c r="V252" s="26"/>
      <c r="W252" s="26"/>
      <c r="X252" s="26"/>
    </row>
    <row r="253" hidden="1">
      <c r="A253" s="10" t="s">
        <v>499</v>
      </c>
      <c r="B253" s="10" t="s">
        <v>1038</v>
      </c>
      <c r="C253" s="27" t="s">
        <v>1039</v>
      </c>
      <c r="D253" s="10" t="s">
        <v>1040</v>
      </c>
      <c r="E253" s="28" t="s">
        <v>194</v>
      </c>
      <c r="F253" s="23" t="s">
        <v>195</v>
      </c>
      <c r="G253" s="23" t="s">
        <v>196</v>
      </c>
      <c r="H253" s="23" t="s">
        <v>227</v>
      </c>
      <c r="I253" s="23" t="s">
        <v>228</v>
      </c>
      <c r="J253" s="23" t="s">
        <v>6</v>
      </c>
      <c r="K253" s="23" t="str">
        <f t="shared" si="1"/>
        <v>687360a</v>
      </c>
      <c r="L253" s="23"/>
      <c r="M253" s="26"/>
      <c r="N253" s="26"/>
      <c r="O253" s="26"/>
      <c r="P253" s="26"/>
      <c r="Q253" s="26"/>
      <c r="R253" s="26"/>
      <c r="S253" s="26"/>
      <c r="T253" s="26"/>
      <c r="U253" s="26"/>
      <c r="V253" s="26"/>
      <c r="W253" s="26"/>
      <c r="X253" s="26"/>
    </row>
    <row r="254" hidden="1">
      <c r="A254" s="10" t="s">
        <v>499</v>
      </c>
      <c r="B254" s="10" t="s">
        <v>1041</v>
      </c>
      <c r="C254" s="27" t="s">
        <v>1042</v>
      </c>
      <c r="D254" s="10" t="s">
        <v>1043</v>
      </c>
      <c r="E254" s="28" t="s">
        <v>194</v>
      </c>
      <c r="F254" s="23" t="s">
        <v>195</v>
      </c>
      <c r="G254" s="23" t="s">
        <v>196</v>
      </c>
      <c r="H254" s="23" t="s">
        <v>227</v>
      </c>
      <c r="I254" s="23" t="s">
        <v>228</v>
      </c>
      <c r="J254" s="23" t="s">
        <v>6</v>
      </c>
      <c r="K254" s="23" t="str">
        <f t="shared" si="1"/>
        <v>687377ds</v>
      </c>
      <c r="L254" s="23"/>
      <c r="M254" s="26"/>
      <c r="N254" s="26"/>
      <c r="O254" s="26"/>
      <c r="P254" s="26"/>
      <c r="Q254" s="26"/>
      <c r="R254" s="26"/>
      <c r="S254" s="26"/>
      <c r="T254" s="26"/>
      <c r="U254" s="26"/>
      <c r="V254" s="26"/>
      <c r="W254" s="26"/>
      <c r="X254" s="26"/>
    </row>
    <row r="255" hidden="1">
      <c r="A255" s="10" t="s">
        <v>427</v>
      </c>
      <c r="B255" s="10" t="s">
        <v>1044</v>
      </c>
      <c r="C255" s="27" t="s">
        <v>1045</v>
      </c>
      <c r="D255" s="10" t="s">
        <v>1046</v>
      </c>
      <c r="E255" s="28" t="s">
        <v>1047</v>
      </c>
      <c r="F255" s="23" t="s">
        <v>1048</v>
      </c>
      <c r="G255" s="23" t="s">
        <v>521</v>
      </c>
      <c r="H255" s="23" t="s">
        <v>1049</v>
      </c>
      <c r="I255" s="32"/>
      <c r="J255" s="23" t="s">
        <v>6</v>
      </c>
      <c r="K255" s="23" t="str">
        <f t="shared" si="1"/>
        <v>674049</v>
      </c>
      <c r="L255" s="23"/>
      <c r="M255" s="26"/>
      <c r="N255" s="26"/>
      <c r="O255" s="26"/>
      <c r="P255" s="26"/>
      <c r="Q255" s="26"/>
      <c r="R255" s="26"/>
      <c r="S255" s="26"/>
      <c r="T255" s="26"/>
      <c r="U255" s="26"/>
      <c r="V255" s="26"/>
      <c r="W255" s="26"/>
      <c r="X255" s="26"/>
    </row>
    <row r="256" hidden="1">
      <c r="A256" s="10" t="s">
        <v>414</v>
      </c>
      <c r="B256" s="10" t="s">
        <v>1050</v>
      </c>
      <c r="C256" s="27" t="s">
        <v>1051</v>
      </c>
      <c r="D256" s="10" t="s">
        <v>1052</v>
      </c>
      <c r="E256" s="28" t="s">
        <v>431</v>
      </c>
      <c r="F256" s="23" t="s">
        <v>1053</v>
      </c>
      <c r="G256" s="23" t="s">
        <v>521</v>
      </c>
      <c r="H256" s="23" t="s">
        <v>1049</v>
      </c>
      <c r="I256" s="32"/>
      <c r="J256" s="23" t="s">
        <v>6</v>
      </c>
      <c r="K256" s="23" t="str">
        <f t="shared" si="1"/>
        <v>674049p</v>
      </c>
      <c r="L256" s="23"/>
      <c r="M256" s="26"/>
      <c r="N256" s="26"/>
      <c r="O256" s="26"/>
      <c r="P256" s="26"/>
      <c r="Q256" s="26"/>
      <c r="R256" s="26"/>
      <c r="S256" s="26"/>
      <c r="T256" s="26"/>
      <c r="U256" s="26"/>
      <c r="V256" s="26"/>
      <c r="W256" s="26"/>
      <c r="X256" s="26"/>
    </row>
    <row r="257" hidden="1">
      <c r="A257" s="10" t="s">
        <v>427</v>
      </c>
      <c r="B257" s="10" t="s">
        <v>1054</v>
      </c>
      <c r="C257" s="27" t="s">
        <v>1055</v>
      </c>
      <c r="D257" s="10" t="s">
        <v>1056</v>
      </c>
      <c r="E257" s="28" t="s">
        <v>431</v>
      </c>
      <c r="F257" s="23" t="s">
        <v>950</v>
      </c>
      <c r="G257" s="23" t="s">
        <v>745</v>
      </c>
      <c r="H257" s="23" t="s">
        <v>1057</v>
      </c>
      <c r="I257" s="32"/>
      <c r="J257" s="23" t="s">
        <v>6</v>
      </c>
      <c r="K257" s="23" t="str">
        <f t="shared" si="1"/>
        <v>690131</v>
      </c>
      <c r="L257" s="23"/>
      <c r="M257" s="26"/>
      <c r="N257" s="26"/>
      <c r="O257" s="26"/>
      <c r="P257" s="26"/>
      <c r="Q257" s="26"/>
      <c r="R257" s="26"/>
      <c r="S257" s="26"/>
      <c r="T257" s="26"/>
      <c r="U257" s="26"/>
      <c r="V257" s="26"/>
      <c r="W257" s="26"/>
      <c r="X257" s="26"/>
    </row>
    <row r="258" hidden="1">
      <c r="A258" s="10" t="s">
        <v>414</v>
      </c>
      <c r="B258" s="10" t="s">
        <v>1058</v>
      </c>
      <c r="C258" s="27" t="s">
        <v>1059</v>
      </c>
      <c r="D258" s="10" t="s">
        <v>844</v>
      </c>
      <c r="E258" s="28" t="s">
        <v>418</v>
      </c>
      <c r="F258" s="23" t="s">
        <v>977</v>
      </c>
      <c r="G258" s="23" t="s">
        <v>745</v>
      </c>
      <c r="H258" s="23" t="s">
        <v>1057</v>
      </c>
      <c r="I258" s="32"/>
      <c r="J258" s="23" t="s">
        <v>6</v>
      </c>
      <c r="K258" s="23" t="str">
        <f t="shared" si="1"/>
        <v>672922p</v>
      </c>
      <c r="L258" s="23"/>
      <c r="M258" s="26"/>
      <c r="N258" s="26"/>
      <c r="O258" s="26"/>
      <c r="P258" s="26"/>
      <c r="Q258" s="26"/>
      <c r="R258" s="26"/>
      <c r="S258" s="26"/>
      <c r="T258" s="26"/>
      <c r="U258" s="26"/>
      <c r="V258" s="26"/>
      <c r="W258" s="26"/>
      <c r="X258" s="26"/>
    </row>
    <row r="259" hidden="1">
      <c r="A259" s="10" t="s">
        <v>414</v>
      </c>
      <c r="B259" s="10" t="s">
        <v>1060</v>
      </c>
      <c r="C259" s="27" t="s">
        <v>1061</v>
      </c>
      <c r="D259" s="10" t="s">
        <v>844</v>
      </c>
      <c r="E259" s="28" t="s">
        <v>534</v>
      </c>
      <c r="F259" s="23" t="s">
        <v>954</v>
      </c>
      <c r="G259" s="23" t="s">
        <v>745</v>
      </c>
      <c r="H259" s="23" t="s">
        <v>1057</v>
      </c>
      <c r="I259" s="32"/>
      <c r="J259" s="23" t="s">
        <v>6</v>
      </c>
      <c r="K259" s="23" t="str">
        <f t="shared" si="1"/>
        <v>672922</v>
      </c>
      <c r="L259" s="23"/>
      <c r="M259" s="26"/>
      <c r="N259" s="26"/>
      <c r="O259" s="26"/>
      <c r="P259" s="26"/>
      <c r="Q259" s="26"/>
      <c r="R259" s="26"/>
      <c r="S259" s="26"/>
      <c r="T259" s="26"/>
      <c r="U259" s="26"/>
      <c r="V259" s="26"/>
      <c r="W259" s="26"/>
      <c r="X259" s="26"/>
    </row>
    <row r="260" hidden="1">
      <c r="A260" s="10" t="s">
        <v>414</v>
      </c>
      <c r="B260" s="10" t="s">
        <v>1062</v>
      </c>
      <c r="C260" s="27" t="s">
        <v>1063</v>
      </c>
      <c r="D260" s="10" t="s">
        <v>1064</v>
      </c>
      <c r="E260" s="28" t="s">
        <v>194</v>
      </c>
      <c r="F260" s="23" t="s">
        <v>195</v>
      </c>
      <c r="G260" s="23" t="s">
        <v>745</v>
      </c>
      <c r="H260" s="23" t="s">
        <v>1057</v>
      </c>
      <c r="I260" s="32"/>
      <c r="J260" s="23" t="s">
        <v>6</v>
      </c>
      <c r="K260" s="23" t="str">
        <f t="shared" si="1"/>
        <v>650718p</v>
      </c>
      <c r="L260" s="23"/>
      <c r="M260" s="26"/>
      <c r="N260" s="26"/>
      <c r="O260" s="26"/>
      <c r="P260" s="26"/>
      <c r="Q260" s="26"/>
      <c r="R260" s="26"/>
      <c r="S260" s="26"/>
      <c r="T260" s="26"/>
      <c r="U260" s="26"/>
      <c r="V260" s="26"/>
      <c r="W260" s="26"/>
      <c r="X260" s="26"/>
    </row>
    <row r="261" hidden="1">
      <c r="A261" s="10" t="s">
        <v>414</v>
      </c>
      <c r="B261" s="10" t="s">
        <v>1065</v>
      </c>
      <c r="C261" s="27" t="s">
        <v>1066</v>
      </c>
      <c r="D261" s="10" t="s">
        <v>1064</v>
      </c>
      <c r="E261" s="28" t="s">
        <v>194</v>
      </c>
      <c r="F261" s="23" t="s">
        <v>195</v>
      </c>
      <c r="G261" s="23" t="s">
        <v>745</v>
      </c>
      <c r="H261" s="23" t="s">
        <v>1057</v>
      </c>
      <c r="I261" s="32"/>
      <c r="J261" s="23" t="s">
        <v>6</v>
      </c>
      <c r="K261" s="23" t="str">
        <f t="shared" si="1"/>
        <v>659495p</v>
      </c>
      <c r="L261" s="23"/>
      <c r="M261" s="26"/>
      <c r="N261" s="26"/>
      <c r="O261" s="26"/>
      <c r="P261" s="26"/>
      <c r="Q261" s="26"/>
      <c r="R261" s="26"/>
      <c r="S261" s="26"/>
      <c r="T261" s="26"/>
      <c r="U261" s="26"/>
      <c r="V261" s="26"/>
      <c r="W261" s="26"/>
      <c r="X261" s="26"/>
    </row>
    <row r="262" hidden="1">
      <c r="A262" s="10" t="s">
        <v>414</v>
      </c>
      <c r="B262" s="10" t="s">
        <v>1067</v>
      </c>
      <c r="C262" s="27" t="s">
        <v>1068</v>
      </c>
      <c r="D262" s="10" t="s">
        <v>1069</v>
      </c>
      <c r="E262" s="28" t="s">
        <v>194</v>
      </c>
      <c r="F262" s="23" t="s">
        <v>195</v>
      </c>
      <c r="G262" s="23" t="s">
        <v>745</v>
      </c>
      <c r="H262" s="23" t="s">
        <v>1057</v>
      </c>
      <c r="I262" s="32"/>
      <c r="J262" s="23" t="s">
        <v>6</v>
      </c>
      <c r="K262" s="23" t="str">
        <f t="shared" si="1"/>
        <v>643052p</v>
      </c>
      <c r="L262" s="23"/>
      <c r="M262" s="26"/>
      <c r="N262" s="26"/>
      <c r="O262" s="26"/>
      <c r="P262" s="26"/>
      <c r="Q262" s="26"/>
      <c r="R262" s="26"/>
      <c r="S262" s="26"/>
      <c r="T262" s="26"/>
      <c r="U262" s="26"/>
      <c r="V262" s="26"/>
      <c r="W262" s="26"/>
      <c r="X262" s="26"/>
    </row>
    <row r="263" hidden="1">
      <c r="A263" s="10" t="s">
        <v>414</v>
      </c>
      <c r="B263" s="10" t="s">
        <v>1070</v>
      </c>
      <c r="C263" s="27" t="s">
        <v>1071</v>
      </c>
      <c r="D263" s="10" t="s">
        <v>1072</v>
      </c>
      <c r="E263" s="28" t="s">
        <v>431</v>
      </c>
      <c r="F263" s="23" t="s">
        <v>950</v>
      </c>
      <c r="G263" s="23" t="s">
        <v>745</v>
      </c>
      <c r="H263" s="23" t="s">
        <v>1057</v>
      </c>
      <c r="I263" s="32"/>
      <c r="J263" s="23" t="s">
        <v>6</v>
      </c>
      <c r="K263" s="23" t="str">
        <f t="shared" si="1"/>
        <v>690131p</v>
      </c>
      <c r="L263" s="23"/>
      <c r="M263" s="26"/>
      <c r="N263" s="26"/>
      <c r="O263" s="26"/>
      <c r="P263" s="26"/>
      <c r="Q263" s="26"/>
      <c r="R263" s="26"/>
      <c r="S263" s="26"/>
      <c r="T263" s="26"/>
      <c r="U263" s="26"/>
      <c r="V263" s="26"/>
      <c r="W263" s="26"/>
      <c r="X263" s="26"/>
    </row>
    <row r="264" hidden="1">
      <c r="A264" s="10" t="s">
        <v>190</v>
      </c>
      <c r="B264" s="10" t="s">
        <v>1073</v>
      </c>
      <c r="C264" s="27" t="s">
        <v>1074</v>
      </c>
      <c r="D264" s="10" t="s">
        <v>1075</v>
      </c>
      <c r="E264" s="28" t="s">
        <v>194</v>
      </c>
      <c r="F264" s="23" t="s">
        <v>195</v>
      </c>
      <c r="G264" s="23" t="s">
        <v>1076</v>
      </c>
      <c r="H264" s="23" t="s">
        <v>1076</v>
      </c>
      <c r="I264" s="23" t="s">
        <v>1076</v>
      </c>
      <c r="J264" s="23" t="s">
        <v>229</v>
      </c>
      <c r="K264" s="23" t="str">
        <f t="shared" si="1"/>
        <v>676654p</v>
      </c>
      <c r="L264" s="23"/>
      <c r="M264" s="26"/>
      <c r="N264" s="26"/>
      <c r="O264" s="26"/>
      <c r="P264" s="26"/>
      <c r="Q264" s="26"/>
      <c r="R264" s="26"/>
      <c r="S264" s="26"/>
      <c r="T264" s="26"/>
      <c r="U264" s="26"/>
      <c r="V264" s="26"/>
      <c r="W264" s="26"/>
      <c r="X264" s="26"/>
    </row>
    <row r="265" hidden="1">
      <c r="A265" s="10" t="s">
        <v>190</v>
      </c>
      <c r="B265" s="10" t="s">
        <v>1077</v>
      </c>
      <c r="C265" s="27" t="s">
        <v>1078</v>
      </c>
      <c r="D265" s="10" t="s">
        <v>1079</v>
      </c>
      <c r="E265" s="28" t="s">
        <v>194</v>
      </c>
      <c r="F265" s="23" t="s">
        <v>195</v>
      </c>
      <c r="G265" s="23" t="s">
        <v>1076</v>
      </c>
      <c r="H265" s="23" t="s">
        <v>1076</v>
      </c>
      <c r="I265" s="23" t="s">
        <v>1076</v>
      </c>
      <c r="J265" s="23" t="s">
        <v>229</v>
      </c>
      <c r="K265" s="23" t="str">
        <f t="shared" si="1"/>
        <v>624365p</v>
      </c>
      <c r="L265" s="23"/>
      <c r="M265" s="26"/>
      <c r="N265" s="26"/>
      <c r="O265" s="26"/>
      <c r="P265" s="26"/>
      <c r="Q265" s="26"/>
      <c r="R265" s="26"/>
      <c r="S265" s="26"/>
      <c r="T265" s="26"/>
      <c r="U265" s="26"/>
      <c r="V265" s="26"/>
      <c r="W265" s="26"/>
      <c r="X265" s="26"/>
    </row>
    <row r="266" hidden="1">
      <c r="A266" s="10" t="s">
        <v>190</v>
      </c>
      <c r="B266" s="10" t="s">
        <v>1080</v>
      </c>
      <c r="C266" s="27" t="s">
        <v>1081</v>
      </c>
      <c r="D266" s="10" t="s">
        <v>1082</v>
      </c>
      <c r="E266" s="28" t="s">
        <v>194</v>
      </c>
      <c r="F266" s="23" t="s">
        <v>195</v>
      </c>
      <c r="G266" s="23" t="s">
        <v>1076</v>
      </c>
      <c r="H266" s="23" t="s">
        <v>1076</v>
      </c>
      <c r="I266" s="23" t="s">
        <v>1076</v>
      </c>
      <c r="J266" s="23" t="s">
        <v>229</v>
      </c>
      <c r="K266" s="23" t="str">
        <f t="shared" si="1"/>
        <v>603643p</v>
      </c>
      <c r="L266" s="23"/>
      <c r="M266" s="26"/>
      <c r="N266" s="26"/>
      <c r="O266" s="26"/>
      <c r="P266" s="26"/>
      <c r="Q266" s="26"/>
      <c r="R266" s="26"/>
      <c r="S266" s="26"/>
      <c r="T266" s="26"/>
      <c r="U266" s="26"/>
      <c r="V266" s="26"/>
      <c r="W266" s="26"/>
      <c r="X266" s="26"/>
    </row>
    <row r="267" hidden="1">
      <c r="A267" s="10" t="s">
        <v>190</v>
      </c>
      <c r="B267" s="10" t="s">
        <v>1083</v>
      </c>
      <c r="C267" s="27" t="s">
        <v>1084</v>
      </c>
      <c r="D267" s="10" t="s">
        <v>1085</v>
      </c>
      <c r="E267" s="28" t="s">
        <v>194</v>
      </c>
      <c r="F267" s="23" t="s">
        <v>195</v>
      </c>
      <c r="G267" s="23" t="s">
        <v>1076</v>
      </c>
      <c r="H267" s="23" t="s">
        <v>1076</v>
      </c>
      <c r="I267" s="23" t="s">
        <v>1076</v>
      </c>
      <c r="J267" s="23" t="s">
        <v>229</v>
      </c>
      <c r="K267" s="23" t="str">
        <f t="shared" si="1"/>
        <v>655604p+z</v>
      </c>
      <c r="L267" s="23"/>
      <c r="M267" s="26"/>
      <c r="N267" s="26"/>
      <c r="O267" s="26"/>
      <c r="P267" s="26"/>
      <c r="Q267" s="26"/>
      <c r="R267" s="26"/>
      <c r="S267" s="26"/>
      <c r="T267" s="26"/>
      <c r="U267" s="26"/>
      <c r="V267" s="26"/>
      <c r="W267" s="26"/>
      <c r="X267" s="26"/>
    </row>
    <row r="268" hidden="1">
      <c r="A268" s="10" t="s">
        <v>190</v>
      </c>
      <c r="B268" s="10" t="s">
        <v>1086</v>
      </c>
      <c r="C268" s="27" t="s">
        <v>1087</v>
      </c>
      <c r="D268" s="10" t="s">
        <v>1088</v>
      </c>
      <c r="E268" s="28" t="s">
        <v>194</v>
      </c>
      <c r="F268" s="23" t="s">
        <v>195</v>
      </c>
      <c r="G268" s="23" t="s">
        <v>1076</v>
      </c>
      <c r="H268" s="23" t="s">
        <v>1076</v>
      </c>
      <c r="I268" s="23" t="s">
        <v>1076</v>
      </c>
      <c r="J268" s="23" t="s">
        <v>229</v>
      </c>
      <c r="K268" s="23" t="str">
        <f t="shared" si="1"/>
        <v>691121p</v>
      </c>
      <c r="L268" s="23"/>
      <c r="M268" s="26"/>
      <c r="N268" s="26"/>
      <c r="O268" s="26"/>
      <c r="P268" s="26"/>
      <c r="Q268" s="26"/>
      <c r="R268" s="26"/>
      <c r="S268" s="26"/>
      <c r="T268" s="26"/>
      <c r="U268" s="26"/>
      <c r="V268" s="26"/>
      <c r="W268" s="26"/>
      <c r="X268" s="26"/>
    </row>
    <row r="269" hidden="1">
      <c r="A269" s="10" t="s">
        <v>190</v>
      </c>
      <c r="B269" s="10" t="s">
        <v>1089</v>
      </c>
      <c r="C269" s="27" t="s">
        <v>1090</v>
      </c>
      <c r="D269" s="10" t="s">
        <v>1091</v>
      </c>
      <c r="E269" s="28" t="s">
        <v>194</v>
      </c>
      <c r="F269" s="23" t="s">
        <v>195</v>
      </c>
      <c r="G269" s="23" t="s">
        <v>1</v>
      </c>
      <c r="H269" s="23" t="s">
        <v>1092</v>
      </c>
      <c r="I269" s="32"/>
      <c r="J269" s="23" t="s">
        <v>198</v>
      </c>
      <c r="K269" s="23" t="str">
        <f t="shared" si="1"/>
        <v>643052p+z</v>
      </c>
      <c r="L269" s="23"/>
      <c r="M269" s="26"/>
      <c r="N269" s="26"/>
      <c r="O269" s="26"/>
      <c r="P269" s="26"/>
      <c r="Q269" s="26"/>
      <c r="R269" s="26"/>
      <c r="S269" s="26"/>
      <c r="T269" s="26"/>
      <c r="U269" s="26"/>
      <c r="V269" s="26"/>
      <c r="W269" s="26"/>
      <c r="X269" s="26"/>
    </row>
    <row r="270" hidden="1">
      <c r="A270" s="10" t="s">
        <v>190</v>
      </c>
      <c r="B270" s="10" t="s">
        <v>1093</v>
      </c>
      <c r="C270" s="27" t="s">
        <v>1094</v>
      </c>
      <c r="D270" s="10" t="s">
        <v>1095</v>
      </c>
      <c r="E270" s="28" t="s">
        <v>194</v>
      </c>
      <c r="F270" s="23" t="s">
        <v>195</v>
      </c>
      <c r="G270" s="23" t="s">
        <v>1</v>
      </c>
      <c r="H270" s="23" t="s">
        <v>1092</v>
      </c>
      <c r="I270" s="23" t="s">
        <v>1096</v>
      </c>
      <c r="J270" s="23" t="s">
        <v>198</v>
      </c>
      <c r="K270" s="23" t="str">
        <f t="shared" si="1"/>
        <v>690476p</v>
      </c>
      <c r="L270" s="23"/>
      <c r="M270" s="26"/>
      <c r="N270" s="26"/>
      <c r="O270" s="26"/>
      <c r="P270" s="26"/>
      <c r="Q270" s="26"/>
      <c r="R270" s="26"/>
      <c r="S270" s="26"/>
      <c r="T270" s="26"/>
      <c r="U270" s="26"/>
      <c r="V270" s="26"/>
      <c r="W270" s="26"/>
      <c r="X270" s="26"/>
    </row>
    <row r="271" hidden="1">
      <c r="A271" s="10" t="s">
        <v>190</v>
      </c>
      <c r="B271" s="10" t="s">
        <v>1097</v>
      </c>
      <c r="C271" s="27" t="s">
        <v>1098</v>
      </c>
      <c r="D271" s="10" t="s">
        <v>1099</v>
      </c>
      <c r="E271" s="28" t="s">
        <v>194</v>
      </c>
      <c r="F271" s="23" t="s">
        <v>195</v>
      </c>
      <c r="G271" s="23" t="s">
        <v>1</v>
      </c>
      <c r="H271" s="23" t="s">
        <v>1092</v>
      </c>
      <c r="I271" s="32"/>
      <c r="J271" s="23" t="s">
        <v>198</v>
      </c>
      <c r="K271" s="23" t="str">
        <f t="shared" si="1"/>
        <v>690858p</v>
      </c>
      <c r="L271" s="23"/>
      <c r="M271" s="26"/>
      <c r="N271" s="26"/>
      <c r="O271" s="26"/>
      <c r="P271" s="26"/>
      <c r="Q271" s="26"/>
      <c r="R271" s="26"/>
      <c r="S271" s="26"/>
      <c r="T271" s="26"/>
      <c r="U271" s="26"/>
      <c r="V271" s="26"/>
      <c r="W271" s="26"/>
      <c r="X271" s="26"/>
    </row>
    <row r="272" hidden="1">
      <c r="A272" s="10" t="s">
        <v>190</v>
      </c>
      <c r="B272" s="10" t="s">
        <v>1100</v>
      </c>
      <c r="C272" s="27" t="s">
        <v>1101</v>
      </c>
      <c r="D272" s="10" t="s">
        <v>1102</v>
      </c>
      <c r="E272" s="28" t="s">
        <v>194</v>
      </c>
      <c r="F272" s="23" t="s">
        <v>195</v>
      </c>
      <c r="G272" s="23" t="s">
        <v>1</v>
      </c>
      <c r="H272" s="23" t="s">
        <v>1092</v>
      </c>
      <c r="I272" s="32"/>
      <c r="J272" s="23" t="s">
        <v>198</v>
      </c>
      <c r="K272" s="23" t="str">
        <f t="shared" si="1"/>
        <v>614168z</v>
      </c>
      <c r="L272" s="23"/>
      <c r="M272" s="26"/>
      <c r="N272" s="26"/>
      <c r="O272" s="26"/>
      <c r="P272" s="26"/>
      <c r="Q272" s="26"/>
      <c r="R272" s="26"/>
      <c r="S272" s="26"/>
      <c r="T272" s="26"/>
      <c r="U272" s="26"/>
      <c r="V272" s="26"/>
      <c r="W272" s="26"/>
      <c r="X272" s="26"/>
    </row>
    <row r="273" hidden="1">
      <c r="A273" s="10" t="s">
        <v>190</v>
      </c>
      <c r="B273" s="10" t="s">
        <v>1103</v>
      </c>
      <c r="C273" s="27" t="s">
        <v>1104</v>
      </c>
      <c r="D273" s="10" t="s">
        <v>1105</v>
      </c>
      <c r="E273" s="28" t="s">
        <v>194</v>
      </c>
      <c r="F273" s="23" t="s">
        <v>195</v>
      </c>
      <c r="G273" s="23" t="s">
        <v>1</v>
      </c>
      <c r="H273" s="23" t="s">
        <v>1092</v>
      </c>
      <c r="I273" s="32"/>
      <c r="J273" s="23" t="s">
        <v>198</v>
      </c>
      <c r="K273" s="23" t="str">
        <f t="shared" si="1"/>
        <v>619392z</v>
      </c>
      <c r="L273" s="23"/>
      <c r="M273" s="26"/>
      <c r="N273" s="26"/>
      <c r="O273" s="26"/>
      <c r="P273" s="26"/>
      <c r="Q273" s="26"/>
      <c r="R273" s="26"/>
      <c r="S273" s="26"/>
      <c r="T273" s="26"/>
      <c r="U273" s="26"/>
      <c r="V273" s="26"/>
      <c r="W273" s="26"/>
      <c r="X273" s="26"/>
    </row>
    <row r="274" hidden="1">
      <c r="A274" s="10" t="s">
        <v>190</v>
      </c>
      <c r="B274" s="10" t="s">
        <v>1106</v>
      </c>
      <c r="C274" s="27" t="s">
        <v>1107</v>
      </c>
      <c r="D274" s="10" t="s">
        <v>1108</v>
      </c>
      <c r="E274" s="28" t="s">
        <v>194</v>
      </c>
      <c r="F274" s="23" t="s">
        <v>195</v>
      </c>
      <c r="G274" s="23" t="s">
        <v>1</v>
      </c>
      <c r="H274" s="23" t="s">
        <v>1092</v>
      </c>
      <c r="I274" s="23" t="s">
        <v>1096</v>
      </c>
      <c r="J274" s="23" t="s">
        <v>198</v>
      </c>
      <c r="K274" s="23" t="str">
        <f t="shared" si="1"/>
        <v>690490z</v>
      </c>
      <c r="L274" s="23"/>
      <c r="M274" s="26"/>
      <c r="N274" s="26"/>
      <c r="O274" s="26"/>
      <c r="P274" s="26"/>
      <c r="Q274" s="26"/>
      <c r="R274" s="26"/>
      <c r="S274" s="26"/>
      <c r="T274" s="26"/>
      <c r="U274" s="26"/>
      <c r="V274" s="26"/>
      <c r="W274" s="26"/>
      <c r="X274" s="26"/>
    </row>
    <row r="275" hidden="1">
      <c r="A275" s="10" t="s">
        <v>190</v>
      </c>
      <c r="B275" s="10" t="s">
        <v>1109</v>
      </c>
      <c r="C275" s="27" t="s">
        <v>1110</v>
      </c>
      <c r="D275" s="10" t="s">
        <v>1111</v>
      </c>
      <c r="E275" s="28" t="s">
        <v>194</v>
      </c>
      <c r="F275" s="23" t="s">
        <v>195</v>
      </c>
      <c r="G275" s="23" t="s">
        <v>1</v>
      </c>
      <c r="H275" s="23" t="s">
        <v>1092</v>
      </c>
      <c r="I275" s="32"/>
      <c r="J275" s="23" t="s">
        <v>198</v>
      </c>
      <c r="K275" s="23" t="str">
        <f t="shared" si="1"/>
        <v>690483z</v>
      </c>
      <c r="L275" s="23"/>
      <c r="M275" s="26"/>
      <c r="N275" s="26"/>
      <c r="O275" s="26"/>
      <c r="P275" s="26"/>
      <c r="Q275" s="26"/>
      <c r="R275" s="26"/>
      <c r="S275" s="26"/>
      <c r="T275" s="26"/>
      <c r="U275" s="26"/>
      <c r="V275" s="26"/>
      <c r="W275" s="26"/>
      <c r="X275" s="26"/>
    </row>
    <row r="276" hidden="1">
      <c r="A276" s="10" t="s">
        <v>190</v>
      </c>
      <c r="B276" s="10" t="s">
        <v>1112</v>
      </c>
      <c r="C276" s="27" t="s">
        <v>1113</v>
      </c>
      <c r="D276" s="10" t="s">
        <v>1114</v>
      </c>
      <c r="E276" s="28" t="s">
        <v>194</v>
      </c>
      <c r="F276" s="23" t="s">
        <v>195</v>
      </c>
      <c r="G276" s="23" t="s">
        <v>203</v>
      </c>
      <c r="H276" s="23" t="s">
        <v>1115</v>
      </c>
      <c r="I276" s="23" t="s">
        <v>1115</v>
      </c>
      <c r="J276" s="23" t="s">
        <v>229</v>
      </c>
      <c r="K276" s="23" t="str">
        <f t="shared" si="1"/>
        <v>659251z</v>
      </c>
      <c r="L276" s="23"/>
      <c r="M276" s="26"/>
      <c r="N276" s="26"/>
      <c r="O276" s="26"/>
      <c r="P276" s="26"/>
      <c r="Q276" s="26"/>
      <c r="R276" s="26"/>
      <c r="S276" s="26"/>
      <c r="T276" s="26"/>
      <c r="U276" s="26"/>
      <c r="V276" s="26"/>
      <c r="W276" s="26"/>
      <c r="X276" s="26"/>
    </row>
    <row r="277" hidden="1">
      <c r="A277" s="10" t="s">
        <v>190</v>
      </c>
      <c r="B277" s="10" t="s">
        <v>1116</v>
      </c>
      <c r="C277" s="27" t="s">
        <v>1117</v>
      </c>
      <c r="D277" s="10" t="s">
        <v>1118</v>
      </c>
      <c r="E277" s="28" t="s">
        <v>194</v>
      </c>
      <c r="F277" s="23" t="s">
        <v>195</v>
      </c>
      <c r="G277" s="23" t="s">
        <v>203</v>
      </c>
      <c r="H277" s="23" t="s">
        <v>1115</v>
      </c>
      <c r="I277" s="23" t="s">
        <v>1115</v>
      </c>
      <c r="J277" s="23" t="s">
        <v>238</v>
      </c>
      <c r="K277" s="23" t="str">
        <f t="shared" si="1"/>
        <v>648040</v>
      </c>
      <c r="L277" s="23"/>
      <c r="M277" s="26"/>
      <c r="N277" s="26"/>
      <c r="O277" s="26"/>
      <c r="P277" s="26"/>
      <c r="Q277" s="26"/>
      <c r="R277" s="26"/>
      <c r="S277" s="26"/>
      <c r="T277" s="26"/>
      <c r="U277" s="26"/>
      <c r="V277" s="26"/>
      <c r="W277" s="26"/>
      <c r="X277" s="26"/>
    </row>
    <row r="278" hidden="1">
      <c r="A278" s="10" t="s">
        <v>190</v>
      </c>
      <c r="B278" s="10" t="s">
        <v>1119</v>
      </c>
      <c r="C278" s="27" t="s">
        <v>1120</v>
      </c>
      <c r="D278" s="10" t="s">
        <v>1121</v>
      </c>
      <c r="E278" s="28" t="s">
        <v>194</v>
      </c>
      <c r="F278" s="23" t="s">
        <v>195</v>
      </c>
      <c r="G278" s="23" t="s">
        <v>203</v>
      </c>
      <c r="H278" s="23" t="s">
        <v>1115</v>
      </c>
      <c r="I278" s="23" t="s">
        <v>1115</v>
      </c>
      <c r="J278" s="23" t="s">
        <v>238</v>
      </c>
      <c r="K278" s="23" t="str">
        <f t="shared" si="1"/>
        <v>605678z</v>
      </c>
      <c r="L278" s="23"/>
      <c r="M278" s="26"/>
      <c r="N278" s="26"/>
      <c r="O278" s="26"/>
      <c r="P278" s="26"/>
      <c r="Q278" s="26"/>
      <c r="R278" s="26"/>
      <c r="S278" s="26"/>
      <c r="T278" s="26"/>
      <c r="U278" s="26"/>
      <c r="V278" s="26"/>
      <c r="W278" s="26"/>
      <c r="X278" s="26"/>
    </row>
    <row r="279" hidden="1">
      <c r="A279" s="10" t="s">
        <v>190</v>
      </c>
      <c r="B279" s="10" t="s">
        <v>1122</v>
      </c>
      <c r="C279" s="27" t="s">
        <v>1123</v>
      </c>
      <c r="D279" s="10" t="s">
        <v>1124</v>
      </c>
      <c r="E279" s="28" t="s">
        <v>194</v>
      </c>
      <c r="F279" s="23" t="s">
        <v>195</v>
      </c>
      <c r="G279" s="23" t="s">
        <v>203</v>
      </c>
      <c r="H279" s="23" t="s">
        <v>1115</v>
      </c>
      <c r="I279" s="32"/>
      <c r="J279" s="23" t="s">
        <v>229</v>
      </c>
      <c r="K279" s="23" t="str">
        <f t="shared" si="1"/>
        <v>619392z.</v>
      </c>
      <c r="L279" s="23"/>
      <c r="M279" s="26"/>
      <c r="N279" s="26"/>
      <c r="O279" s="26"/>
      <c r="P279" s="26"/>
      <c r="Q279" s="26"/>
      <c r="R279" s="26"/>
      <c r="S279" s="26"/>
      <c r="T279" s="26"/>
      <c r="U279" s="26"/>
      <c r="V279" s="26"/>
      <c r="W279" s="26"/>
      <c r="X279" s="26"/>
    </row>
    <row r="280" hidden="1">
      <c r="A280" s="10" t="s">
        <v>190</v>
      </c>
      <c r="B280" s="10" t="s">
        <v>1125</v>
      </c>
      <c r="C280" s="27" t="s">
        <v>1126</v>
      </c>
      <c r="D280" s="10" t="s">
        <v>1127</v>
      </c>
      <c r="E280" s="28" t="s">
        <v>194</v>
      </c>
      <c r="F280" s="23" t="s">
        <v>195</v>
      </c>
      <c r="G280" s="23" t="s">
        <v>203</v>
      </c>
      <c r="H280" s="23" t="s">
        <v>1115</v>
      </c>
      <c r="I280" s="32"/>
      <c r="J280" s="23" t="s">
        <v>229</v>
      </c>
      <c r="K280" s="23" t="str">
        <f t="shared" si="1"/>
        <v>690117z</v>
      </c>
      <c r="L280" s="23"/>
      <c r="M280" s="26"/>
      <c r="N280" s="26"/>
      <c r="O280" s="26"/>
      <c r="P280" s="26"/>
      <c r="Q280" s="26"/>
      <c r="R280" s="26"/>
      <c r="S280" s="26"/>
      <c r="T280" s="26"/>
      <c r="U280" s="26"/>
      <c r="V280" s="26"/>
      <c r="W280" s="26"/>
      <c r="X280" s="26"/>
    </row>
    <row r="281" hidden="1">
      <c r="A281" s="10" t="s">
        <v>190</v>
      </c>
      <c r="B281" s="10" t="s">
        <v>1128</v>
      </c>
      <c r="C281" s="27" t="s">
        <v>1129</v>
      </c>
      <c r="D281" s="10" t="s">
        <v>1130</v>
      </c>
      <c r="E281" s="28" t="s">
        <v>194</v>
      </c>
      <c r="F281" s="23" t="s">
        <v>195</v>
      </c>
      <c r="G281" s="23" t="s">
        <v>203</v>
      </c>
      <c r="H281" s="23" t="s">
        <v>1115</v>
      </c>
      <c r="I281" s="23" t="s">
        <v>1115</v>
      </c>
      <c r="J281" s="23" t="s">
        <v>229</v>
      </c>
      <c r="K281" s="23" t="str">
        <f t="shared" si="1"/>
        <v>674896z</v>
      </c>
      <c r="L281" s="23"/>
      <c r="M281" s="26"/>
      <c r="N281" s="26"/>
      <c r="O281" s="26"/>
      <c r="P281" s="26"/>
      <c r="Q281" s="26"/>
      <c r="R281" s="26"/>
      <c r="S281" s="26"/>
      <c r="T281" s="26"/>
      <c r="U281" s="26"/>
      <c r="V281" s="26"/>
      <c r="W281" s="26"/>
      <c r="X281" s="26"/>
    </row>
    <row r="282" hidden="1">
      <c r="A282" s="10" t="s">
        <v>190</v>
      </c>
      <c r="B282" s="10" t="s">
        <v>1131</v>
      </c>
      <c r="C282" s="27" t="s">
        <v>1132</v>
      </c>
      <c r="D282" s="10" t="s">
        <v>1133</v>
      </c>
      <c r="E282" s="28" t="s">
        <v>194</v>
      </c>
      <c r="F282" s="23" t="s">
        <v>195</v>
      </c>
      <c r="G282" s="23" t="s">
        <v>203</v>
      </c>
      <c r="H282" s="23" t="s">
        <v>1115</v>
      </c>
      <c r="I282" s="23" t="s">
        <v>1115</v>
      </c>
      <c r="J282" s="23" t="s">
        <v>229</v>
      </c>
      <c r="K282" s="23" t="str">
        <f t="shared" si="1"/>
        <v>673360z</v>
      </c>
      <c r="L282" s="23"/>
      <c r="M282" s="26"/>
      <c r="N282" s="26"/>
      <c r="O282" s="26"/>
      <c r="P282" s="26"/>
      <c r="Q282" s="26"/>
      <c r="R282" s="26"/>
      <c r="S282" s="26"/>
      <c r="T282" s="26"/>
      <c r="U282" s="26"/>
      <c r="V282" s="26"/>
      <c r="W282" s="26"/>
      <c r="X282" s="26"/>
    </row>
    <row r="283" hidden="1">
      <c r="A283" s="10" t="s">
        <v>190</v>
      </c>
      <c r="B283" s="10" t="s">
        <v>1134</v>
      </c>
      <c r="C283" s="27" t="s">
        <v>1135</v>
      </c>
      <c r="D283" s="10" t="s">
        <v>1136</v>
      </c>
      <c r="E283" s="28" t="s">
        <v>194</v>
      </c>
      <c r="F283" s="23" t="s">
        <v>195</v>
      </c>
      <c r="G283" s="23" t="s">
        <v>203</v>
      </c>
      <c r="H283" s="23" t="s">
        <v>1115</v>
      </c>
      <c r="I283" s="23" t="s">
        <v>1115</v>
      </c>
      <c r="J283" s="23" t="s">
        <v>229</v>
      </c>
      <c r="K283" s="23" t="str">
        <f t="shared" si="1"/>
        <v>643052</v>
      </c>
      <c r="L283" s="23"/>
      <c r="M283" s="26"/>
      <c r="N283" s="26"/>
      <c r="O283" s="26"/>
      <c r="P283" s="26"/>
      <c r="Q283" s="26"/>
      <c r="R283" s="26"/>
      <c r="S283" s="26"/>
      <c r="T283" s="26"/>
      <c r="U283" s="26"/>
      <c r="V283" s="26"/>
      <c r="W283" s="26"/>
      <c r="X283" s="26"/>
    </row>
    <row r="284" hidden="1">
      <c r="A284" s="10" t="s">
        <v>190</v>
      </c>
      <c r="B284" s="10" t="s">
        <v>1137</v>
      </c>
      <c r="C284" s="27" t="s">
        <v>1138</v>
      </c>
      <c r="D284" s="10" t="s">
        <v>1139</v>
      </c>
      <c r="E284" s="28" t="s">
        <v>194</v>
      </c>
      <c r="F284" s="23" t="s">
        <v>195</v>
      </c>
      <c r="G284" s="23" t="s">
        <v>203</v>
      </c>
      <c r="H284" s="23" t="s">
        <v>1115</v>
      </c>
      <c r="I284" s="23" t="s">
        <v>1115</v>
      </c>
      <c r="J284" s="23" t="s">
        <v>229</v>
      </c>
      <c r="K284" s="23" t="str">
        <f t="shared" si="1"/>
        <v>659244z</v>
      </c>
      <c r="L284" s="23"/>
      <c r="M284" s="26"/>
      <c r="N284" s="26"/>
      <c r="O284" s="26"/>
      <c r="P284" s="26"/>
      <c r="Q284" s="26"/>
      <c r="R284" s="26"/>
      <c r="S284" s="26"/>
      <c r="T284" s="26"/>
      <c r="U284" s="26"/>
      <c r="V284" s="26"/>
      <c r="W284" s="26"/>
      <c r="X284" s="26"/>
    </row>
    <row r="285" hidden="1">
      <c r="A285" s="10" t="s">
        <v>190</v>
      </c>
      <c r="B285" s="10" t="s">
        <v>1140</v>
      </c>
      <c r="C285" s="27" t="s">
        <v>1141</v>
      </c>
      <c r="D285" s="10" t="s">
        <v>1142</v>
      </c>
      <c r="E285" s="28" t="s">
        <v>194</v>
      </c>
      <c r="F285" s="23" t="s">
        <v>195</v>
      </c>
      <c r="G285" s="23" t="s">
        <v>203</v>
      </c>
      <c r="H285" s="23" t="s">
        <v>1115</v>
      </c>
      <c r="I285" s="32"/>
      <c r="J285" s="23" t="s">
        <v>229</v>
      </c>
      <c r="K285" s="23" t="str">
        <f t="shared" si="1"/>
        <v>672922z</v>
      </c>
      <c r="L285" s="23"/>
      <c r="M285" s="26"/>
      <c r="N285" s="26"/>
      <c r="O285" s="26"/>
      <c r="P285" s="26"/>
      <c r="Q285" s="26"/>
      <c r="R285" s="26"/>
      <c r="S285" s="26"/>
      <c r="T285" s="26"/>
      <c r="U285" s="26"/>
      <c r="V285" s="26"/>
      <c r="W285" s="26"/>
      <c r="X285" s="26"/>
    </row>
    <row r="286" hidden="1">
      <c r="A286" s="10" t="s">
        <v>499</v>
      </c>
      <c r="B286" s="10" t="s">
        <v>1143</v>
      </c>
      <c r="C286" s="27" t="s">
        <v>1144</v>
      </c>
      <c r="D286" s="10" t="s">
        <v>1145</v>
      </c>
      <c r="E286" s="28" t="s">
        <v>194</v>
      </c>
      <c r="F286" s="23" t="s">
        <v>195</v>
      </c>
      <c r="G286" s="23" t="s">
        <v>203</v>
      </c>
      <c r="H286" s="23" t="s">
        <v>1115</v>
      </c>
      <c r="I286" s="32"/>
      <c r="J286" s="23" t="s">
        <v>6</v>
      </c>
      <c r="K286" s="23" t="str">
        <f t="shared" si="1"/>
        <v>679044</v>
      </c>
      <c r="L286" s="23"/>
      <c r="M286" s="26"/>
      <c r="N286" s="26"/>
      <c r="O286" s="26"/>
      <c r="P286" s="26"/>
      <c r="Q286" s="26"/>
      <c r="R286" s="26"/>
      <c r="S286" s="26"/>
      <c r="T286" s="26"/>
      <c r="U286" s="26"/>
      <c r="V286" s="26"/>
      <c r="W286" s="26"/>
      <c r="X286" s="26"/>
    </row>
    <row r="287" hidden="1">
      <c r="A287" s="10" t="s">
        <v>499</v>
      </c>
      <c r="B287" s="10" t="s">
        <v>1146</v>
      </c>
      <c r="C287" s="27" t="s">
        <v>1147</v>
      </c>
      <c r="D287" s="10" t="s">
        <v>1148</v>
      </c>
      <c r="E287" s="28" t="s">
        <v>194</v>
      </c>
      <c r="F287" s="23" t="s">
        <v>195</v>
      </c>
      <c r="G287" s="23" t="s">
        <v>203</v>
      </c>
      <c r="H287" s="23" t="s">
        <v>1115</v>
      </c>
      <c r="I287" s="32"/>
      <c r="J287" s="23" t="s">
        <v>6</v>
      </c>
      <c r="K287" s="23" t="str">
        <f t="shared" si="1"/>
        <v>690148z</v>
      </c>
      <c r="L287" s="23"/>
      <c r="M287" s="26"/>
      <c r="N287" s="26"/>
      <c r="O287" s="26"/>
      <c r="P287" s="26"/>
      <c r="Q287" s="26"/>
      <c r="R287" s="26"/>
      <c r="S287" s="26"/>
      <c r="T287" s="26"/>
      <c r="U287" s="26"/>
      <c r="V287" s="26"/>
      <c r="W287" s="26"/>
      <c r="X287" s="26"/>
    </row>
    <row r="288" hidden="1">
      <c r="A288" s="10" t="s">
        <v>499</v>
      </c>
      <c r="B288" s="10" t="s">
        <v>1149</v>
      </c>
      <c r="C288" s="27" t="s">
        <v>1150</v>
      </c>
      <c r="D288" s="10" t="s">
        <v>1151</v>
      </c>
      <c r="E288" s="28" t="s">
        <v>194</v>
      </c>
      <c r="F288" s="23" t="s">
        <v>195</v>
      </c>
      <c r="G288" s="23" t="s">
        <v>203</v>
      </c>
      <c r="H288" s="23" t="s">
        <v>1115</v>
      </c>
      <c r="I288" s="32"/>
      <c r="J288" s="23" t="s">
        <v>6</v>
      </c>
      <c r="K288" s="23" t="str">
        <f t="shared" si="1"/>
        <v>690124z</v>
      </c>
      <c r="L288" s="23"/>
      <c r="M288" s="26"/>
      <c r="N288" s="26"/>
      <c r="O288" s="26"/>
      <c r="P288" s="26"/>
      <c r="Q288" s="26"/>
      <c r="R288" s="26"/>
      <c r="S288" s="26"/>
      <c r="T288" s="26"/>
      <c r="U288" s="26"/>
      <c r="V288" s="26"/>
      <c r="W288" s="26"/>
      <c r="X288" s="26"/>
    </row>
    <row r="289" hidden="1">
      <c r="A289" s="10" t="s">
        <v>499</v>
      </c>
      <c r="B289" s="10" t="s">
        <v>1152</v>
      </c>
      <c r="C289" s="27" t="s">
        <v>1153</v>
      </c>
      <c r="D289" s="10" t="s">
        <v>1154</v>
      </c>
      <c r="E289" s="28" t="s">
        <v>194</v>
      </c>
      <c r="F289" s="23" t="s">
        <v>195</v>
      </c>
      <c r="G289" s="23" t="s">
        <v>203</v>
      </c>
      <c r="H289" s="23" t="s">
        <v>1115</v>
      </c>
      <c r="I289" s="32"/>
      <c r="J289" s="23" t="s">
        <v>6</v>
      </c>
      <c r="K289" s="23" t="str">
        <f t="shared" si="1"/>
        <v>659268z</v>
      </c>
      <c r="L289" s="23"/>
      <c r="M289" s="26"/>
      <c r="N289" s="26"/>
      <c r="O289" s="26"/>
      <c r="P289" s="26"/>
      <c r="Q289" s="26"/>
      <c r="R289" s="26"/>
      <c r="S289" s="26"/>
      <c r="T289" s="26"/>
      <c r="U289" s="26"/>
      <c r="V289" s="26"/>
      <c r="W289" s="26"/>
      <c r="X289" s="26"/>
    </row>
    <row r="290" hidden="1">
      <c r="A290" s="10" t="s">
        <v>499</v>
      </c>
      <c r="B290" s="10" t="s">
        <v>1155</v>
      </c>
      <c r="C290" s="27" t="s">
        <v>1156</v>
      </c>
      <c r="D290" s="10" t="s">
        <v>1157</v>
      </c>
      <c r="E290" s="28" t="s">
        <v>194</v>
      </c>
      <c r="F290" s="23" t="s">
        <v>195</v>
      </c>
      <c r="G290" s="23" t="s">
        <v>203</v>
      </c>
      <c r="H290" s="23" t="s">
        <v>1115</v>
      </c>
      <c r="I290" s="32"/>
      <c r="J290" s="23" t="s">
        <v>6</v>
      </c>
      <c r="K290" s="23" t="str">
        <f t="shared" si="1"/>
        <v>666945z</v>
      </c>
      <c r="L290" s="23"/>
      <c r="M290" s="26"/>
      <c r="N290" s="26"/>
      <c r="O290" s="26"/>
      <c r="P290" s="26"/>
      <c r="Q290" s="26"/>
      <c r="R290" s="26"/>
      <c r="S290" s="26"/>
      <c r="T290" s="26"/>
      <c r="U290" s="26"/>
      <c r="V290" s="26"/>
      <c r="W290" s="26"/>
      <c r="X290" s="26"/>
    </row>
    <row r="291" hidden="1">
      <c r="A291" s="10" t="s">
        <v>499</v>
      </c>
      <c r="B291" s="10" t="s">
        <v>1158</v>
      </c>
      <c r="C291" s="27" t="s">
        <v>1159</v>
      </c>
      <c r="D291" s="10" t="s">
        <v>1160</v>
      </c>
      <c r="E291" s="28" t="s">
        <v>194</v>
      </c>
      <c r="F291" s="23" t="s">
        <v>195</v>
      </c>
      <c r="G291" s="23" t="s">
        <v>203</v>
      </c>
      <c r="H291" s="23" t="s">
        <v>1115</v>
      </c>
      <c r="I291" s="32"/>
      <c r="J291" s="23" t="s">
        <v>6</v>
      </c>
      <c r="K291" s="23" t="str">
        <f t="shared" si="1"/>
        <v>690179z</v>
      </c>
      <c r="L291" s="23"/>
      <c r="M291" s="26"/>
      <c r="N291" s="26"/>
      <c r="O291" s="26"/>
      <c r="P291" s="26"/>
      <c r="Q291" s="26"/>
      <c r="R291" s="26"/>
      <c r="S291" s="26"/>
      <c r="T291" s="26"/>
      <c r="U291" s="26"/>
      <c r="V291" s="26"/>
      <c r="W291" s="26"/>
      <c r="X291" s="26"/>
    </row>
    <row r="292" hidden="1">
      <c r="A292" s="10" t="s">
        <v>499</v>
      </c>
      <c r="B292" s="10" t="s">
        <v>1161</v>
      </c>
      <c r="C292" s="27" t="s">
        <v>1162</v>
      </c>
      <c r="D292" s="10" t="s">
        <v>1163</v>
      </c>
      <c r="E292" s="28" t="s">
        <v>194</v>
      </c>
      <c r="F292" s="23" t="s">
        <v>195</v>
      </c>
      <c r="G292" s="23" t="s">
        <v>203</v>
      </c>
      <c r="H292" s="23" t="s">
        <v>1115</v>
      </c>
      <c r="I292" s="32"/>
      <c r="J292" s="23" t="s">
        <v>6</v>
      </c>
      <c r="K292" s="23" t="str">
        <f t="shared" si="1"/>
        <v>673363z</v>
      </c>
      <c r="L292" s="23"/>
      <c r="M292" s="26"/>
      <c r="N292" s="26"/>
      <c r="O292" s="26"/>
      <c r="P292" s="26"/>
      <c r="Q292" s="26"/>
      <c r="R292" s="26"/>
      <c r="S292" s="26"/>
      <c r="T292" s="26"/>
      <c r="U292" s="26"/>
      <c r="V292" s="26"/>
      <c r="W292" s="26"/>
      <c r="X292" s="26"/>
    </row>
    <row r="293" hidden="1">
      <c r="A293" s="10" t="s">
        <v>499</v>
      </c>
      <c r="B293" s="10" t="s">
        <v>1164</v>
      </c>
      <c r="C293" s="27" t="s">
        <v>1165</v>
      </c>
      <c r="D293" s="10" t="s">
        <v>1163</v>
      </c>
      <c r="E293" s="28" t="s">
        <v>194</v>
      </c>
      <c r="F293" s="23" t="s">
        <v>195</v>
      </c>
      <c r="G293" s="23" t="s">
        <v>203</v>
      </c>
      <c r="H293" s="23" t="s">
        <v>1115</v>
      </c>
      <c r="I293" s="32"/>
      <c r="J293" s="23" t="s">
        <v>6</v>
      </c>
      <c r="K293" s="23" t="str">
        <f t="shared" si="1"/>
        <v>673998z</v>
      </c>
      <c r="L293" s="23"/>
      <c r="M293" s="26"/>
      <c r="N293" s="26"/>
      <c r="O293" s="26"/>
      <c r="P293" s="26"/>
      <c r="Q293" s="26"/>
      <c r="R293" s="26"/>
      <c r="S293" s="26"/>
      <c r="T293" s="26"/>
      <c r="U293" s="26"/>
      <c r="V293" s="26"/>
      <c r="W293" s="26"/>
      <c r="X293" s="26"/>
    </row>
    <row r="294" hidden="1">
      <c r="A294" s="10" t="s">
        <v>499</v>
      </c>
      <c r="B294" s="10" t="s">
        <v>1166</v>
      </c>
      <c r="C294" s="27" t="s">
        <v>1167</v>
      </c>
      <c r="D294" s="10" t="s">
        <v>1168</v>
      </c>
      <c r="E294" s="28" t="s">
        <v>194</v>
      </c>
      <c r="F294" s="23" t="s">
        <v>195</v>
      </c>
      <c r="G294" s="23" t="s">
        <v>203</v>
      </c>
      <c r="H294" s="23" t="s">
        <v>1115</v>
      </c>
      <c r="I294" s="32"/>
      <c r="J294" s="23" t="s">
        <v>6</v>
      </c>
      <c r="K294" s="23" t="str">
        <f t="shared" si="1"/>
        <v>648491z</v>
      </c>
      <c r="L294" s="23"/>
      <c r="M294" s="26"/>
      <c r="N294" s="26"/>
      <c r="O294" s="26"/>
      <c r="P294" s="26"/>
      <c r="Q294" s="26"/>
      <c r="R294" s="26"/>
      <c r="S294" s="26"/>
      <c r="T294" s="26"/>
      <c r="U294" s="26"/>
      <c r="V294" s="26"/>
      <c r="W294" s="26"/>
      <c r="X294" s="26"/>
    </row>
    <row r="295" hidden="1">
      <c r="A295" s="10" t="s">
        <v>499</v>
      </c>
      <c r="B295" s="10" t="s">
        <v>1169</v>
      </c>
      <c r="C295" s="27" t="s">
        <v>1170</v>
      </c>
      <c r="D295" s="10" t="s">
        <v>1171</v>
      </c>
      <c r="E295" s="28" t="s">
        <v>194</v>
      </c>
      <c r="F295" s="23" t="s">
        <v>195</v>
      </c>
      <c r="G295" s="23" t="s">
        <v>203</v>
      </c>
      <c r="H295" s="23" t="s">
        <v>1115</v>
      </c>
      <c r="I295" s="23" t="s">
        <v>1115</v>
      </c>
      <c r="J295" s="23" t="s">
        <v>6</v>
      </c>
      <c r="K295" s="23" t="str">
        <f t="shared" si="1"/>
        <v>682679z</v>
      </c>
      <c r="L295" s="23"/>
      <c r="M295" s="26"/>
      <c r="N295" s="26"/>
      <c r="O295" s="26"/>
      <c r="P295" s="26"/>
      <c r="Q295" s="26"/>
      <c r="R295" s="26"/>
      <c r="S295" s="26"/>
      <c r="T295" s="26"/>
      <c r="U295" s="26"/>
      <c r="V295" s="26"/>
      <c r="W295" s="26"/>
      <c r="X295" s="26"/>
    </row>
    <row r="296" hidden="1">
      <c r="A296" s="10" t="s">
        <v>499</v>
      </c>
      <c r="B296" s="10" t="s">
        <v>1172</v>
      </c>
      <c r="C296" s="27" t="s">
        <v>1173</v>
      </c>
      <c r="D296" s="10" t="s">
        <v>1174</v>
      </c>
      <c r="E296" s="28" t="s">
        <v>194</v>
      </c>
      <c r="F296" s="23" t="s">
        <v>195</v>
      </c>
      <c r="G296" s="23" t="s">
        <v>203</v>
      </c>
      <c r="H296" s="23" t="s">
        <v>1115</v>
      </c>
      <c r="I296" s="32"/>
      <c r="J296" s="23" t="s">
        <v>6</v>
      </c>
      <c r="K296" s="23" t="str">
        <f t="shared" si="1"/>
        <v>619415</v>
      </c>
      <c r="L296" s="23"/>
      <c r="M296" s="26"/>
      <c r="N296" s="26"/>
      <c r="O296" s="26"/>
      <c r="P296" s="26"/>
      <c r="Q296" s="26"/>
      <c r="R296" s="26"/>
      <c r="S296" s="26"/>
      <c r="T296" s="26"/>
      <c r="U296" s="26"/>
      <c r="V296" s="26"/>
      <c r="W296" s="26"/>
      <c r="X296" s="26"/>
    </row>
    <row r="297" hidden="1">
      <c r="A297" s="10" t="s">
        <v>499</v>
      </c>
      <c r="B297" s="10" t="s">
        <v>1175</v>
      </c>
      <c r="C297" s="27" t="s">
        <v>1176</v>
      </c>
      <c r="D297" s="10" t="s">
        <v>1177</v>
      </c>
      <c r="E297" s="28" t="s">
        <v>194</v>
      </c>
      <c r="F297" s="23" t="s">
        <v>195</v>
      </c>
      <c r="G297" s="23" t="s">
        <v>521</v>
      </c>
      <c r="H297" s="23" t="s">
        <v>1115</v>
      </c>
      <c r="I297" s="32"/>
      <c r="J297" s="23" t="s">
        <v>6</v>
      </c>
      <c r="K297" s="23" t="str">
        <f t="shared" si="1"/>
        <v>674896za</v>
      </c>
      <c r="L297" s="23"/>
      <c r="M297" s="26"/>
      <c r="N297" s="26"/>
      <c r="O297" s="26"/>
      <c r="P297" s="26"/>
      <c r="Q297" s="26"/>
      <c r="R297" s="26"/>
      <c r="S297" s="26"/>
      <c r="T297" s="26"/>
      <c r="U297" s="26"/>
      <c r="V297" s="26"/>
      <c r="W297" s="26"/>
      <c r="X297" s="26"/>
    </row>
    <row r="298" hidden="1">
      <c r="A298" s="10" t="s">
        <v>499</v>
      </c>
      <c r="B298" s="10" t="s">
        <v>1178</v>
      </c>
      <c r="C298" s="27" t="s">
        <v>1179</v>
      </c>
      <c r="D298" s="10" t="s">
        <v>1180</v>
      </c>
      <c r="E298" s="28" t="s">
        <v>194</v>
      </c>
      <c r="F298" s="23" t="s">
        <v>195</v>
      </c>
      <c r="G298" s="23" t="s">
        <v>203</v>
      </c>
      <c r="H298" s="23" t="s">
        <v>1115</v>
      </c>
      <c r="I298" s="32"/>
      <c r="J298" s="23" t="s">
        <v>6</v>
      </c>
      <c r="K298" s="23" t="str">
        <f t="shared" si="1"/>
        <v>690933za</v>
      </c>
      <c r="L298" s="23"/>
      <c r="M298" s="26"/>
      <c r="N298" s="26"/>
      <c r="O298" s="26"/>
      <c r="P298" s="26"/>
      <c r="Q298" s="26"/>
      <c r="R298" s="26"/>
      <c r="S298" s="26"/>
      <c r="T298" s="26"/>
      <c r="U298" s="26"/>
      <c r="V298" s="26"/>
      <c r="W298" s="26"/>
      <c r="X298" s="26"/>
    </row>
    <row r="299" hidden="1">
      <c r="A299" s="10" t="s">
        <v>499</v>
      </c>
      <c r="B299" s="10" t="s">
        <v>1181</v>
      </c>
      <c r="C299" s="27" t="s">
        <v>1182</v>
      </c>
      <c r="D299" s="10" t="s">
        <v>1183</v>
      </c>
      <c r="E299" s="28" t="s">
        <v>194</v>
      </c>
      <c r="F299" s="23" t="s">
        <v>195</v>
      </c>
      <c r="G299" s="23" t="s">
        <v>203</v>
      </c>
      <c r="H299" s="23" t="s">
        <v>1115</v>
      </c>
      <c r="I299" s="32"/>
      <c r="J299" s="23" t="s">
        <v>6</v>
      </c>
      <c r="K299" s="23" t="str">
        <f t="shared" si="1"/>
        <v>690162za</v>
      </c>
      <c r="L299" s="23"/>
      <c r="M299" s="26"/>
      <c r="N299" s="26"/>
      <c r="O299" s="26"/>
      <c r="P299" s="26"/>
      <c r="Q299" s="26"/>
      <c r="R299" s="26"/>
      <c r="S299" s="26"/>
      <c r="T299" s="26"/>
      <c r="U299" s="26"/>
      <c r="V299" s="26"/>
      <c r="W299" s="26"/>
      <c r="X299" s="26"/>
    </row>
    <row r="300" hidden="1">
      <c r="A300" s="10" t="s">
        <v>499</v>
      </c>
      <c r="B300" s="10" t="s">
        <v>1184</v>
      </c>
      <c r="C300" s="27" t="s">
        <v>1185</v>
      </c>
      <c r="D300" s="10" t="s">
        <v>1186</v>
      </c>
      <c r="E300" s="28" t="s">
        <v>194</v>
      </c>
      <c r="F300" s="23" t="s">
        <v>195</v>
      </c>
      <c r="G300" s="23" t="s">
        <v>203</v>
      </c>
      <c r="H300" s="23" t="s">
        <v>1115</v>
      </c>
      <c r="I300" s="32"/>
      <c r="J300" s="23" t="s">
        <v>6</v>
      </c>
      <c r="K300" s="23" t="str">
        <f t="shared" si="1"/>
        <v>690094za</v>
      </c>
      <c r="L300" s="23"/>
      <c r="M300" s="26"/>
      <c r="N300" s="26"/>
      <c r="O300" s="26"/>
      <c r="P300" s="26"/>
      <c r="Q300" s="26"/>
      <c r="R300" s="26"/>
      <c r="S300" s="26"/>
      <c r="T300" s="26"/>
      <c r="U300" s="26"/>
      <c r="V300" s="26"/>
      <c r="W300" s="26"/>
      <c r="X300" s="26"/>
    </row>
    <row r="301" hidden="1">
      <c r="A301" s="10" t="s">
        <v>499</v>
      </c>
      <c r="B301" s="10" t="s">
        <v>1187</v>
      </c>
      <c r="C301" s="27" t="s">
        <v>1188</v>
      </c>
      <c r="D301" s="10" t="s">
        <v>1189</v>
      </c>
      <c r="E301" s="28" t="s">
        <v>194</v>
      </c>
      <c r="F301" s="23" t="s">
        <v>589</v>
      </c>
      <c r="G301" s="23" t="s">
        <v>521</v>
      </c>
      <c r="H301" s="23" t="s">
        <v>1115</v>
      </c>
      <c r="I301" s="32"/>
      <c r="J301" s="23" t="s">
        <v>6</v>
      </c>
      <c r="K301" s="23" t="str">
        <f t="shared" si="1"/>
        <v>682815za</v>
      </c>
      <c r="L301" s="23"/>
      <c r="M301" s="26"/>
      <c r="N301" s="26"/>
      <c r="O301" s="26"/>
      <c r="P301" s="26"/>
      <c r="Q301" s="26"/>
      <c r="R301" s="26"/>
      <c r="S301" s="26"/>
      <c r="T301" s="26"/>
      <c r="U301" s="26"/>
      <c r="V301" s="26"/>
      <c r="W301" s="26"/>
      <c r="X301" s="26"/>
    </row>
    <row r="302" hidden="1">
      <c r="A302" s="10" t="s">
        <v>499</v>
      </c>
      <c r="B302" s="10" t="s">
        <v>1190</v>
      </c>
      <c r="C302" s="27" t="s">
        <v>1191</v>
      </c>
      <c r="D302" s="10" t="s">
        <v>1192</v>
      </c>
      <c r="E302" s="28" t="s">
        <v>194</v>
      </c>
      <c r="F302" s="23" t="s">
        <v>589</v>
      </c>
      <c r="G302" s="23" t="s">
        <v>203</v>
      </c>
      <c r="H302" s="23" t="s">
        <v>1115</v>
      </c>
      <c r="I302" s="32"/>
      <c r="J302" s="23" t="s">
        <v>6</v>
      </c>
      <c r="K302" s="23" t="str">
        <f t="shared" si="1"/>
        <v>690728za</v>
      </c>
      <c r="L302" s="23"/>
      <c r="M302" s="26"/>
      <c r="N302" s="26"/>
      <c r="O302" s="26"/>
      <c r="P302" s="26"/>
      <c r="Q302" s="26"/>
      <c r="R302" s="26"/>
      <c r="S302" s="26"/>
      <c r="T302" s="26"/>
      <c r="U302" s="26"/>
      <c r="V302" s="26"/>
      <c r="W302" s="26"/>
      <c r="X302" s="26"/>
    </row>
    <row r="303" hidden="1">
      <c r="A303" s="10" t="s">
        <v>427</v>
      </c>
      <c r="B303" s="10" t="s">
        <v>1193</v>
      </c>
      <c r="C303" s="27" t="s">
        <v>1194</v>
      </c>
      <c r="D303" s="10" t="s">
        <v>1195</v>
      </c>
      <c r="E303" s="28" t="s">
        <v>534</v>
      </c>
      <c r="F303" s="23" t="s">
        <v>757</v>
      </c>
      <c r="G303" s="23" t="s">
        <v>203</v>
      </c>
      <c r="H303" s="23" t="s">
        <v>1115</v>
      </c>
      <c r="I303" s="32"/>
      <c r="J303" s="23" t="s">
        <v>6</v>
      </c>
      <c r="K303" s="23" t="str">
        <f t="shared" si="1"/>
        <v>690544</v>
      </c>
      <c r="L303" s="23"/>
      <c r="M303" s="26"/>
      <c r="N303" s="26"/>
      <c r="O303" s="26"/>
      <c r="P303" s="26"/>
      <c r="Q303" s="26"/>
      <c r="R303" s="26"/>
      <c r="S303" s="26"/>
      <c r="T303" s="26"/>
      <c r="U303" s="26"/>
      <c r="V303" s="26"/>
      <c r="W303" s="26"/>
      <c r="X303" s="26"/>
    </row>
    <row r="304" hidden="1">
      <c r="A304" s="10" t="s">
        <v>427</v>
      </c>
      <c r="B304" s="10" t="s">
        <v>1196</v>
      </c>
      <c r="C304" s="27" t="s">
        <v>1197</v>
      </c>
      <c r="D304" s="10" t="s">
        <v>1198</v>
      </c>
      <c r="E304" s="28" t="s">
        <v>431</v>
      </c>
      <c r="F304" s="23" t="s">
        <v>432</v>
      </c>
      <c r="G304" s="23" t="s">
        <v>203</v>
      </c>
      <c r="H304" s="23" t="s">
        <v>1115</v>
      </c>
      <c r="I304" s="32"/>
      <c r="J304" s="23" t="s">
        <v>6</v>
      </c>
      <c r="K304" s="23" t="str">
        <f t="shared" si="1"/>
        <v>614168</v>
      </c>
      <c r="L304" s="23"/>
      <c r="M304" s="26"/>
      <c r="N304" s="26"/>
      <c r="O304" s="26"/>
      <c r="P304" s="26"/>
      <c r="Q304" s="26"/>
      <c r="R304" s="26"/>
      <c r="S304" s="26"/>
      <c r="T304" s="26"/>
      <c r="U304" s="26"/>
      <c r="V304" s="26"/>
      <c r="W304" s="26"/>
      <c r="X304" s="26"/>
    </row>
    <row r="305" hidden="1">
      <c r="A305" s="10" t="s">
        <v>427</v>
      </c>
      <c r="B305" s="10" t="s">
        <v>1199</v>
      </c>
      <c r="C305" s="27" t="s">
        <v>1200</v>
      </c>
      <c r="D305" s="10" t="s">
        <v>1201</v>
      </c>
      <c r="E305" s="28" t="s">
        <v>418</v>
      </c>
      <c r="F305" s="23" t="s">
        <v>977</v>
      </c>
      <c r="G305" s="23" t="s">
        <v>203</v>
      </c>
      <c r="H305" s="23" t="s">
        <v>1115</v>
      </c>
      <c r="I305" s="32"/>
      <c r="J305" s="23" t="s">
        <v>6</v>
      </c>
      <c r="K305" s="23" t="str">
        <f t="shared" si="1"/>
        <v>632100sa</v>
      </c>
      <c r="L305" s="23"/>
      <c r="M305" s="26"/>
      <c r="N305" s="26"/>
      <c r="O305" s="26"/>
      <c r="P305" s="26"/>
      <c r="Q305" s="26"/>
      <c r="R305" s="26"/>
      <c r="S305" s="26"/>
      <c r="T305" s="26"/>
      <c r="U305" s="26"/>
      <c r="V305" s="26"/>
      <c r="W305" s="26"/>
      <c r="X305" s="26"/>
    </row>
    <row r="306" hidden="1">
      <c r="A306" s="10" t="s">
        <v>427</v>
      </c>
      <c r="B306" s="10" t="s">
        <v>1202</v>
      </c>
      <c r="C306" s="27" t="s">
        <v>1203</v>
      </c>
      <c r="D306" s="10" t="s">
        <v>1204</v>
      </c>
      <c r="E306" s="28" t="s">
        <v>534</v>
      </c>
      <c r="F306" s="23" t="s">
        <v>757</v>
      </c>
      <c r="G306" s="23" t="s">
        <v>521</v>
      </c>
      <c r="H306" s="23" t="s">
        <v>1115</v>
      </c>
      <c r="I306" s="32"/>
      <c r="J306" s="23" t="s">
        <v>6</v>
      </c>
      <c r="K306" s="23" t="str">
        <f t="shared" si="1"/>
        <v>632100</v>
      </c>
      <c r="L306" s="23"/>
      <c r="M306" s="26"/>
      <c r="N306" s="26"/>
      <c r="O306" s="26"/>
      <c r="P306" s="26"/>
      <c r="Q306" s="26"/>
      <c r="R306" s="26"/>
      <c r="S306" s="26"/>
      <c r="T306" s="26"/>
      <c r="U306" s="26"/>
      <c r="V306" s="26"/>
      <c r="W306" s="26"/>
      <c r="X306" s="26"/>
    </row>
    <row r="307" hidden="1">
      <c r="A307" s="10" t="s">
        <v>427</v>
      </c>
      <c r="B307" s="10" t="s">
        <v>1205</v>
      </c>
      <c r="C307" s="27" t="s">
        <v>1206</v>
      </c>
      <c r="D307" s="10" t="s">
        <v>1204</v>
      </c>
      <c r="E307" s="28" t="s">
        <v>534</v>
      </c>
      <c r="F307" s="23" t="s">
        <v>757</v>
      </c>
      <c r="G307" s="23" t="s">
        <v>203</v>
      </c>
      <c r="H307" s="23" t="s">
        <v>1115</v>
      </c>
      <c r="I307" s="32"/>
      <c r="J307" s="23" t="s">
        <v>6</v>
      </c>
      <c r="K307" s="23" t="str">
        <f t="shared" si="1"/>
        <v>636054sa</v>
      </c>
      <c r="L307" s="23"/>
      <c r="M307" s="26"/>
      <c r="N307" s="26"/>
      <c r="O307" s="26"/>
      <c r="P307" s="26"/>
      <c r="Q307" s="26"/>
      <c r="R307" s="26"/>
      <c r="S307" s="26"/>
      <c r="T307" s="26"/>
      <c r="U307" s="26"/>
      <c r="V307" s="26"/>
      <c r="W307" s="26"/>
      <c r="X307" s="26"/>
    </row>
    <row r="308" hidden="1">
      <c r="A308" s="10" t="s">
        <v>427</v>
      </c>
      <c r="B308" s="10" t="s">
        <v>1207</v>
      </c>
      <c r="C308" s="27" t="s">
        <v>1208</v>
      </c>
      <c r="D308" s="10" t="s">
        <v>1209</v>
      </c>
      <c r="E308" s="28" t="s">
        <v>431</v>
      </c>
      <c r="F308" s="23" t="s">
        <v>946</v>
      </c>
      <c r="G308" s="23" t="s">
        <v>203</v>
      </c>
      <c r="H308" s="23" t="s">
        <v>1115</v>
      </c>
      <c r="I308" s="32"/>
      <c r="J308" s="23" t="s">
        <v>6</v>
      </c>
      <c r="K308" s="23" t="str">
        <f t="shared" si="1"/>
        <v>619392</v>
      </c>
      <c r="L308" s="23"/>
      <c r="M308" s="26"/>
      <c r="N308" s="26"/>
      <c r="O308" s="26"/>
      <c r="P308" s="26"/>
      <c r="Q308" s="26"/>
      <c r="R308" s="26"/>
      <c r="S308" s="26"/>
      <c r="T308" s="26"/>
      <c r="U308" s="26"/>
      <c r="V308" s="26"/>
      <c r="W308" s="26"/>
      <c r="X308" s="26"/>
    </row>
    <row r="309" hidden="1">
      <c r="A309" s="10" t="s">
        <v>427</v>
      </c>
      <c r="B309" s="10" t="s">
        <v>1210</v>
      </c>
      <c r="C309" s="27" t="s">
        <v>1211</v>
      </c>
      <c r="D309" s="10" t="s">
        <v>1212</v>
      </c>
      <c r="E309" s="28" t="s">
        <v>534</v>
      </c>
      <c r="F309" s="23" t="s">
        <v>535</v>
      </c>
      <c r="G309" s="23" t="s">
        <v>203</v>
      </c>
      <c r="H309" s="23" t="s">
        <v>1115</v>
      </c>
      <c r="I309" s="32"/>
      <c r="J309" s="23" t="s">
        <v>6</v>
      </c>
      <c r="K309" s="23" t="str">
        <f t="shared" si="1"/>
        <v>673271</v>
      </c>
      <c r="L309" s="23"/>
      <c r="M309" s="26"/>
      <c r="N309" s="26"/>
      <c r="O309" s="26"/>
      <c r="P309" s="26"/>
      <c r="Q309" s="26"/>
      <c r="R309" s="26"/>
      <c r="S309" s="26"/>
      <c r="T309" s="26"/>
      <c r="U309" s="26"/>
      <c r="V309" s="26"/>
      <c r="W309" s="26"/>
      <c r="X309" s="26"/>
    </row>
    <row r="310" hidden="1">
      <c r="A310" s="10" t="s">
        <v>427</v>
      </c>
      <c r="B310" s="10" t="s">
        <v>1213</v>
      </c>
      <c r="C310" s="27" t="s">
        <v>1214</v>
      </c>
      <c r="D310" s="10" t="s">
        <v>1215</v>
      </c>
      <c r="E310" s="28" t="s">
        <v>418</v>
      </c>
      <c r="F310" s="23" t="s">
        <v>419</v>
      </c>
      <c r="G310" s="23" t="s">
        <v>203</v>
      </c>
      <c r="H310" s="23" t="s">
        <v>1115</v>
      </c>
      <c r="I310" s="32"/>
      <c r="J310" s="23" t="s">
        <v>6</v>
      </c>
      <c r="K310" s="23" t="str">
        <f t="shared" si="1"/>
        <v>690537</v>
      </c>
      <c r="L310" s="23"/>
      <c r="M310" s="26"/>
      <c r="N310" s="26"/>
      <c r="O310" s="26"/>
      <c r="P310" s="26"/>
      <c r="Q310" s="26"/>
      <c r="R310" s="26"/>
      <c r="S310" s="26"/>
      <c r="T310" s="26"/>
      <c r="U310" s="26"/>
      <c r="V310" s="26"/>
      <c r="W310" s="26"/>
      <c r="X310" s="26"/>
    </row>
    <row r="311" hidden="1">
      <c r="A311" s="10" t="s">
        <v>414</v>
      </c>
      <c r="B311" s="10" t="s">
        <v>1216</v>
      </c>
      <c r="C311" s="27" t="s">
        <v>1217</v>
      </c>
      <c r="D311" s="10" t="s">
        <v>1218</v>
      </c>
      <c r="E311" s="28" t="s">
        <v>194</v>
      </c>
      <c r="F311" s="23" t="s">
        <v>195</v>
      </c>
      <c r="G311" s="23" t="s">
        <v>203</v>
      </c>
      <c r="H311" s="23" t="s">
        <v>1115</v>
      </c>
      <c r="I311" s="32"/>
      <c r="J311" s="23" t="s">
        <v>6</v>
      </c>
      <c r="K311" s="23" t="str">
        <f t="shared" si="1"/>
        <v>614168p</v>
      </c>
      <c r="L311" s="23"/>
      <c r="M311" s="26"/>
      <c r="N311" s="26"/>
      <c r="O311" s="26"/>
      <c r="P311" s="26"/>
      <c r="Q311" s="26"/>
      <c r="R311" s="26"/>
      <c r="S311" s="26"/>
      <c r="T311" s="26"/>
      <c r="U311" s="26"/>
      <c r="V311" s="26"/>
      <c r="W311" s="26"/>
      <c r="X311" s="26"/>
    </row>
    <row r="312" hidden="1">
      <c r="A312" s="10" t="s">
        <v>414</v>
      </c>
      <c r="B312" s="10" t="s">
        <v>1219</v>
      </c>
      <c r="C312" s="27" t="s">
        <v>1220</v>
      </c>
      <c r="D312" s="10" t="s">
        <v>1221</v>
      </c>
      <c r="E312" s="28" t="s">
        <v>194</v>
      </c>
      <c r="F312" s="23" t="s">
        <v>195</v>
      </c>
      <c r="G312" s="23" t="s">
        <v>203</v>
      </c>
      <c r="H312" s="23" t="s">
        <v>1115</v>
      </c>
      <c r="I312" s="32"/>
      <c r="J312" s="23" t="s">
        <v>6</v>
      </c>
      <c r="K312" s="23" t="str">
        <f t="shared" si="1"/>
        <v>619392p</v>
      </c>
      <c r="L312" s="23"/>
      <c r="M312" s="26"/>
      <c r="N312" s="26"/>
      <c r="O312" s="26"/>
      <c r="P312" s="26"/>
      <c r="Q312" s="26"/>
      <c r="R312" s="26"/>
      <c r="S312" s="26"/>
      <c r="T312" s="26"/>
      <c r="U312" s="26"/>
      <c r="V312" s="26"/>
      <c r="W312" s="26"/>
      <c r="X312" s="26"/>
    </row>
    <row r="313" hidden="1">
      <c r="A313" s="10" t="s">
        <v>414</v>
      </c>
      <c r="B313" s="10" t="s">
        <v>1222</v>
      </c>
      <c r="C313" s="27" t="s">
        <v>1223</v>
      </c>
      <c r="D313" s="10" t="s">
        <v>1224</v>
      </c>
      <c r="E313" s="28" t="s">
        <v>194</v>
      </c>
      <c r="F313" s="23" t="s">
        <v>195</v>
      </c>
      <c r="G313" s="23" t="s">
        <v>203</v>
      </c>
      <c r="H313" s="23" t="s">
        <v>1115</v>
      </c>
      <c r="I313" s="32"/>
      <c r="J313" s="23" t="s">
        <v>6</v>
      </c>
      <c r="K313" s="23" t="str">
        <f t="shared" si="1"/>
        <v>636054p</v>
      </c>
      <c r="L313" s="23"/>
      <c r="M313" s="26"/>
      <c r="N313" s="26"/>
      <c r="O313" s="26"/>
      <c r="P313" s="26"/>
      <c r="Q313" s="26"/>
      <c r="R313" s="26"/>
      <c r="S313" s="26"/>
      <c r="T313" s="26"/>
      <c r="U313" s="26"/>
      <c r="V313" s="26"/>
      <c r="W313" s="26"/>
      <c r="X313" s="26"/>
    </row>
    <row r="314" hidden="1">
      <c r="A314" s="10" t="s">
        <v>414</v>
      </c>
      <c r="B314" s="10" t="s">
        <v>1225</v>
      </c>
      <c r="C314" s="27" t="s">
        <v>1226</v>
      </c>
      <c r="D314" s="10" t="s">
        <v>1227</v>
      </c>
      <c r="E314" s="28" t="s">
        <v>194</v>
      </c>
      <c r="F314" s="23" t="s">
        <v>195</v>
      </c>
      <c r="G314" s="23" t="s">
        <v>203</v>
      </c>
      <c r="H314" s="23" t="s">
        <v>1115</v>
      </c>
      <c r="I314" s="32"/>
      <c r="J314" s="23" t="s">
        <v>6</v>
      </c>
      <c r="K314" s="23" t="str">
        <f t="shared" si="1"/>
        <v>614175p</v>
      </c>
      <c r="L314" s="23"/>
      <c r="M314" s="26"/>
      <c r="N314" s="26"/>
      <c r="O314" s="26"/>
      <c r="P314" s="26"/>
      <c r="Q314" s="26"/>
      <c r="R314" s="26"/>
      <c r="S314" s="26"/>
      <c r="T314" s="26"/>
      <c r="U314" s="26"/>
      <c r="V314" s="26"/>
      <c r="W314" s="26"/>
      <c r="X314" s="26"/>
    </row>
    <row r="315" hidden="1">
      <c r="A315" s="10" t="s">
        <v>414</v>
      </c>
      <c r="B315" s="10" t="s">
        <v>1228</v>
      </c>
      <c r="C315" s="27" t="s">
        <v>1229</v>
      </c>
      <c r="D315" s="10" t="s">
        <v>1230</v>
      </c>
      <c r="E315" s="28" t="s">
        <v>431</v>
      </c>
      <c r="F315" s="23" t="s">
        <v>1231</v>
      </c>
      <c r="G315" s="23" t="s">
        <v>521</v>
      </c>
      <c r="H315" s="23" t="s">
        <v>1115</v>
      </c>
      <c r="I315" s="32"/>
      <c r="J315" s="23" t="s">
        <v>6</v>
      </c>
      <c r="K315" s="23" t="str">
        <f t="shared" si="1"/>
        <v>674896p</v>
      </c>
      <c r="L315" s="23"/>
      <c r="M315" s="26"/>
      <c r="N315" s="26"/>
      <c r="O315" s="26"/>
      <c r="P315" s="26"/>
      <c r="Q315" s="26"/>
      <c r="R315" s="26"/>
      <c r="S315" s="26"/>
      <c r="T315" s="26"/>
      <c r="U315" s="26"/>
      <c r="V315" s="26"/>
      <c r="W315" s="26"/>
      <c r="X315" s="26"/>
    </row>
    <row r="316" hidden="1">
      <c r="A316" s="10" t="s">
        <v>414</v>
      </c>
      <c r="B316" s="10" t="s">
        <v>1232</v>
      </c>
      <c r="C316" s="27" t="s">
        <v>1233</v>
      </c>
      <c r="D316" s="10" t="s">
        <v>1234</v>
      </c>
      <c r="E316" s="28" t="s">
        <v>431</v>
      </c>
      <c r="F316" s="23" t="s">
        <v>1235</v>
      </c>
      <c r="G316" s="23" t="s">
        <v>521</v>
      </c>
      <c r="H316" s="23" t="s">
        <v>1115</v>
      </c>
      <c r="I316" s="32"/>
      <c r="J316" s="23" t="s">
        <v>6</v>
      </c>
      <c r="K316" s="23" t="str">
        <f t="shared" si="1"/>
        <v>678986p</v>
      </c>
      <c r="L316" s="23"/>
      <c r="M316" s="26"/>
      <c r="N316" s="26"/>
      <c r="O316" s="26"/>
      <c r="P316" s="26"/>
      <c r="Q316" s="26"/>
      <c r="R316" s="26"/>
      <c r="S316" s="26"/>
      <c r="T316" s="26"/>
      <c r="U316" s="26"/>
      <c r="V316" s="26"/>
      <c r="W316" s="26"/>
      <c r="X316" s="26"/>
    </row>
    <row r="317" hidden="1">
      <c r="A317" s="10" t="s">
        <v>414</v>
      </c>
      <c r="B317" s="10" t="s">
        <v>1236</v>
      </c>
      <c r="C317" s="27" t="s">
        <v>1237</v>
      </c>
      <c r="D317" s="10" t="s">
        <v>1234</v>
      </c>
      <c r="E317" s="28" t="s">
        <v>534</v>
      </c>
      <c r="F317" s="23" t="s">
        <v>1238</v>
      </c>
      <c r="G317" s="23" t="s">
        <v>521</v>
      </c>
      <c r="H317" s="23" t="s">
        <v>1115</v>
      </c>
      <c r="I317" s="32"/>
      <c r="J317" s="23" t="s">
        <v>6</v>
      </c>
      <c r="K317" s="23" t="str">
        <f t="shared" si="1"/>
        <v>678986s</v>
      </c>
      <c r="L317" s="23"/>
      <c r="M317" s="26"/>
      <c r="N317" s="26"/>
      <c r="O317" s="26"/>
      <c r="P317" s="26"/>
      <c r="Q317" s="26"/>
      <c r="R317" s="26"/>
      <c r="S317" s="26"/>
      <c r="T317" s="26"/>
      <c r="U317" s="26"/>
      <c r="V317" s="26"/>
      <c r="W317" s="26"/>
      <c r="X317" s="26"/>
    </row>
    <row r="318" hidden="1">
      <c r="A318" s="10" t="s">
        <v>414</v>
      </c>
      <c r="B318" s="10" t="s">
        <v>1239</v>
      </c>
      <c r="C318" s="27" t="s">
        <v>1240</v>
      </c>
      <c r="D318" s="10" t="s">
        <v>1241</v>
      </c>
      <c r="E318" s="28" t="s">
        <v>534</v>
      </c>
      <c r="F318" s="23" t="s">
        <v>1242</v>
      </c>
      <c r="G318" s="23" t="s">
        <v>203</v>
      </c>
      <c r="H318" s="23" t="s">
        <v>1115</v>
      </c>
      <c r="I318" s="32"/>
      <c r="J318" s="23" t="s">
        <v>6</v>
      </c>
      <c r="K318" s="23" t="str">
        <f t="shared" si="1"/>
        <v>619415p</v>
      </c>
      <c r="L318" s="23"/>
      <c r="M318" s="26"/>
      <c r="N318" s="26"/>
      <c r="O318" s="26"/>
      <c r="P318" s="26"/>
      <c r="Q318" s="26"/>
      <c r="R318" s="26"/>
      <c r="S318" s="26"/>
      <c r="T318" s="26"/>
      <c r="U318" s="26"/>
      <c r="V318" s="26"/>
      <c r="W318" s="26"/>
      <c r="X318" s="26"/>
    </row>
    <row r="319" hidden="1">
      <c r="A319" s="10" t="s">
        <v>414</v>
      </c>
      <c r="B319" s="10" t="s">
        <v>1243</v>
      </c>
      <c r="C319" s="27" t="s">
        <v>1244</v>
      </c>
      <c r="D319" s="10" t="s">
        <v>1245</v>
      </c>
      <c r="E319" s="28" t="s">
        <v>418</v>
      </c>
      <c r="F319" s="23" t="s">
        <v>977</v>
      </c>
      <c r="G319" s="23" t="s">
        <v>203</v>
      </c>
      <c r="H319" s="23" t="s">
        <v>1115</v>
      </c>
      <c r="I319" s="32"/>
      <c r="J319" s="23" t="s">
        <v>6</v>
      </c>
      <c r="K319" s="23" t="str">
        <f t="shared" si="1"/>
        <v>636054s</v>
      </c>
      <c r="L319" s="23"/>
      <c r="M319" s="26"/>
      <c r="N319" s="26"/>
      <c r="O319" s="26"/>
      <c r="P319" s="26"/>
      <c r="Q319" s="26"/>
      <c r="R319" s="26"/>
      <c r="S319" s="26"/>
      <c r="T319" s="26"/>
      <c r="U319" s="26"/>
      <c r="V319" s="26"/>
      <c r="W319" s="26"/>
      <c r="X319" s="26"/>
    </row>
    <row r="320" hidden="1">
      <c r="A320" s="10" t="s">
        <v>414</v>
      </c>
      <c r="B320" s="10" t="s">
        <v>1246</v>
      </c>
      <c r="C320" s="27" t="s">
        <v>1247</v>
      </c>
      <c r="D320" s="10" t="s">
        <v>1248</v>
      </c>
      <c r="E320" s="28" t="s">
        <v>431</v>
      </c>
      <c r="F320" s="23" t="s">
        <v>1231</v>
      </c>
      <c r="G320" s="23" t="s">
        <v>203</v>
      </c>
      <c r="H320" s="23" t="s">
        <v>1115</v>
      </c>
      <c r="I320" s="32"/>
      <c r="J320" s="23" t="s">
        <v>6</v>
      </c>
      <c r="K320" s="23" t="str">
        <f t="shared" si="1"/>
        <v>614175</v>
      </c>
      <c r="L320" s="23"/>
      <c r="M320" s="26"/>
      <c r="N320" s="26"/>
      <c r="O320" s="26"/>
      <c r="P320" s="26"/>
      <c r="Q320" s="26"/>
      <c r="R320" s="26"/>
      <c r="S320" s="26"/>
      <c r="T320" s="26"/>
      <c r="U320" s="26"/>
      <c r="V320" s="26"/>
      <c r="W320" s="26"/>
      <c r="X320" s="26"/>
    </row>
    <row r="321" hidden="1">
      <c r="A321" s="10" t="s">
        <v>414</v>
      </c>
      <c r="B321" s="10" t="s">
        <v>1249</v>
      </c>
      <c r="C321" s="27" t="s">
        <v>1250</v>
      </c>
      <c r="D321" s="10" t="s">
        <v>1251</v>
      </c>
      <c r="E321" s="28" t="s">
        <v>534</v>
      </c>
      <c r="F321" s="23" t="s">
        <v>535</v>
      </c>
      <c r="G321" s="23" t="s">
        <v>203</v>
      </c>
      <c r="H321" s="23" t="s">
        <v>1115</v>
      </c>
      <c r="I321" s="32"/>
      <c r="J321" s="23" t="s">
        <v>6</v>
      </c>
      <c r="K321" s="23" t="str">
        <f t="shared" si="1"/>
        <v>679044p</v>
      </c>
      <c r="L321" s="23"/>
      <c r="M321" s="26"/>
      <c r="N321" s="26"/>
      <c r="O321" s="26"/>
      <c r="P321" s="26"/>
      <c r="Q321" s="26"/>
      <c r="R321" s="26"/>
      <c r="S321" s="26"/>
      <c r="T321" s="26"/>
      <c r="U321" s="26"/>
      <c r="V321" s="26"/>
      <c r="W321" s="26"/>
      <c r="X321" s="26"/>
    </row>
    <row r="322" hidden="1">
      <c r="A322" s="10" t="s">
        <v>414</v>
      </c>
      <c r="B322" s="10" t="s">
        <v>1252</v>
      </c>
      <c r="C322" s="27" t="s">
        <v>1253</v>
      </c>
      <c r="D322" s="10" t="s">
        <v>1254</v>
      </c>
      <c r="E322" s="28" t="s">
        <v>534</v>
      </c>
      <c r="F322" s="23" t="s">
        <v>757</v>
      </c>
      <c r="G322" s="23" t="s">
        <v>203</v>
      </c>
      <c r="H322" s="23" t="s">
        <v>1115</v>
      </c>
      <c r="I322" s="32"/>
      <c r="J322" s="23" t="s">
        <v>6</v>
      </c>
      <c r="K322" s="23" t="str">
        <f t="shared" si="1"/>
        <v>690544p</v>
      </c>
      <c r="L322" s="23"/>
      <c r="M322" s="26"/>
      <c r="N322" s="26"/>
      <c r="O322" s="26"/>
      <c r="P322" s="26"/>
      <c r="Q322" s="26"/>
      <c r="R322" s="26"/>
      <c r="S322" s="26"/>
      <c r="T322" s="26"/>
      <c r="U322" s="26"/>
      <c r="V322" s="26"/>
      <c r="W322" s="26"/>
      <c r="X322" s="26"/>
    </row>
    <row r="323" hidden="1">
      <c r="A323" s="10" t="s">
        <v>414</v>
      </c>
      <c r="B323" s="10" t="s">
        <v>1255</v>
      </c>
      <c r="C323" s="27" t="s">
        <v>1256</v>
      </c>
      <c r="D323" s="10" t="s">
        <v>1257</v>
      </c>
      <c r="E323" s="28" t="s">
        <v>418</v>
      </c>
      <c r="F323" s="23" t="s">
        <v>419</v>
      </c>
      <c r="G323" s="23" t="s">
        <v>203</v>
      </c>
      <c r="H323" s="23" t="s">
        <v>1115</v>
      </c>
      <c r="I323" s="32"/>
      <c r="J323" s="23" t="s">
        <v>6</v>
      </c>
      <c r="K323" s="23" t="str">
        <f t="shared" si="1"/>
        <v>690537p</v>
      </c>
      <c r="L323" s="23"/>
      <c r="M323" s="26"/>
      <c r="N323" s="26"/>
      <c r="O323" s="26"/>
      <c r="P323" s="26"/>
      <c r="Q323" s="26"/>
      <c r="R323" s="26"/>
      <c r="S323" s="26"/>
      <c r="T323" s="26"/>
      <c r="U323" s="26"/>
      <c r="V323" s="26"/>
      <c r="W323" s="26"/>
      <c r="X323" s="26"/>
    </row>
    <row r="324" hidden="1">
      <c r="A324" s="10" t="s">
        <v>414</v>
      </c>
      <c r="B324" s="10" t="s">
        <v>1258</v>
      </c>
      <c r="C324" s="27" t="s">
        <v>1259</v>
      </c>
      <c r="D324" s="10" t="s">
        <v>1260</v>
      </c>
      <c r="E324" s="28" t="s">
        <v>418</v>
      </c>
      <c r="F324" s="23" t="s">
        <v>419</v>
      </c>
      <c r="G324" s="23" t="s">
        <v>203</v>
      </c>
      <c r="H324" s="23" t="s">
        <v>1115</v>
      </c>
      <c r="I324" s="32"/>
      <c r="J324" s="23" t="s">
        <v>6</v>
      </c>
      <c r="K324" s="23" t="str">
        <f t="shared" si="1"/>
        <v>673271p</v>
      </c>
      <c r="L324" s="23"/>
      <c r="M324" s="26"/>
      <c r="N324" s="26"/>
      <c r="O324" s="26"/>
      <c r="P324" s="26"/>
      <c r="Q324" s="26"/>
      <c r="R324" s="26"/>
      <c r="S324" s="26"/>
      <c r="T324" s="26"/>
      <c r="U324" s="26"/>
      <c r="V324" s="26"/>
      <c r="W324" s="26"/>
      <c r="X324" s="26"/>
    </row>
    <row r="325" hidden="1">
      <c r="A325" s="10" t="s">
        <v>190</v>
      </c>
      <c r="B325" s="10" t="s">
        <v>1261</v>
      </c>
      <c r="C325" s="27" t="s">
        <v>1262</v>
      </c>
      <c r="D325" s="10" t="s">
        <v>1263</v>
      </c>
      <c r="E325" s="28" t="s">
        <v>194</v>
      </c>
      <c r="F325" s="23" t="s">
        <v>195</v>
      </c>
      <c r="G325" s="23" t="s">
        <v>203</v>
      </c>
      <c r="H325" s="23" t="s">
        <v>293</v>
      </c>
      <c r="I325" s="23" t="s">
        <v>1264</v>
      </c>
      <c r="J325" s="23" t="s">
        <v>198</v>
      </c>
      <c r="K325" s="23" t="str">
        <f t="shared" si="1"/>
        <v>681238c</v>
      </c>
      <c r="L325" s="23"/>
      <c r="M325" s="26"/>
      <c r="N325" s="26"/>
      <c r="O325" s="26"/>
      <c r="P325" s="26"/>
      <c r="Q325" s="26"/>
      <c r="R325" s="26"/>
      <c r="S325" s="26"/>
      <c r="T325" s="26"/>
      <c r="U325" s="26"/>
      <c r="V325" s="26"/>
      <c r="W325" s="26"/>
      <c r="X325" s="26"/>
    </row>
    <row r="326" hidden="1">
      <c r="A326" s="10" t="s">
        <v>190</v>
      </c>
      <c r="B326" s="10" t="s">
        <v>1265</v>
      </c>
      <c r="C326" s="27" t="s">
        <v>1266</v>
      </c>
      <c r="D326" s="10" t="s">
        <v>1267</v>
      </c>
      <c r="E326" s="28" t="s">
        <v>194</v>
      </c>
      <c r="F326" s="23" t="s">
        <v>195</v>
      </c>
      <c r="G326" s="23" t="s">
        <v>203</v>
      </c>
      <c r="H326" s="23" t="s">
        <v>293</v>
      </c>
      <c r="I326" s="23" t="s">
        <v>294</v>
      </c>
      <c r="J326" s="23" t="s">
        <v>238</v>
      </c>
      <c r="K326" s="23" t="str">
        <f t="shared" si="1"/>
        <v>681443c</v>
      </c>
      <c r="L326" s="23"/>
      <c r="M326" s="26"/>
      <c r="N326" s="26"/>
      <c r="O326" s="26"/>
      <c r="P326" s="26"/>
      <c r="Q326" s="26"/>
      <c r="R326" s="26"/>
      <c r="S326" s="26"/>
      <c r="T326" s="26"/>
      <c r="U326" s="26"/>
      <c r="V326" s="26"/>
      <c r="W326" s="26"/>
      <c r="X326" s="26"/>
    </row>
    <row r="327" hidden="1">
      <c r="A327" s="10" t="s">
        <v>190</v>
      </c>
      <c r="B327" s="10" t="s">
        <v>1268</v>
      </c>
      <c r="C327" s="27" t="s">
        <v>1269</v>
      </c>
      <c r="D327" s="10" t="s">
        <v>1270</v>
      </c>
      <c r="E327" s="28" t="s">
        <v>194</v>
      </c>
      <c r="F327" s="23" t="s">
        <v>195</v>
      </c>
      <c r="G327" s="23" t="s">
        <v>203</v>
      </c>
      <c r="H327" s="23" t="s">
        <v>293</v>
      </c>
      <c r="I327" s="23" t="s">
        <v>1264</v>
      </c>
      <c r="J327" s="23" t="s">
        <v>198</v>
      </c>
      <c r="K327" s="23" t="str">
        <f t="shared" si="1"/>
        <v>681238</v>
      </c>
      <c r="L327" s="23"/>
      <c r="M327" s="26"/>
      <c r="N327" s="26"/>
      <c r="O327" s="26"/>
      <c r="P327" s="26"/>
      <c r="Q327" s="26"/>
      <c r="R327" s="26"/>
      <c r="S327" s="26"/>
      <c r="T327" s="26"/>
      <c r="U327" s="26"/>
      <c r="V327" s="26"/>
      <c r="W327" s="26"/>
      <c r="X327" s="26"/>
    </row>
    <row r="328" hidden="1">
      <c r="A328" s="10" t="s">
        <v>190</v>
      </c>
      <c r="B328" s="10" t="s">
        <v>1271</v>
      </c>
      <c r="C328" s="27" t="s">
        <v>1272</v>
      </c>
      <c r="D328" s="10" t="s">
        <v>1273</v>
      </c>
      <c r="E328" s="28" t="s">
        <v>194</v>
      </c>
      <c r="F328" s="23" t="s">
        <v>195</v>
      </c>
      <c r="G328" s="23" t="s">
        <v>203</v>
      </c>
      <c r="H328" s="23" t="s">
        <v>293</v>
      </c>
      <c r="I328" s="23" t="s">
        <v>1264</v>
      </c>
      <c r="J328" s="23" t="s">
        <v>198</v>
      </c>
      <c r="K328" s="23" t="str">
        <f t="shared" si="1"/>
        <v>681252</v>
      </c>
      <c r="L328" s="23"/>
      <c r="M328" s="26"/>
      <c r="N328" s="26"/>
      <c r="O328" s="26"/>
      <c r="P328" s="26"/>
      <c r="Q328" s="26"/>
      <c r="R328" s="26"/>
      <c r="S328" s="26"/>
      <c r="T328" s="26"/>
      <c r="U328" s="26"/>
      <c r="V328" s="26"/>
      <c r="W328" s="26"/>
      <c r="X328" s="26"/>
    </row>
    <row r="329" hidden="1">
      <c r="A329" s="10" t="s">
        <v>190</v>
      </c>
      <c r="B329" s="10" t="s">
        <v>1274</v>
      </c>
      <c r="C329" s="27" t="s">
        <v>1275</v>
      </c>
      <c r="D329" s="10" t="s">
        <v>1276</v>
      </c>
      <c r="E329" s="28" t="s">
        <v>194</v>
      </c>
      <c r="F329" s="23" t="s">
        <v>195</v>
      </c>
      <c r="G329" s="23" t="s">
        <v>203</v>
      </c>
      <c r="H329" s="23" t="s">
        <v>293</v>
      </c>
      <c r="I329" s="23" t="s">
        <v>1264</v>
      </c>
      <c r="J329" s="23" t="s">
        <v>198</v>
      </c>
      <c r="K329" s="23" t="str">
        <f t="shared" si="1"/>
        <v>681252c</v>
      </c>
      <c r="L329" s="23"/>
      <c r="M329" s="26"/>
      <c r="N329" s="26"/>
      <c r="O329" s="26"/>
      <c r="P329" s="26"/>
      <c r="Q329" s="26"/>
      <c r="R329" s="26"/>
      <c r="S329" s="26"/>
      <c r="T329" s="26"/>
      <c r="U329" s="26"/>
      <c r="V329" s="26"/>
      <c r="W329" s="26"/>
      <c r="X329" s="26"/>
    </row>
    <row r="330" hidden="1">
      <c r="A330" s="10" t="s">
        <v>190</v>
      </c>
      <c r="B330" s="10" t="s">
        <v>1277</v>
      </c>
      <c r="C330" s="27" t="s">
        <v>1278</v>
      </c>
      <c r="D330" s="10" t="s">
        <v>1279</v>
      </c>
      <c r="E330" s="28" t="s">
        <v>194</v>
      </c>
      <c r="F330" s="23" t="s">
        <v>195</v>
      </c>
      <c r="G330" s="23" t="s">
        <v>203</v>
      </c>
      <c r="H330" s="23" t="s">
        <v>293</v>
      </c>
      <c r="I330" s="23" t="s">
        <v>294</v>
      </c>
      <c r="J330" s="23" t="s">
        <v>238</v>
      </c>
      <c r="K330" s="23" t="str">
        <f t="shared" si="1"/>
        <v>681399aa</v>
      </c>
      <c r="L330" s="23"/>
      <c r="M330" s="26"/>
      <c r="N330" s="26"/>
      <c r="O330" s="26"/>
      <c r="P330" s="26"/>
      <c r="Q330" s="26"/>
      <c r="R330" s="26"/>
      <c r="S330" s="26"/>
      <c r="T330" s="26"/>
      <c r="U330" s="26"/>
      <c r="V330" s="26"/>
      <c r="W330" s="26"/>
      <c r="X330" s="26"/>
    </row>
    <row r="331" hidden="1">
      <c r="A331" s="10" t="s">
        <v>190</v>
      </c>
      <c r="B331" s="10" t="s">
        <v>1280</v>
      </c>
      <c r="C331" s="27" t="s">
        <v>1281</v>
      </c>
      <c r="D331" s="10" t="s">
        <v>1282</v>
      </c>
      <c r="E331" s="28" t="s">
        <v>194</v>
      </c>
      <c r="F331" s="23" t="s">
        <v>195</v>
      </c>
      <c r="G331" s="23" t="s">
        <v>203</v>
      </c>
      <c r="H331" s="23" t="s">
        <v>293</v>
      </c>
      <c r="I331" s="23" t="s">
        <v>294</v>
      </c>
      <c r="J331" s="23" t="s">
        <v>238</v>
      </c>
      <c r="K331" s="23" t="str">
        <f t="shared" si="1"/>
        <v>681382aa</v>
      </c>
      <c r="L331" s="23"/>
      <c r="M331" s="26"/>
      <c r="N331" s="26"/>
      <c r="O331" s="26"/>
      <c r="P331" s="26"/>
      <c r="Q331" s="26"/>
      <c r="R331" s="26"/>
      <c r="S331" s="26"/>
      <c r="T331" s="26"/>
      <c r="U331" s="26"/>
      <c r="V331" s="26"/>
      <c r="W331" s="26"/>
      <c r="X331" s="26"/>
    </row>
    <row r="332" hidden="1">
      <c r="A332" s="10" t="s">
        <v>190</v>
      </c>
      <c r="B332" s="10" t="s">
        <v>1283</v>
      </c>
      <c r="C332" s="27" t="s">
        <v>1284</v>
      </c>
      <c r="D332" s="10" t="s">
        <v>1285</v>
      </c>
      <c r="E332" s="28" t="s">
        <v>194</v>
      </c>
      <c r="F332" s="23" t="s">
        <v>195</v>
      </c>
      <c r="G332" s="23" t="s">
        <v>203</v>
      </c>
      <c r="H332" s="23" t="s">
        <v>293</v>
      </c>
      <c r="I332" s="23" t="s">
        <v>294</v>
      </c>
      <c r="J332" s="23" t="s">
        <v>238</v>
      </c>
      <c r="K332" s="23" t="str">
        <f t="shared" si="1"/>
        <v>681412aa</v>
      </c>
      <c r="L332" s="23"/>
      <c r="M332" s="26"/>
      <c r="N332" s="26"/>
      <c r="O332" s="26"/>
      <c r="P332" s="26"/>
      <c r="Q332" s="26"/>
      <c r="R332" s="26"/>
      <c r="S332" s="26"/>
      <c r="T332" s="26"/>
      <c r="U332" s="26"/>
      <c r="V332" s="26"/>
      <c r="W332" s="26"/>
      <c r="X332" s="26"/>
    </row>
    <row r="333" hidden="1">
      <c r="A333" s="10" t="s">
        <v>190</v>
      </c>
      <c r="B333" s="10" t="s">
        <v>1286</v>
      </c>
      <c r="C333" s="27" t="s">
        <v>1287</v>
      </c>
      <c r="D333" s="10" t="s">
        <v>1288</v>
      </c>
      <c r="E333" s="28" t="s">
        <v>194</v>
      </c>
      <c r="F333" s="23" t="s">
        <v>195</v>
      </c>
      <c r="G333" s="23" t="s">
        <v>203</v>
      </c>
      <c r="H333" s="23" t="s">
        <v>293</v>
      </c>
      <c r="I333" s="23" t="s">
        <v>294</v>
      </c>
      <c r="J333" s="23" t="s">
        <v>238</v>
      </c>
      <c r="K333" s="23" t="str">
        <f t="shared" si="1"/>
        <v>681443</v>
      </c>
      <c r="L333" s="23"/>
      <c r="M333" s="26"/>
      <c r="N333" s="26"/>
      <c r="O333" s="26"/>
      <c r="P333" s="26"/>
      <c r="Q333" s="26"/>
      <c r="R333" s="26"/>
      <c r="S333" s="26"/>
      <c r="T333" s="26"/>
      <c r="U333" s="26"/>
      <c r="V333" s="26"/>
      <c r="W333" s="26"/>
      <c r="X333" s="26"/>
    </row>
    <row r="334" hidden="1">
      <c r="A334" s="10" t="s">
        <v>190</v>
      </c>
      <c r="B334" s="10" t="s">
        <v>1289</v>
      </c>
      <c r="C334" s="27" t="s">
        <v>1290</v>
      </c>
      <c r="D334" s="10" t="s">
        <v>1291</v>
      </c>
      <c r="E334" s="28" t="s">
        <v>194</v>
      </c>
      <c r="F334" s="23" t="s">
        <v>195</v>
      </c>
      <c r="G334" s="23" t="s">
        <v>203</v>
      </c>
      <c r="H334" s="23" t="s">
        <v>293</v>
      </c>
      <c r="I334" s="23" t="s">
        <v>294</v>
      </c>
      <c r="J334" s="23" t="s">
        <v>238</v>
      </c>
      <c r="K334" s="23" t="str">
        <f t="shared" si="1"/>
        <v>681429aa</v>
      </c>
      <c r="L334" s="23"/>
      <c r="M334" s="26"/>
      <c r="N334" s="26"/>
      <c r="O334" s="26"/>
      <c r="P334" s="26"/>
      <c r="Q334" s="26"/>
      <c r="R334" s="26"/>
      <c r="S334" s="26"/>
      <c r="T334" s="26"/>
      <c r="U334" s="26"/>
      <c r="V334" s="26"/>
      <c r="W334" s="26"/>
      <c r="X334" s="26"/>
    </row>
    <row r="335" hidden="1">
      <c r="A335" s="10" t="s">
        <v>190</v>
      </c>
      <c r="B335" s="10" t="s">
        <v>1292</v>
      </c>
      <c r="C335" s="27" t="s">
        <v>1293</v>
      </c>
      <c r="D335" s="10" t="s">
        <v>1294</v>
      </c>
      <c r="E335" s="28" t="s">
        <v>194</v>
      </c>
      <c r="F335" s="23" t="s">
        <v>195</v>
      </c>
      <c r="G335" s="23" t="s">
        <v>203</v>
      </c>
      <c r="H335" s="23" t="s">
        <v>293</v>
      </c>
      <c r="I335" s="23" t="s">
        <v>294</v>
      </c>
      <c r="J335" s="23" t="s">
        <v>238</v>
      </c>
      <c r="K335" s="23" t="str">
        <f t="shared" si="1"/>
        <v>681405a</v>
      </c>
      <c r="L335" s="23"/>
      <c r="M335" s="26"/>
      <c r="N335" s="26"/>
      <c r="O335" s="26"/>
      <c r="P335" s="26"/>
      <c r="Q335" s="26"/>
      <c r="R335" s="26"/>
      <c r="S335" s="26"/>
      <c r="T335" s="26"/>
      <c r="U335" s="26"/>
      <c r="V335" s="26"/>
      <c r="W335" s="26"/>
      <c r="X335" s="26"/>
    </row>
    <row r="336" hidden="1">
      <c r="A336" s="10" t="s">
        <v>499</v>
      </c>
      <c r="B336" s="10" t="s">
        <v>1295</v>
      </c>
      <c r="C336" s="27" t="s">
        <v>1296</v>
      </c>
      <c r="D336" s="10" t="s">
        <v>1297</v>
      </c>
      <c r="E336" s="28" t="s">
        <v>194</v>
      </c>
      <c r="F336" s="23" t="s">
        <v>195</v>
      </c>
      <c r="G336" s="23" t="s">
        <v>203</v>
      </c>
      <c r="H336" s="23" t="s">
        <v>293</v>
      </c>
      <c r="I336" s="32"/>
      <c r="J336" s="23" t="s">
        <v>6</v>
      </c>
      <c r="K336" s="23" t="str">
        <f t="shared" si="1"/>
        <v>690629c</v>
      </c>
      <c r="L336" s="23"/>
      <c r="M336" s="26"/>
      <c r="N336" s="26"/>
      <c r="O336" s="26"/>
      <c r="P336" s="26"/>
      <c r="Q336" s="26"/>
      <c r="R336" s="26"/>
      <c r="S336" s="26"/>
      <c r="T336" s="26"/>
      <c r="U336" s="26"/>
      <c r="V336" s="26"/>
      <c r="W336" s="26"/>
      <c r="X336" s="26"/>
    </row>
    <row r="337" hidden="1">
      <c r="A337" s="10" t="s">
        <v>499</v>
      </c>
      <c r="B337" s="10" t="s">
        <v>1298</v>
      </c>
      <c r="C337" s="27" t="s">
        <v>1299</v>
      </c>
      <c r="D337" s="10" t="s">
        <v>1300</v>
      </c>
      <c r="E337" s="28" t="s">
        <v>194</v>
      </c>
      <c r="F337" s="23" t="s">
        <v>525</v>
      </c>
      <c r="G337" s="23" t="s">
        <v>203</v>
      </c>
      <c r="H337" s="23" t="s">
        <v>293</v>
      </c>
      <c r="I337" s="32"/>
      <c r="J337" s="23" t="s">
        <v>6</v>
      </c>
      <c r="K337" s="23" t="str">
        <f t="shared" si="1"/>
        <v>648484</v>
      </c>
      <c r="L337" s="23"/>
      <c r="M337" s="26"/>
      <c r="N337" s="26"/>
      <c r="O337" s="26"/>
      <c r="P337" s="26"/>
      <c r="Q337" s="26"/>
      <c r="R337" s="26"/>
      <c r="S337" s="26"/>
      <c r="T337" s="26"/>
      <c r="U337" s="26"/>
      <c r="V337" s="26"/>
      <c r="W337" s="26"/>
      <c r="X337" s="26"/>
    </row>
    <row r="338" hidden="1">
      <c r="A338" s="10" t="s">
        <v>499</v>
      </c>
      <c r="B338" s="10" t="s">
        <v>1301</v>
      </c>
      <c r="C338" s="27" t="s">
        <v>1302</v>
      </c>
      <c r="D338" s="10" t="s">
        <v>1303</v>
      </c>
      <c r="E338" s="28" t="s">
        <v>194</v>
      </c>
      <c r="F338" s="23" t="s">
        <v>525</v>
      </c>
      <c r="G338" s="23" t="s">
        <v>203</v>
      </c>
      <c r="H338" s="23" t="s">
        <v>293</v>
      </c>
      <c r="I338" s="32"/>
      <c r="J338" s="23" t="s">
        <v>6</v>
      </c>
      <c r="K338" s="23" t="str">
        <f t="shared" si="1"/>
        <v>668246</v>
      </c>
      <c r="L338" s="23"/>
      <c r="M338" s="26"/>
      <c r="N338" s="26"/>
      <c r="O338" s="26"/>
      <c r="P338" s="26"/>
      <c r="Q338" s="26"/>
      <c r="R338" s="26"/>
      <c r="S338" s="26"/>
      <c r="T338" s="26"/>
      <c r="U338" s="26"/>
      <c r="V338" s="26"/>
      <c r="W338" s="26"/>
      <c r="X338" s="26"/>
    </row>
    <row r="339" hidden="1">
      <c r="A339" s="10" t="s">
        <v>499</v>
      </c>
      <c r="B339" s="10" t="s">
        <v>1304</v>
      </c>
      <c r="C339" s="27" t="s">
        <v>1305</v>
      </c>
      <c r="D339" s="10" t="s">
        <v>1306</v>
      </c>
      <c r="E339" s="28" t="s">
        <v>194</v>
      </c>
      <c r="F339" s="23" t="s">
        <v>195</v>
      </c>
      <c r="G339" s="23" t="s">
        <v>203</v>
      </c>
      <c r="H339" s="23" t="s">
        <v>293</v>
      </c>
      <c r="I339" s="32"/>
      <c r="J339" s="23" t="s">
        <v>6</v>
      </c>
      <c r="K339" s="23" t="str">
        <f t="shared" si="1"/>
        <v>604985</v>
      </c>
      <c r="L339" s="23"/>
      <c r="M339" s="26"/>
      <c r="N339" s="26"/>
      <c r="O339" s="26"/>
      <c r="P339" s="26"/>
      <c r="Q339" s="26"/>
      <c r="R339" s="26"/>
      <c r="S339" s="26"/>
      <c r="T339" s="26"/>
      <c r="U339" s="26"/>
      <c r="V339" s="26"/>
      <c r="W339" s="26"/>
      <c r="X339" s="26"/>
    </row>
    <row r="340" hidden="1">
      <c r="A340" s="10" t="s">
        <v>414</v>
      </c>
      <c r="B340" s="10" t="s">
        <v>1307</v>
      </c>
      <c r="C340" s="27" t="s">
        <v>1308</v>
      </c>
      <c r="D340" s="10" t="s">
        <v>1309</v>
      </c>
      <c r="E340" s="28" t="s">
        <v>534</v>
      </c>
      <c r="F340" s="23" t="s">
        <v>535</v>
      </c>
      <c r="G340" s="23" t="s">
        <v>203</v>
      </c>
      <c r="H340" s="23" t="s">
        <v>293</v>
      </c>
      <c r="I340" s="32"/>
      <c r="J340" s="23" t="s">
        <v>6</v>
      </c>
      <c r="K340" s="23" t="str">
        <f t="shared" si="1"/>
        <v>648484p</v>
      </c>
      <c r="L340" s="23"/>
      <c r="M340" s="26"/>
      <c r="N340" s="26"/>
      <c r="O340" s="26"/>
      <c r="P340" s="26"/>
      <c r="Q340" s="26"/>
      <c r="R340" s="26"/>
      <c r="S340" s="26"/>
      <c r="T340" s="26"/>
      <c r="U340" s="26"/>
      <c r="V340" s="26"/>
      <c r="W340" s="26"/>
      <c r="X340" s="26"/>
    </row>
    <row r="341" hidden="1">
      <c r="A341" s="10" t="s">
        <v>414</v>
      </c>
      <c r="B341" s="10" t="s">
        <v>1310</v>
      </c>
      <c r="C341" s="27" t="s">
        <v>1311</v>
      </c>
      <c r="D341" s="10" t="s">
        <v>1312</v>
      </c>
      <c r="E341" s="28" t="s">
        <v>534</v>
      </c>
      <c r="F341" s="23" t="s">
        <v>535</v>
      </c>
      <c r="G341" s="23" t="s">
        <v>203</v>
      </c>
      <c r="H341" s="23" t="s">
        <v>293</v>
      </c>
      <c r="I341" s="32"/>
      <c r="J341" s="23" t="s">
        <v>6</v>
      </c>
      <c r="K341" s="23" t="str">
        <f t="shared" si="1"/>
        <v>668246p</v>
      </c>
      <c r="L341" s="23"/>
      <c r="M341" s="26"/>
      <c r="N341" s="26"/>
      <c r="O341" s="26"/>
      <c r="P341" s="26"/>
      <c r="Q341" s="26"/>
      <c r="R341" s="26"/>
      <c r="S341" s="26"/>
      <c r="T341" s="26"/>
      <c r="U341" s="26"/>
      <c r="V341" s="26"/>
      <c r="W341" s="26"/>
      <c r="X341" s="26"/>
    </row>
    <row r="342" hidden="1">
      <c r="A342" s="10" t="s">
        <v>414</v>
      </c>
      <c r="B342" s="10" t="s">
        <v>1313</v>
      </c>
      <c r="C342" s="27" t="s">
        <v>1314</v>
      </c>
      <c r="D342" s="10" t="s">
        <v>1315</v>
      </c>
      <c r="E342" s="28" t="s">
        <v>194</v>
      </c>
      <c r="F342" s="23" t="s">
        <v>195</v>
      </c>
      <c r="G342" s="23" t="s">
        <v>203</v>
      </c>
      <c r="H342" s="23" t="s">
        <v>293</v>
      </c>
      <c r="I342" s="32"/>
      <c r="J342" s="23" t="s">
        <v>6</v>
      </c>
      <c r="K342" s="23" t="str">
        <f t="shared" si="1"/>
        <v>604985p</v>
      </c>
      <c r="L342" s="23"/>
      <c r="M342" s="26"/>
      <c r="N342" s="26"/>
      <c r="O342" s="26"/>
      <c r="P342" s="26"/>
      <c r="Q342" s="26"/>
      <c r="R342" s="26"/>
      <c r="S342" s="26"/>
      <c r="T342" s="26"/>
      <c r="U342" s="26"/>
      <c r="V342" s="26"/>
      <c r="W342" s="26"/>
      <c r="X342" s="26"/>
    </row>
    <row r="343" hidden="1">
      <c r="A343" s="10" t="s">
        <v>427</v>
      </c>
      <c r="B343" s="10" t="s">
        <v>1316</v>
      </c>
      <c r="C343" s="27" t="s">
        <v>1317</v>
      </c>
      <c r="D343" s="10" t="s">
        <v>1318</v>
      </c>
      <c r="E343" s="28" t="s">
        <v>1319</v>
      </c>
      <c r="F343" s="23" t="s">
        <v>1320</v>
      </c>
      <c r="G343" s="23" t="s">
        <v>521</v>
      </c>
      <c r="H343" s="23" t="s">
        <v>1321</v>
      </c>
      <c r="I343" s="32"/>
      <c r="J343" s="23" t="s">
        <v>6</v>
      </c>
      <c r="K343" s="23" t="str">
        <f t="shared" si="1"/>
        <v>682815</v>
      </c>
      <c r="L343" s="23"/>
      <c r="M343" s="26"/>
      <c r="N343" s="26"/>
      <c r="O343" s="26"/>
      <c r="P343" s="26"/>
      <c r="Q343" s="26"/>
      <c r="R343" s="26"/>
      <c r="S343" s="26"/>
      <c r="T343" s="26"/>
      <c r="U343" s="26"/>
      <c r="V343" s="26"/>
      <c r="W343" s="26"/>
      <c r="X343" s="26"/>
    </row>
    <row r="344" hidden="1">
      <c r="A344" s="10" t="s">
        <v>427</v>
      </c>
      <c r="B344" s="10" t="s">
        <v>1322</v>
      </c>
      <c r="C344" s="27" t="s">
        <v>1323</v>
      </c>
      <c r="D344" s="10" t="s">
        <v>1324</v>
      </c>
      <c r="E344" s="28" t="s">
        <v>580</v>
      </c>
      <c r="F344" s="23" t="s">
        <v>585</v>
      </c>
      <c r="G344" s="23" t="s">
        <v>521</v>
      </c>
      <c r="H344" s="23" t="s">
        <v>1321</v>
      </c>
      <c r="I344" s="32"/>
      <c r="J344" s="23" t="s">
        <v>6</v>
      </c>
      <c r="K344" s="23" t="str">
        <f t="shared" si="1"/>
        <v>673363s</v>
      </c>
      <c r="L344" s="23"/>
      <c r="M344" s="26"/>
      <c r="N344" s="26"/>
      <c r="O344" s="26"/>
      <c r="P344" s="26"/>
      <c r="Q344" s="26"/>
      <c r="R344" s="26"/>
      <c r="S344" s="26"/>
      <c r="T344" s="26"/>
      <c r="U344" s="26"/>
      <c r="V344" s="26"/>
      <c r="W344" s="26"/>
      <c r="X344" s="26"/>
    </row>
    <row r="345" hidden="1">
      <c r="A345" s="10" t="s">
        <v>190</v>
      </c>
      <c r="B345" s="10" t="s">
        <v>1325</v>
      </c>
      <c r="C345" s="27" t="s">
        <v>317</v>
      </c>
      <c r="D345" s="10" t="s">
        <v>316</v>
      </c>
      <c r="E345" s="28" t="s">
        <v>194</v>
      </c>
      <c r="F345" s="23" t="s">
        <v>195</v>
      </c>
      <c r="G345" s="23" t="s">
        <v>401</v>
      </c>
      <c r="H345" s="23" t="s">
        <v>402</v>
      </c>
      <c r="I345" s="32"/>
      <c r="J345" s="23" t="s">
        <v>198</v>
      </c>
      <c r="K345" s="23" t="str">
        <f t="shared" si="1"/>
        <v>690629</v>
      </c>
      <c r="L345" s="23"/>
      <c r="M345" s="26"/>
      <c r="N345" s="26"/>
      <c r="O345" s="26"/>
      <c r="P345" s="26"/>
      <c r="Q345" s="26"/>
      <c r="R345" s="26"/>
      <c r="S345" s="26"/>
      <c r="T345" s="26"/>
      <c r="U345" s="26"/>
      <c r="V345" s="26"/>
      <c r="W345" s="26"/>
      <c r="X345" s="26"/>
    </row>
    <row r="346" hidden="1">
      <c r="A346" s="10" t="s">
        <v>190</v>
      </c>
      <c r="B346" s="10" t="s">
        <v>1326</v>
      </c>
      <c r="C346" s="27" t="s">
        <v>326</v>
      </c>
      <c r="D346" s="10" t="s">
        <v>325</v>
      </c>
      <c r="E346" s="28" t="s">
        <v>194</v>
      </c>
      <c r="F346" s="23" t="s">
        <v>195</v>
      </c>
      <c r="G346" s="23" t="s">
        <v>401</v>
      </c>
      <c r="H346" s="23" t="s">
        <v>402</v>
      </c>
      <c r="I346" s="32"/>
      <c r="J346" s="23" t="s">
        <v>198</v>
      </c>
      <c r="K346" s="23" t="str">
        <f t="shared" si="1"/>
        <v>690124</v>
      </c>
      <c r="L346" s="23"/>
      <c r="M346" s="26"/>
      <c r="N346" s="26"/>
      <c r="O346" s="26"/>
      <c r="P346" s="26"/>
      <c r="Q346" s="26"/>
      <c r="R346" s="26"/>
      <c r="S346" s="26"/>
      <c r="T346" s="26"/>
      <c r="U346" s="26"/>
      <c r="V346" s="26"/>
      <c r="W346" s="26"/>
      <c r="X346" s="26"/>
    </row>
    <row r="347" hidden="1">
      <c r="A347" s="10" t="s">
        <v>190</v>
      </c>
      <c r="B347" s="10" t="s">
        <v>1327</v>
      </c>
      <c r="C347" s="27" t="s">
        <v>1328</v>
      </c>
      <c r="D347" s="10" t="s">
        <v>1329</v>
      </c>
      <c r="E347" s="28" t="s">
        <v>194</v>
      </c>
      <c r="F347" s="23" t="s">
        <v>195</v>
      </c>
      <c r="G347" s="23" t="s">
        <v>203</v>
      </c>
      <c r="H347" s="23" t="s">
        <v>233</v>
      </c>
      <c r="I347" s="23" t="s">
        <v>280</v>
      </c>
      <c r="J347" s="23" t="s">
        <v>238</v>
      </c>
      <c r="K347" s="23" t="str">
        <f t="shared" si="1"/>
        <v>688299a</v>
      </c>
      <c r="L347" s="23"/>
      <c r="M347" s="26"/>
      <c r="N347" s="26"/>
      <c r="O347" s="26"/>
      <c r="P347" s="26"/>
      <c r="Q347" s="26"/>
      <c r="R347" s="26"/>
      <c r="S347" s="26"/>
      <c r="T347" s="26"/>
      <c r="U347" s="26"/>
      <c r="V347" s="26"/>
      <c r="W347" s="26"/>
      <c r="X347" s="26"/>
    </row>
    <row r="348" hidden="1">
      <c r="A348" s="10" t="s">
        <v>190</v>
      </c>
      <c r="B348" s="10" t="s">
        <v>1330</v>
      </c>
      <c r="C348" s="27" t="s">
        <v>1331</v>
      </c>
      <c r="D348" s="10" t="s">
        <v>1332</v>
      </c>
      <c r="E348" s="28" t="s">
        <v>194</v>
      </c>
      <c r="F348" s="23" t="s">
        <v>195</v>
      </c>
      <c r="G348" s="23" t="s">
        <v>203</v>
      </c>
      <c r="H348" s="23" t="s">
        <v>233</v>
      </c>
      <c r="I348" s="32"/>
      <c r="J348" s="23" t="s">
        <v>238</v>
      </c>
      <c r="K348" s="23" t="str">
        <f t="shared" si="1"/>
        <v>681160c</v>
      </c>
      <c r="L348" s="23"/>
      <c r="M348" s="23"/>
      <c r="N348" s="23"/>
      <c r="O348" s="23"/>
      <c r="P348" s="23"/>
      <c r="Q348" s="23"/>
      <c r="R348" s="23"/>
      <c r="S348" s="23"/>
      <c r="T348" s="23"/>
      <c r="U348" s="23"/>
      <c r="V348" s="23"/>
      <c r="W348" s="23"/>
      <c r="X348" s="23"/>
    </row>
    <row r="349" hidden="1">
      <c r="A349" s="10" t="s">
        <v>190</v>
      </c>
      <c r="B349" s="10" t="s">
        <v>1333</v>
      </c>
      <c r="C349" s="27" t="s">
        <v>1334</v>
      </c>
      <c r="D349" s="10" t="s">
        <v>1335</v>
      </c>
      <c r="E349" s="28" t="s">
        <v>194</v>
      </c>
      <c r="F349" s="23" t="s">
        <v>195</v>
      </c>
      <c r="G349" s="23" t="s">
        <v>203</v>
      </c>
      <c r="H349" s="23" t="s">
        <v>233</v>
      </c>
      <c r="I349" s="23" t="s">
        <v>280</v>
      </c>
      <c r="J349" s="23" t="s">
        <v>229</v>
      </c>
      <c r="K349" s="23" t="str">
        <f t="shared" si="1"/>
        <v>688374q</v>
      </c>
      <c r="L349" s="23"/>
      <c r="M349" s="23"/>
      <c r="N349" s="23"/>
      <c r="O349" s="23"/>
      <c r="P349" s="23"/>
      <c r="Q349" s="23"/>
      <c r="R349" s="23"/>
      <c r="S349" s="23"/>
      <c r="T349" s="23"/>
      <c r="U349" s="23"/>
      <c r="V349" s="23"/>
      <c r="W349" s="23"/>
      <c r="X349" s="23"/>
    </row>
    <row r="350" hidden="1">
      <c r="A350" s="10" t="s">
        <v>190</v>
      </c>
      <c r="B350" s="10" t="s">
        <v>1336</v>
      </c>
      <c r="C350" s="27" t="s">
        <v>1337</v>
      </c>
      <c r="D350" s="10" t="s">
        <v>1338</v>
      </c>
      <c r="E350" s="28" t="s">
        <v>194</v>
      </c>
      <c r="F350" s="23" t="s">
        <v>195</v>
      </c>
      <c r="G350" s="23" t="s">
        <v>203</v>
      </c>
      <c r="H350" s="23" t="s">
        <v>233</v>
      </c>
      <c r="I350" s="23" t="s">
        <v>280</v>
      </c>
      <c r="J350" s="23" t="s">
        <v>198</v>
      </c>
      <c r="K350" s="23" t="str">
        <f t="shared" si="1"/>
        <v>681160x</v>
      </c>
      <c r="L350" s="23"/>
      <c r="M350" s="23"/>
      <c r="N350" s="23"/>
      <c r="O350" s="23"/>
      <c r="P350" s="23"/>
      <c r="Q350" s="23"/>
      <c r="R350" s="23"/>
      <c r="S350" s="23"/>
      <c r="T350" s="23"/>
      <c r="U350" s="23"/>
      <c r="V350" s="23"/>
      <c r="W350" s="23"/>
      <c r="X350" s="23"/>
    </row>
    <row r="351" hidden="1">
      <c r="A351" s="10" t="s">
        <v>190</v>
      </c>
      <c r="B351" s="10" t="s">
        <v>1339</v>
      </c>
      <c r="C351" s="27" t="s">
        <v>1340</v>
      </c>
      <c r="D351" s="10" t="s">
        <v>1341</v>
      </c>
      <c r="E351" s="28" t="s">
        <v>194</v>
      </c>
      <c r="F351" s="23" t="s">
        <v>195</v>
      </c>
      <c r="G351" s="23" t="s">
        <v>203</v>
      </c>
      <c r="H351" s="23" t="s">
        <v>233</v>
      </c>
      <c r="I351" s="23" t="s">
        <v>234</v>
      </c>
      <c r="J351" s="23" t="s">
        <v>229</v>
      </c>
      <c r="K351" s="23" t="str">
        <f t="shared" si="1"/>
        <v>686479</v>
      </c>
      <c r="L351" s="23"/>
      <c r="M351" s="23"/>
      <c r="N351" s="23"/>
      <c r="O351" s="23"/>
      <c r="P351" s="23"/>
      <c r="Q351" s="23"/>
      <c r="R351" s="23"/>
      <c r="S351" s="23"/>
      <c r="T351" s="23"/>
      <c r="U351" s="23"/>
      <c r="V351" s="23"/>
      <c r="W351" s="23"/>
      <c r="X351" s="23"/>
    </row>
    <row r="352" hidden="1">
      <c r="A352" s="10" t="s">
        <v>190</v>
      </c>
      <c r="B352" s="10" t="s">
        <v>1342</v>
      </c>
      <c r="C352" s="27" t="s">
        <v>1343</v>
      </c>
      <c r="D352" s="10" t="s">
        <v>1344</v>
      </c>
      <c r="E352" s="28" t="s">
        <v>194</v>
      </c>
      <c r="F352" s="23" t="s">
        <v>195</v>
      </c>
      <c r="G352" s="23" t="s">
        <v>203</v>
      </c>
      <c r="H352" s="23" t="s">
        <v>233</v>
      </c>
      <c r="I352" s="32"/>
      <c r="J352" s="23" t="s">
        <v>238</v>
      </c>
      <c r="K352" s="23" t="str">
        <f t="shared" si="1"/>
        <v>686660q</v>
      </c>
      <c r="L352" s="23"/>
      <c r="M352" s="23"/>
      <c r="N352" s="23"/>
      <c r="O352" s="23"/>
      <c r="P352" s="23"/>
      <c r="Q352" s="23"/>
      <c r="R352" s="23"/>
      <c r="S352" s="23"/>
      <c r="T352" s="23"/>
      <c r="U352" s="23"/>
      <c r="V352" s="23"/>
      <c r="W352" s="23"/>
      <c r="X352" s="23"/>
    </row>
    <row r="353" hidden="1">
      <c r="A353" s="10" t="s">
        <v>190</v>
      </c>
      <c r="B353" s="10" t="s">
        <v>1345</v>
      </c>
      <c r="C353" s="27" t="s">
        <v>1346</v>
      </c>
      <c r="D353" s="10" t="s">
        <v>1347</v>
      </c>
      <c r="E353" s="28" t="s">
        <v>194</v>
      </c>
      <c r="F353" s="23" t="s">
        <v>195</v>
      </c>
      <c r="G353" s="23" t="s">
        <v>203</v>
      </c>
      <c r="H353" s="23" t="s">
        <v>233</v>
      </c>
      <c r="I353" s="23" t="s">
        <v>234</v>
      </c>
      <c r="J353" s="23" t="s">
        <v>229</v>
      </c>
      <c r="K353" s="23" t="str">
        <f t="shared" si="1"/>
        <v>686479c</v>
      </c>
      <c r="L353" s="23"/>
      <c r="M353" s="23"/>
      <c r="N353" s="23"/>
      <c r="O353" s="23"/>
      <c r="P353" s="23"/>
      <c r="Q353" s="23"/>
      <c r="R353" s="23"/>
      <c r="S353" s="23"/>
      <c r="T353" s="23"/>
      <c r="U353" s="23"/>
      <c r="V353" s="23"/>
      <c r="W353" s="23"/>
      <c r="X353" s="23"/>
    </row>
    <row r="354" hidden="1">
      <c r="A354" s="10" t="s">
        <v>190</v>
      </c>
      <c r="B354" s="10" t="s">
        <v>1348</v>
      </c>
      <c r="C354" s="27" t="s">
        <v>1349</v>
      </c>
      <c r="D354" s="10" t="s">
        <v>1350</v>
      </c>
      <c r="E354" s="28" t="s">
        <v>194</v>
      </c>
      <c r="F354" s="23" t="s">
        <v>195</v>
      </c>
      <c r="G354" s="23" t="s">
        <v>203</v>
      </c>
      <c r="H354" s="23" t="s">
        <v>233</v>
      </c>
      <c r="I354" s="23" t="s">
        <v>260</v>
      </c>
      <c r="J354" s="23" t="s">
        <v>198</v>
      </c>
      <c r="K354" s="23" t="str">
        <f t="shared" si="1"/>
        <v>686912q</v>
      </c>
      <c r="L354" s="23"/>
      <c r="M354" s="23"/>
      <c r="N354" s="23"/>
      <c r="O354" s="23"/>
      <c r="P354" s="23"/>
      <c r="Q354" s="23"/>
      <c r="R354" s="23"/>
      <c r="S354" s="23"/>
      <c r="T354" s="23"/>
      <c r="U354" s="23"/>
      <c r="V354" s="23"/>
      <c r="W354" s="23"/>
      <c r="X354" s="23"/>
    </row>
    <row r="355" hidden="1">
      <c r="A355" s="10" t="s">
        <v>190</v>
      </c>
      <c r="B355" s="10" t="s">
        <v>1351</v>
      </c>
      <c r="C355" s="27" t="s">
        <v>1352</v>
      </c>
      <c r="D355" s="31" t="s">
        <v>1353</v>
      </c>
      <c r="E355" s="28" t="s">
        <v>194</v>
      </c>
      <c r="F355" s="23" t="s">
        <v>195</v>
      </c>
      <c r="G355" s="23" t="s">
        <v>203</v>
      </c>
      <c r="H355" s="23" t="s">
        <v>233</v>
      </c>
      <c r="I355" s="23" t="s">
        <v>237</v>
      </c>
      <c r="J355" s="23" t="s">
        <v>238</v>
      </c>
      <c r="K355" s="23" t="str">
        <f t="shared" si="1"/>
        <v>603353Q</v>
      </c>
      <c r="L355" s="23"/>
      <c r="M355" s="23"/>
      <c r="N355" s="23"/>
      <c r="O355" s="23"/>
      <c r="P355" s="23"/>
      <c r="Q355" s="23"/>
      <c r="R355" s="23"/>
      <c r="S355" s="23"/>
      <c r="T355" s="23"/>
      <c r="U355" s="23"/>
      <c r="V355" s="23"/>
      <c r="W355" s="23"/>
      <c r="X355" s="23"/>
    </row>
    <row r="356" hidden="1">
      <c r="A356" s="10" t="s">
        <v>190</v>
      </c>
      <c r="B356" s="10" t="s">
        <v>1354</v>
      </c>
      <c r="C356" s="27" t="s">
        <v>1355</v>
      </c>
      <c r="D356" s="10" t="s">
        <v>1356</v>
      </c>
      <c r="E356" s="28" t="s">
        <v>194</v>
      </c>
      <c r="F356" s="23" t="s">
        <v>195</v>
      </c>
      <c r="G356" s="23" t="s">
        <v>203</v>
      </c>
      <c r="H356" s="23" t="s">
        <v>233</v>
      </c>
      <c r="I356" s="23" t="s">
        <v>260</v>
      </c>
      <c r="J356" s="23" t="s">
        <v>198</v>
      </c>
      <c r="K356" s="23" t="str">
        <f t="shared" si="1"/>
        <v>603360a</v>
      </c>
      <c r="L356" s="23"/>
      <c r="M356" s="23"/>
      <c r="N356" s="23"/>
      <c r="O356" s="23"/>
      <c r="P356" s="23"/>
      <c r="Q356" s="23"/>
      <c r="R356" s="23"/>
      <c r="S356" s="23"/>
      <c r="T356" s="23"/>
      <c r="U356" s="23"/>
      <c r="V356" s="23"/>
      <c r="W356" s="23"/>
      <c r="X356" s="23"/>
    </row>
    <row r="357" hidden="1">
      <c r="A357" s="10" t="s">
        <v>190</v>
      </c>
      <c r="B357" s="10" t="s">
        <v>1357</v>
      </c>
      <c r="C357" s="27" t="s">
        <v>1358</v>
      </c>
      <c r="D357" s="10" t="s">
        <v>1359</v>
      </c>
      <c r="E357" s="28" t="s">
        <v>194</v>
      </c>
      <c r="F357" s="23" t="s">
        <v>195</v>
      </c>
      <c r="G357" s="23" t="s">
        <v>203</v>
      </c>
      <c r="H357" s="23" t="s">
        <v>233</v>
      </c>
      <c r="I357" s="23" t="s">
        <v>260</v>
      </c>
      <c r="J357" s="23" t="s">
        <v>238</v>
      </c>
      <c r="K357" s="23" t="str">
        <f t="shared" si="1"/>
        <v>688312q</v>
      </c>
      <c r="L357" s="23"/>
      <c r="M357" s="23"/>
      <c r="N357" s="23"/>
      <c r="O357" s="23"/>
      <c r="P357" s="23"/>
      <c r="Q357" s="23"/>
      <c r="R357" s="23"/>
      <c r="S357" s="23"/>
      <c r="T357" s="23"/>
      <c r="U357" s="23"/>
      <c r="V357" s="23"/>
      <c r="W357" s="23"/>
      <c r="X357" s="23"/>
    </row>
    <row r="358" hidden="1">
      <c r="A358" s="10" t="s">
        <v>190</v>
      </c>
      <c r="B358" s="10" t="s">
        <v>1360</v>
      </c>
      <c r="C358" s="27" t="s">
        <v>1361</v>
      </c>
      <c r="D358" s="10" t="s">
        <v>1362</v>
      </c>
      <c r="E358" s="28" t="s">
        <v>194</v>
      </c>
      <c r="F358" s="23" t="s">
        <v>195</v>
      </c>
      <c r="G358" s="23" t="s">
        <v>203</v>
      </c>
      <c r="H358" s="23" t="s">
        <v>233</v>
      </c>
      <c r="I358" s="23" t="s">
        <v>247</v>
      </c>
      <c r="J358" s="23" t="s">
        <v>198</v>
      </c>
      <c r="K358" s="23" t="str">
        <f t="shared" si="1"/>
        <v>621043q</v>
      </c>
      <c r="L358" s="23"/>
      <c r="M358" s="23"/>
      <c r="N358" s="23"/>
      <c r="O358" s="23"/>
      <c r="P358" s="23"/>
      <c r="Q358" s="23"/>
      <c r="R358" s="23"/>
      <c r="S358" s="23"/>
      <c r="T358" s="23"/>
      <c r="U358" s="23"/>
      <c r="V358" s="23"/>
      <c r="W358" s="23"/>
      <c r="X358" s="23"/>
    </row>
    <row r="359" hidden="1">
      <c r="A359" s="10" t="s">
        <v>190</v>
      </c>
      <c r="B359" s="10" t="s">
        <v>1363</v>
      </c>
      <c r="C359" s="27" t="s">
        <v>1364</v>
      </c>
      <c r="D359" s="10" t="s">
        <v>1365</v>
      </c>
      <c r="E359" s="28" t="s">
        <v>194</v>
      </c>
      <c r="F359" s="23" t="s">
        <v>195</v>
      </c>
      <c r="G359" s="23" t="s">
        <v>203</v>
      </c>
      <c r="H359" s="23" t="s">
        <v>233</v>
      </c>
      <c r="I359" s="23" t="s">
        <v>234</v>
      </c>
      <c r="J359" s="23" t="s">
        <v>198</v>
      </c>
      <c r="K359" s="23" t="str">
        <f t="shared" si="1"/>
        <v>686516Q</v>
      </c>
      <c r="L359" s="23"/>
      <c r="M359" s="23"/>
      <c r="N359" s="23"/>
      <c r="O359" s="23"/>
      <c r="P359" s="23"/>
      <c r="Q359" s="23"/>
      <c r="R359" s="23"/>
      <c r="S359" s="23"/>
      <c r="T359" s="23"/>
      <c r="U359" s="23"/>
      <c r="V359" s="23"/>
      <c r="W359" s="23"/>
      <c r="X359" s="23"/>
    </row>
    <row r="360" hidden="1">
      <c r="A360" s="10" t="s">
        <v>190</v>
      </c>
      <c r="B360" s="10" t="s">
        <v>1366</v>
      </c>
      <c r="C360" s="27" t="s">
        <v>1367</v>
      </c>
      <c r="D360" s="10" t="s">
        <v>1368</v>
      </c>
      <c r="E360" s="28" t="s">
        <v>194</v>
      </c>
      <c r="F360" s="23" t="s">
        <v>195</v>
      </c>
      <c r="G360" s="23" t="s">
        <v>203</v>
      </c>
      <c r="H360" s="23" t="s">
        <v>233</v>
      </c>
      <c r="I360" s="23" t="s">
        <v>234</v>
      </c>
      <c r="J360" s="23" t="s">
        <v>198</v>
      </c>
      <c r="K360" s="23" t="str">
        <f t="shared" si="1"/>
        <v>686530a</v>
      </c>
      <c r="L360" s="23"/>
      <c r="M360" s="23"/>
      <c r="N360" s="23"/>
      <c r="O360" s="23"/>
      <c r="P360" s="23"/>
      <c r="Q360" s="23"/>
      <c r="R360" s="23"/>
      <c r="S360" s="23"/>
      <c r="T360" s="23"/>
      <c r="U360" s="23"/>
      <c r="V360" s="23"/>
      <c r="W360" s="23"/>
      <c r="X360" s="23"/>
    </row>
    <row r="361" hidden="1">
      <c r="A361" s="10" t="s">
        <v>499</v>
      </c>
      <c r="B361" s="10" t="s">
        <v>1369</v>
      </c>
      <c r="C361" s="27" t="s">
        <v>1370</v>
      </c>
      <c r="D361" s="10" t="s">
        <v>1371</v>
      </c>
      <c r="E361" s="28" t="s">
        <v>194</v>
      </c>
      <c r="F361" s="23" t="s">
        <v>589</v>
      </c>
      <c r="G361" s="23" t="s">
        <v>203</v>
      </c>
      <c r="H361" s="23" t="s">
        <v>1372</v>
      </c>
      <c r="I361" s="32"/>
      <c r="J361" s="23" t="s">
        <v>6</v>
      </c>
      <c r="K361" s="23" t="str">
        <f t="shared" si="1"/>
        <v>682808</v>
      </c>
      <c r="L361" s="23"/>
      <c r="M361" s="23"/>
      <c r="N361" s="23"/>
      <c r="O361" s="23"/>
      <c r="P361" s="23"/>
      <c r="Q361" s="23"/>
      <c r="R361" s="23"/>
      <c r="S361" s="23"/>
      <c r="T361" s="23"/>
      <c r="U361" s="23"/>
      <c r="V361" s="23"/>
      <c r="W361" s="23"/>
      <c r="X361" s="23"/>
    </row>
    <row r="362" hidden="1">
      <c r="A362" s="10" t="s">
        <v>427</v>
      </c>
      <c r="B362" s="10" t="s">
        <v>1373</v>
      </c>
      <c r="C362" s="27" t="s">
        <v>1374</v>
      </c>
      <c r="D362" s="10" t="s">
        <v>1375</v>
      </c>
      <c r="E362" s="28" t="s">
        <v>418</v>
      </c>
      <c r="F362" s="23" t="s">
        <v>977</v>
      </c>
      <c r="G362" s="23" t="s">
        <v>203</v>
      </c>
      <c r="H362" s="23" t="s">
        <v>1372</v>
      </c>
      <c r="I362" s="32"/>
      <c r="J362" s="23" t="s">
        <v>6</v>
      </c>
      <c r="K362" s="23" t="str">
        <f t="shared" si="1"/>
        <v>671383</v>
      </c>
      <c r="L362" s="23"/>
      <c r="M362" s="23"/>
      <c r="N362" s="23"/>
      <c r="O362" s="23"/>
      <c r="P362" s="23"/>
      <c r="Q362" s="23"/>
      <c r="R362" s="23"/>
      <c r="S362" s="23"/>
      <c r="T362" s="23"/>
      <c r="U362" s="23"/>
      <c r="V362" s="23"/>
      <c r="W362" s="23"/>
      <c r="X362" s="23"/>
    </row>
    <row r="363" hidden="1">
      <c r="A363" s="10" t="s">
        <v>190</v>
      </c>
      <c r="B363" s="10" t="s">
        <v>1376</v>
      </c>
      <c r="C363" s="27" t="s">
        <v>1377</v>
      </c>
      <c r="D363" s="10" t="s">
        <v>1378</v>
      </c>
      <c r="E363" s="28" t="s">
        <v>194</v>
      </c>
      <c r="F363" s="23" t="s">
        <v>543</v>
      </c>
      <c r="G363" s="23" t="s">
        <v>1379</v>
      </c>
      <c r="H363" s="23" t="s">
        <v>1380</v>
      </c>
      <c r="I363" s="32"/>
      <c r="J363" s="23" t="s">
        <v>198</v>
      </c>
      <c r="K363" s="23" t="str">
        <f t="shared" si="1"/>
        <v>682778</v>
      </c>
      <c r="L363" s="23"/>
      <c r="M363" s="23"/>
      <c r="N363" s="23"/>
      <c r="O363" s="23"/>
      <c r="P363" s="23"/>
      <c r="Q363" s="23"/>
      <c r="R363" s="23"/>
      <c r="S363" s="23"/>
      <c r="T363" s="23"/>
      <c r="U363" s="23"/>
      <c r="V363" s="23"/>
      <c r="W363" s="23"/>
      <c r="X363" s="23"/>
    </row>
    <row r="364" hidden="1">
      <c r="A364" s="10" t="s">
        <v>190</v>
      </c>
      <c r="B364" s="10" t="s">
        <v>1381</v>
      </c>
      <c r="C364" s="27" t="s">
        <v>1382</v>
      </c>
      <c r="D364" s="10" t="s">
        <v>1383</v>
      </c>
      <c r="E364" s="28" t="s">
        <v>194</v>
      </c>
      <c r="F364" s="23" t="s">
        <v>543</v>
      </c>
      <c r="G364" s="23" t="s">
        <v>1379</v>
      </c>
      <c r="H364" s="23" t="s">
        <v>1384</v>
      </c>
      <c r="I364" s="32"/>
      <c r="J364" s="23" t="s">
        <v>198</v>
      </c>
      <c r="K364" s="23" t="str">
        <f t="shared" si="1"/>
        <v>690155</v>
      </c>
      <c r="L364" s="23"/>
      <c r="M364" s="23"/>
      <c r="N364" s="23"/>
      <c r="O364" s="23"/>
      <c r="P364" s="23"/>
      <c r="Q364" s="23"/>
      <c r="R364" s="23"/>
      <c r="S364" s="23"/>
      <c r="T364" s="23"/>
      <c r="U364" s="23"/>
      <c r="V364" s="23"/>
      <c r="W364" s="23"/>
      <c r="X364" s="23"/>
    </row>
    <row r="365" hidden="1">
      <c r="A365" s="10" t="s">
        <v>190</v>
      </c>
      <c r="B365" s="10" t="s">
        <v>1385</v>
      </c>
      <c r="C365" s="27" t="s">
        <v>362</v>
      </c>
      <c r="D365" s="10" t="s">
        <v>361</v>
      </c>
      <c r="E365" s="28" t="s">
        <v>194</v>
      </c>
      <c r="F365" s="23" t="s">
        <v>543</v>
      </c>
      <c r="G365" s="23" t="s">
        <v>401</v>
      </c>
      <c r="H365" s="23" t="s">
        <v>1380</v>
      </c>
      <c r="I365" s="32"/>
      <c r="J365" s="23" t="s">
        <v>198</v>
      </c>
      <c r="K365" s="23" t="str">
        <f t="shared" si="1"/>
        <v>674889</v>
      </c>
      <c r="L365" s="23"/>
      <c r="M365" s="23"/>
      <c r="N365" s="23"/>
      <c r="O365" s="23"/>
      <c r="P365" s="23"/>
      <c r="Q365" s="23"/>
      <c r="R365" s="23"/>
      <c r="S365" s="23"/>
      <c r="T365" s="23"/>
      <c r="U365" s="23"/>
      <c r="V365" s="23"/>
      <c r="W365" s="23"/>
      <c r="X365" s="23"/>
    </row>
    <row r="366" hidden="1">
      <c r="A366" s="10" t="s">
        <v>190</v>
      </c>
      <c r="B366" s="10" t="s">
        <v>1386</v>
      </c>
      <c r="C366" s="27" t="s">
        <v>354</v>
      </c>
      <c r="D366" s="10" t="s">
        <v>353</v>
      </c>
      <c r="E366" s="28" t="s">
        <v>194</v>
      </c>
      <c r="F366" s="23" t="s">
        <v>543</v>
      </c>
      <c r="G366" s="23" t="s">
        <v>401</v>
      </c>
      <c r="H366" s="23" t="s">
        <v>1380</v>
      </c>
      <c r="I366" s="32"/>
      <c r="J366" s="23" t="s">
        <v>198</v>
      </c>
      <c r="K366" s="23" t="str">
        <f t="shared" si="1"/>
        <v>605654</v>
      </c>
      <c r="L366" s="23"/>
      <c r="M366" s="23"/>
      <c r="N366" s="23"/>
      <c r="O366" s="23"/>
      <c r="P366" s="23"/>
      <c r="Q366" s="23"/>
      <c r="R366" s="23"/>
      <c r="S366" s="23"/>
      <c r="T366" s="23"/>
      <c r="U366" s="23"/>
      <c r="V366" s="23"/>
      <c r="W366" s="23"/>
      <c r="X366" s="23"/>
    </row>
    <row r="367" hidden="1">
      <c r="A367" s="10" t="s">
        <v>190</v>
      </c>
      <c r="B367" s="10" t="s">
        <v>1387</v>
      </c>
      <c r="C367" s="27" t="s">
        <v>366</v>
      </c>
      <c r="D367" s="10" t="s">
        <v>365</v>
      </c>
      <c r="E367" s="28" t="s">
        <v>194</v>
      </c>
      <c r="F367" s="23" t="s">
        <v>543</v>
      </c>
      <c r="G367" s="23" t="s">
        <v>401</v>
      </c>
      <c r="H367" s="23" t="s">
        <v>1380</v>
      </c>
      <c r="I367" s="32"/>
      <c r="J367" s="23" t="s">
        <v>198</v>
      </c>
      <c r="K367" s="23" t="str">
        <f t="shared" si="1"/>
        <v>636054</v>
      </c>
      <c r="L367" s="23"/>
      <c r="M367" s="23"/>
      <c r="N367" s="23"/>
      <c r="O367" s="23"/>
      <c r="P367" s="23"/>
      <c r="Q367" s="23"/>
      <c r="R367" s="23"/>
      <c r="S367" s="23"/>
      <c r="T367" s="23"/>
      <c r="U367" s="23"/>
      <c r="V367" s="23"/>
      <c r="W367" s="23"/>
      <c r="X367" s="23"/>
    </row>
    <row r="368" hidden="1">
      <c r="A368" s="10" t="s">
        <v>190</v>
      </c>
      <c r="B368" s="10" t="s">
        <v>1388</v>
      </c>
      <c r="C368" s="27" t="s">
        <v>357</v>
      </c>
      <c r="D368" s="10" t="s">
        <v>356</v>
      </c>
      <c r="E368" s="28" t="s">
        <v>194</v>
      </c>
      <c r="F368" s="23" t="s">
        <v>543</v>
      </c>
      <c r="G368" s="23" t="s">
        <v>401</v>
      </c>
      <c r="H368" s="23" t="s">
        <v>1380</v>
      </c>
      <c r="I368" s="32"/>
      <c r="J368" s="23" t="s">
        <v>198</v>
      </c>
      <c r="K368" s="23" t="str">
        <f t="shared" si="1"/>
        <v>605647</v>
      </c>
      <c r="L368" s="23"/>
      <c r="M368" s="26"/>
      <c r="N368" s="26"/>
      <c r="O368" s="26"/>
      <c r="P368" s="26"/>
      <c r="Q368" s="26"/>
      <c r="R368" s="26"/>
      <c r="S368" s="26"/>
      <c r="T368" s="26"/>
      <c r="U368" s="26"/>
      <c r="V368" s="26"/>
      <c r="W368" s="26"/>
      <c r="X368" s="26"/>
    </row>
    <row r="369" hidden="1">
      <c r="A369" s="10" t="s">
        <v>190</v>
      </c>
      <c r="B369" s="10" t="s">
        <v>1389</v>
      </c>
      <c r="C369" s="27" t="s">
        <v>370</v>
      </c>
      <c r="D369" s="10" t="s">
        <v>369</v>
      </c>
      <c r="E369" s="28" t="s">
        <v>194</v>
      </c>
      <c r="F369" s="23" t="s">
        <v>543</v>
      </c>
      <c r="G369" s="23" t="s">
        <v>401</v>
      </c>
      <c r="H369" s="23" t="s">
        <v>1380</v>
      </c>
      <c r="I369" s="32"/>
      <c r="J369" s="23" t="s">
        <v>198</v>
      </c>
      <c r="K369" s="23" t="str">
        <f t="shared" si="1"/>
        <v>605685</v>
      </c>
      <c r="L369" s="23"/>
      <c r="M369" s="26"/>
      <c r="N369" s="26"/>
      <c r="O369" s="26"/>
      <c r="P369" s="26"/>
      <c r="Q369" s="26"/>
      <c r="R369" s="26"/>
      <c r="S369" s="26"/>
      <c r="T369" s="26"/>
      <c r="U369" s="26"/>
      <c r="V369" s="26"/>
      <c r="W369" s="26"/>
      <c r="X369" s="26"/>
    </row>
    <row r="370" hidden="1">
      <c r="A370" s="10" t="s">
        <v>190</v>
      </c>
      <c r="B370" s="10" t="s">
        <v>1390</v>
      </c>
      <c r="C370" s="27" t="s">
        <v>377</v>
      </c>
      <c r="D370" s="10" t="s">
        <v>376</v>
      </c>
      <c r="E370" s="28" t="s">
        <v>194</v>
      </c>
      <c r="F370" s="23" t="s">
        <v>543</v>
      </c>
      <c r="G370" s="23" t="s">
        <v>401</v>
      </c>
      <c r="H370" s="23" t="s">
        <v>1380</v>
      </c>
      <c r="I370" s="32"/>
      <c r="J370" s="23" t="s">
        <v>198</v>
      </c>
      <c r="K370" s="23" t="str">
        <f t="shared" si="1"/>
        <v>605678</v>
      </c>
      <c r="L370" s="23"/>
      <c r="M370" s="26"/>
      <c r="N370" s="26"/>
      <c r="O370" s="26"/>
      <c r="P370" s="26"/>
      <c r="Q370" s="26"/>
      <c r="R370" s="26"/>
      <c r="S370" s="26"/>
      <c r="T370" s="26"/>
      <c r="U370" s="26"/>
      <c r="V370" s="26"/>
      <c r="W370" s="26"/>
      <c r="X370" s="26"/>
    </row>
    <row r="371" hidden="1">
      <c r="A371" s="10" t="s">
        <v>190</v>
      </c>
      <c r="B371" s="10" t="s">
        <v>1391</v>
      </c>
      <c r="C371" s="27" t="s">
        <v>382</v>
      </c>
      <c r="D371" s="10" t="s">
        <v>381</v>
      </c>
      <c r="E371" s="28" t="s">
        <v>194</v>
      </c>
      <c r="F371" s="23" t="s">
        <v>543</v>
      </c>
      <c r="G371" s="23" t="s">
        <v>401</v>
      </c>
      <c r="H371" s="23" t="s">
        <v>1380</v>
      </c>
      <c r="I371" s="32"/>
      <c r="J371" s="23" t="s">
        <v>198</v>
      </c>
      <c r="K371" s="23" t="str">
        <f t="shared" si="1"/>
        <v>678917</v>
      </c>
      <c r="L371" s="23"/>
      <c r="M371" s="26"/>
      <c r="N371" s="26"/>
      <c r="O371" s="26"/>
      <c r="P371" s="26"/>
      <c r="Q371" s="26"/>
      <c r="R371" s="26"/>
      <c r="S371" s="26"/>
      <c r="T371" s="26"/>
      <c r="U371" s="26"/>
      <c r="V371" s="26"/>
      <c r="W371" s="26"/>
      <c r="X371" s="26"/>
    </row>
    <row r="372" hidden="1">
      <c r="A372" s="10" t="s">
        <v>190</v>
      </c>
      <c r="B372" s="10" t="s">
        <v>1392</v>
      </c>
      <c r="C372" s="27" t="s">
        <v>1393</v>
      </c>
      <c r="D372" s="10" t="s">
        <v>1394</v>
      </c>
      <c r="E372" s="28" t="s">
        <v>194</v>
      </c>
      <c r="F372" s="23" t="s">
        <v>195</v>
      </c>
      <c r="G372" s="23" t="s">
        <v>196</v>
      </c>
      <c r="H372" s="23" t="s">
        <v>390</v>
      </c>
      <c r="I372" s="23" t="s">
        <v>391</v>
      </c>
      <c r="J372" s="23" t="s">
        <v>238</v>
      </c>
      <c r="K372" s="23" t="str">
        <f t="shared" si="1"/>
        <v>665849aa</v>
      </c>
      <c r="L372" s="23"/>
      <c r="M372" s="26"/>
      <c r="N372" s="26"/>
      <c r="O372" s="26"/>
      <c r="P372" s="26"/>
      <c r="Q372" s="26"/>
      <c r="R372" s="26"/>
      <c r="S372" s="26"/>
      <c r="T372" s="26"/>
      <c r="U372" s="26"/>
      <c r="V372" s="26"/>
      <c r="W372" s="26"/>
      <c r="X372" s="26"/>
    </row>
    <row r="373" hidden="1">
      <c r="A373" s="10" t="s">
        <v>190</v>
      </c>
      <c r="B373" s="10" t="s">
        <v>1395</v>
      </c>
      <c r="C373" s="27" t="s">
        <v>1396</v>
      </c>
      <c r="D373" s="10" t="s">
        <v>1397</v>
      </c>
      <c r="E373" s="28" t="s">
        <v>194</v>
      </c>
      <c r="F373" s="23" t="s">
        <v>195</v>
      </c>
      <c r="G373" s="23" t="s">
        <v>203</v>
      </c>
      <c r="H373" s="23" t="s">
        <v>204</v>
      </c>
      <c r="I373" s="23" t="s">
        <v>205</v>
      </c>
      <c r="J373" s="23" t="s">
        <v>198</v>
      </c>
      <c r="K373" s="23" t="str">
        <f t="shared" si="1"/>
        <v>676487c</v>
      </c>
      <c r="L373" s="23"/>
      <c r="M373" s="26"/>
      <c r="N373" s="26"/>
      <c r="O373" s="26"/>
      <c r="P373" s="26"/>
      <c r="Q373" s="26"/>
      <c r="R373" s="26"/>
      <c r="S373" s="26"/>
      <c r="T373" s="26"/>
      <c r="U373" s="26"/>
      <c r="V373" s="26"/>
      <c r="W373" s="26"/>
      <c r="X373" s="26"/>
    </row>
    <row r="374" hidden="1">
      <c r="A374" s="10" t="s">
        <v>190</v>
      </c>
      <c r="B374" s="10" t="s">
        <v>1398</v>
      </c>
      <c r="C374" s="27" t="s">
        <v>1399</v>
      </c>
      <c r="D374" s="10" t="s">
        <v>1400</v>
      </c>
      <c r="E374" s="28" t="s">
        <v>194</v>
      </c>
      <c r="F374" s="23" t="s">
        <v>195</v>
      </c>
      <c r="G374" s="23" t="s">
        <v>203</v>
      </c>
      <c r="H374" s="23" t="s">
        <v>204</v>
      </c>
      <c r="I374" s="23" t="s">
        <v>267</v>
      </c>
      <c r="J374" s="23" t="s">
        <v>238</v>
      </c>
      <c r="K374" s="23" t="str">
        <f t="shared" si="1"/>
        <v>617763c</v>
      </c>
      <c r="L374" s="23"/>
      <c r="M374" s="26"/>
      <c r="N374" s="26"/>
      <c r="O374" s="26"/>
      <c r="P374" s="26"/>
      <c r="Q374" s="26"/>
      <c r="R374" s="26"/>
      <c r="S374" s="26"/>
      <c r="T374" s="26"/>
      <c r="U374" s="26"/>
      <c r="V374" s="26"/>
      <c r="W374" s="26"/>
      <c r="X374" s="26"/>
    </row>
    <row r="375" hidden="1">
      <c r="A375" s="10" t="s">
        <v>190</v>
      </c>
      <c r="B375" s="10" t="s">
        <v>1401</v>
      </c>
      <c r="C375" s="27" t="s">
        <v>1402</v>
      </c>
      <c r="D375" s="10" t="s">
        <v>1403</v>
      </c>
      <c r="E375" s="28" t="s">
        <v>194</v>
      </c>
      <c r="F375" s="23" t="s">
        <v>195</v>
      </c>
      <c r="G375" s="23" t="s">
        <v>203</v>
      </c>
      <c r="H375" s="23" t="s">
        <v>204</v>
      </c>
      <c r="I375" s="23" t="s">
        <v>205</v>
      </c>
      <c r="J375" s="23" t="s">
        <v>198</v>
      </c>
      <c r="K375" s="23" t="str">
        <f t="shared" si="1"/>
        <v>685229c</v>
      </c>
      <c r="L375" s="23"/>
      <c r="M375" s="26"/>
      <c r="N375" s="26"/>
      <c r="O375" s="26"/>
      <c r="P375" s="26"/>
      <c r="Q375" s="26"/>
      <c r="R375" s="26"/>
      <c r="S375" s="26"/>
      <c r="T375" s="26"/>
      <c r="U375" s="26"/>
      <c r="V375" s="26"/>
      <c r="W375" s="26"/>
      <c r="X375" s="26"/>
    </row>
    <row r="376" hidden="1">
      <c r="A376" s="10" t="s">
        <v>190</v>
      </c>
      <c r="B376" s="10" t="s">
        <v>1404</v>
      </c>
      <c r="C376" s="27" t="s">
        <v>1405</v>
      </c>
      <c r="D376" s="10" t="s">
        <v>1406</v>
      </c>
      <c r="E376" s="28" t="s">
        <v>194</v>
      </c>
      <c r="F376" s="23" t="s">
        <v>195</v>
      </c>
      <c r="G376" s="23" t="s">
        <v>203</v>
      </c>
      <c r="H376" s="23" t="s">
        <v>204</v>
      </c>
      <c r="I376" s="23" t="s">
        <v>205</v>
      </c>
      <c r="J376" s="23" t="s">
        <v>198</v>
      </c>
      <c r="K376" s="23" t="str">
        <f t="shared" si="1"/>
        <v>685229</v>
      </c>
      <c r="L376" s="23"/>
      <c r="M376" s="26"/>
      <c r="N376" s="26"/>
      <c r="O376" s="26"/>
      <c r="P376" s="26"/>
      <c r="Q376" s="26"/>
      <c r="R376" s="26"/>
      <c r="S376" s="26"/>
      <c r="T376" s="26"/>
      <c r="U376" s="26"/>
      <c r="V376" s="26"/>
      <c r="W376" s="26"/>
      <c r="X376" s="26"/>
    </row>
    <row r="377" hidden="1">
      <c r="A377" s="10" t="s">
        <v>190</v>
      </c>
      <c r="B377" s="10" t="s">
        <v>1407</v>
      </c>
      <c r="C377" s="27" t="s">
        <v>1408</v>
      </c>
      <c r="D377" s="10" t="s">
        <v>1409</v>
      </c>
      <c r="E377" s="28" t="s">
        <v>194</v>
      </c>
      <c r="F377" s="23" t="s">
        <v>195</v>
      </c>
      <c r="G377" s="23" t="s">
        <v>203</v>
      </c>
      <c r="H377" s="23" t="s">
        <v>204</v>
      </c>
      <c r="I377" s="32"/>
      <c r="J377" s="23" t="s">
        <v>198</v>
      </c>
      <c r="K377" s="23" t="str">
        <f t="shared" si="1"/>
        <v>643045p</v>
      </c>
      <c r="L377" s="23"/>
      <c r="M377" s="23"/>
      <c r="N377" s="23"/>
      <c r="O377" s="23"/>
      <c r="P377" s="23"/>
      <c r="Q377" s="23"/>
      <c r="R377" s="23"/>
      <c r="S377" s="23"/>
      <c r="T377" s="23"/>
      <c r="U377" s="23"/>
      <c r="V377" s="23"/>
      <c r="W377" s="23"/>
      <c r="X377" s="23"/>
    </row>
    <row r="378" hidden="1">
      <c r="A378" s="10" t="s">
        <v>190</v>
      </c>
      <c r="B378" s="10" t="s">
        <v>1410</v>
      </c>
      <c r="C378" s="27" t="s">
        <v>1411</v>
      </c>
      <c r="D378" s="10" t="s">
        <v>1412</v>
      </c>
      <c r="E378" s="28" t="s">
        <v>194</v>
      </c>
      <c r="F378" s="23" t="s">
        <v>195</v>
      </c>
      <c r="G378" s="23" t="s">
        <v>203</v>
      </c>
      <c r="H378" s="23" t="s">
        <v>204</v>
      </c>
      <c r="I378" s="23" t="s">
        <v>205</v>
      </c>
      <c r="J378" s="23" t="s">
        <v>198</v>
      </c>
      <c r="K378" s="23" t="str">
        <f t="shared" si="1"/>
        <v>688138c</v>
      </c>
      <c r="L378" s="23"/>
      <c r="M378" s="23"/>
      <c r="N378" s="23"/>
      <c r="O378" s="23"/>
      <c r="P378" s="23"/>
      <c r="Q378" s="23"/>
      <c r="R378" s="23"/>
      <c r="S378" s="23"/>
      <c r="T378" s="23"/>
      <c r="U378" s="23"/>
      <c r="V378" s="23"/>
      <c r="W378" s="23"/>
      <c r="X378" s="23"/>
    </row>
    <row r="379" hidden="1">
      <c r="A379" s="10" t="s">
        <v>190</v>
      </c>
      <c r="B379" s="10" t="s">
        <v>1413</v>
      </c>
      <c r="C379" s="27" t="s">
        <v>1414</v>
      </c>
      <c r="D379" s="10" t="s">
        <v>1415</v>
      </c>
      <c r="E379" s="28" t="s">
        <v>194</v>
      </c>
      <c r="F379" s="23" t="s">
        <v>195</v>
      </c>
      <c r="G379" s="23" t="s">
        <v>203</v>
      </c>
      <c r="H379" s="23" t="s">
        <v>204</v>
      </c>
      <c r="I379" s="23" t="s">
        <v>205</v>
      </c>
      <c r="J379" s="23" t="s">
        <v>198</v>
      </c>
      <c r="K379" s="23" t="str">
        <f t="shared" si="1"/>
        <v>676487</v>
      </c>
      <c r="L379" s="23"/>
      <c r="M379" s="23"/>
      <c r="N379" s="23"/>
      <c r="O379" s="23"/>
      <c r="P379" s="23"/>
      <c r="Q379" s="23"/>
      <c r="R379" s="23"/>
      <c r="S379" s="23"/>
      <c r="T379" s="23"/>
      <c r="U379" s="23"/>
      <c r="V379" s="23"/>
      <c r="W379" s="23"/>
      <c r="X379" s="23"/>
    </row>
    <row r="380" hidden="1">
      <c r="A380" s="10" t="s">
        <v>190</v>
      </c>
      <c r="B380" s="10" t="s">
        <v>1416</v>
      </c>
      <c r="C380" s="27" t="s">
        <v>1417</v>
      </c>
      <c r="D380" s="10" t="s">
        <v>1418</v>
      </c>
      <c r="E380" s="28" t="s">
        <v>194</v>
      </c>
      <c r="F380" s="23" t="s">
        <v>195</v>
      </c>
      <c r="G380" s="23" t="s">
        <v>203</v>
      </c>
      <c r="H380" s="23" t="s">
        <v>204</v>
      </c>
      <c r="I380" s="23" t="s">
        <v>205</v>
      </c>
      <c r="J380" s="23" t="s">
        <v>198</v>
      </c>
      <c r="K380" s="23" t="str">
        <f t="shared" si="1"/>
        <v>635910</v>
      </c>
      <c r="L380" s="23"/>
      <c r="M380" s="23"/>
      <c r="N380" s="23"/>
      <c r="O380" s="23"/>
      <c r="P380" s="23"/>
      <c r="Q380" s="23"/>
      <c r="R380" s="23"/>
      <c r="S380" s="23"/>
      <c r="T380" s="23"/>
      <c r="U380" s="23"/>
      <c r="V380" s="23"/>
      <c r="W380" s="23"/>
      <c r="X380" s="23"/>
    </row>
    <row r="381" hidden="1">
      <c r="A381" s="10" t="s">
        <v>190</v>
      </c>
      <c r="B381" s="10" t="s">
        <v>1419</v>
      </c>
      <c r="C381" s="27" t="s">
        <v>1420</v>
      </c>
      <c r="D381" s="10" t="s">
        <v>1421</v>
      </c>
      <c r="E381" s="28" t="s">
        <v>194</v>
      </c>
      <c r="F381" s="23" t="s">
        <v>195</v>
      </c>
      <c r="G381" s="23" t="s">
        <v>203</v>
      </c>
      <c r="H381" s="23" t="s">
        <v>204</v>
      </c>
      <c r="I381" s="32"/>
      <c r="J381" s="23" t="s">
        <v>198</v>
      </c>
      <c r="K381" s="23" t="str">
        <f t="shared" si="1"/>
        <v>635910c</v>
      </c>
      <c r="L381" s="23"/>
      <c r="M381" s="23"/>
      <c r="N381" s="23"/>
      <c r="O381" s="23"/>
      <c r="P381" s="23"/>
      <c r="Q381" s="23"/>
      <c r="R381" s="23"/>
      <c r="S381" s="23"/>
      <c r="T381" s="23"/>
      <c r="U381" s="23"/>
      <c r="V381" s="23"/>
      <c r="W381" s="23"/>
      <c r="X381" s="23"/>
    </row>
    <row r="382" hidden="1">
      <c r="A382" s="10" t="s">
        <v>190</v>
      </c>
      <c r="B382" s="10" t="s">
        <v>1422</v>
      </c>
      <c r="C382" s="27" t="s">
        <v>1423</v>
      </c>
      <c r="D382" s="10" t="s">
        <v>1424</v>
      </c>
      <c r="E382" s="28" t="s">
        <v>194</v>
      </c>
      <c r="F382" s="23" t="s">
        <v>195</v>
      </c>
      <c r="G382" s="23" t="s">
        <v>203</v>
      </c>
      <c r="H382" s="23" t="s">
        <v>204</v>
      </c>
      <c r="I382" s="23" t="s">
        <v>205</v>
      </c>
      <c r="J382" s="23" t="s">
        <v>198</v>
      </c>
      <c r="K382" s="23" t="str">
        <f t="shared" si="1"/>
        <v>643069</v>
      </c>
      <c r="L382" s="23"/>
      <c r="M382" s="23"/>
      <c r="N382" s="23"/>
      <c r="O382" s="23"/>
      <c r="P382" s="23"/>
      <c r="Q382" s="23"/>
      <c r="R382" s="23"/>
      <c r="S382" s="23"/>
      <c r="T382" s="23"/>
      <c r="U382" s="23"/>
      <c r="V382" s="23"/>
      <c r="W382" s="23"/>
      <c r="X382" s="23"/>
    </row>
    <row r="383" hidden="1">
      <c r="A383" s="10" t="s">
        <v>190</v>
      </c>
      <c r="B383" s="10" t="s">
        <v>1425</v>
      </c>
      <c r="C383" s="27" t="s">
        <v>1426</v>
      </c>
      <c r="D383" s="10" t="s">
        <v>1427</v>
      </c>
      <c r="E383" s="28" t="s">
        <v>194</v>
      </c>
      <c r="F383" s="23" t="s">
        <v>195</v>
      </c>
      <c r="G383" s="23" t="s">
        <v>203</v>
      </c>
      <c r="H383" s="23" t="s">
        <v>204</v>
      </c>
      <c r="I383" s="23" t="s">
        <v>267</v>
      </c>
      <c r="J383" s="23" t="s">
        <v>238</v>
      </c>
      <c r="K383" s="23" t="str">
        <f t="shared" si="1"/>
        <v>685250aa</v>
      </c>
      <c r="L383" s="23"/>
      <c r="M383" s="23"/>
      <c r="N383" s="23"/>
      <c r="O383" s="23"/>
      <c r="P383" s="23"/>
      <c r="Q383" s="23"/>
      <c r="R383" s="23"/>
      <c r="S383" s="23"/>
      <c r="T383" s="23"/>
      <c r="U383" s="23"/>
      <c r="V383" s="23"/>
      <c r="W383" s="23"/>
      <c r="X383" s="23"/>
    </row>
    <row r="384" hidden="1">
      <c r="A384" s="10" t="s">
        <v>190</v>
      </c>
      <c r="B384" s="10" t="s">
        <v>1428</v>
      </c>
      <c r="C384" s="27" t="s">
        <v>1429</v>
      </c>
      <c r="D384" s="10" t="s">
        <v>1430</v>
      </c>
      <c r="E384" s="28" t="s">
        <v>194</v>
      </c>
      <c r="F384" s="23" t="s">
        <v>195</v>
      </c>
      <c r="G384" s="23" t="s">
        <v>203</v>
      </c>
      <c r="H384" s="23" t="s">
        <v>204</v>
      </c>
      <c r="I384" s="23" t="s">
        <v>205</v>
      </c>
      <c r="J384" s="23" t="s">
        <v>238</v>
      </c>
      <c r="K384" s="23" t="str">
        <f t="shared" si="1"/>
        <v>688152</v>
      </c>
      <c r="L384" s="23"/>
      <c r="M384" s="26"/>
      <c r="N384" s="26"/>
      <c r="O384" s="26"/>
      <c r="P384" s="26"/>
      <c r="Q384" s="26"/>
      <c r="R384" s="26"/>
      <c r="S384" s="26"/>
      <c r="T384" s="26"/>
      <c r="U384" s="26"/>
      <c r="V384" s="26"/>
      <c r="W384" s="26"/>
      <c r="X384" s="26"/>
    </row>
    <row r="385" hidden="1">
      <c r="A385" s="10" t="s">
        <v>190</v>
      </c>
      <c r="B385" s="10" t="s">
        <v>1431</v>
      </c>
      <c r="C385" s="27" t="s">
        <v>1432</v>
      </c>
      <c r="D385" s="10" t="s">
        <v>1433</v>
      </c>
      <c r="E385" s="28" t="s">
        <v>194</v>
      </c>
      <c r="F385" s="23" t="s">
        <v>195</v>
      </c>
      <c r="G385" s="23" t="s">
        <v>203</v>
      </c>
      <c r="H385" s="23" t="s">
        <v>204</v>
      </c>
      <c r="I385" s="23" t="s">
        <v>267</v>
      </c>
      <c r="J385" s="23" t="s">
        <v>238</v>
      </c>
      <c r="K385" s="23" t="str">
        <f t="shared" si="1"/>
        <v>617763</v>
      </c>
      <c r="L385" s="23"/>
      <c r="M385" s="26"/>
      <c r="N385" s="26"/>
      <c r="O385" s="26"/>
      <c r="P385" s="26"/>
      <c r="Q385" s="26"/>
      <c r="R385" s="26"/>
      <c r="S385" s="26"/>
      <c r="T385" s="26"/>
      <c r="U385" s="26"/>
      <c r="V385" s="26"/>
      <c r="W385" s="26"/>
      <c r="X385" s="26"/>
    </row>
    <row r="386" hidden="1">
      <c r="A386" s="10" t="s">
        <v>190</v>
      </c>
      <c r="B386" s="10" t="s">
        <v>1434</v>
      </c>
      <c r="C386" s="27" t="s">
        <v>1435</v>
      </c>
      <c r="D386" s="10" t="s">
        <v>1436</v>
      </c>
      <c r="E386" s="28" t="s">
        <v>194</v>
      </c>
      <c r="F386" s="23" t="s">
        <v>195</v>
      </c>
      <c r="G386" s="23" t="s">
        <v>203</v>
      </c>
      <c r="H386" s="23" t="s">
        <v>204</v>
      </c>
      <c r="I386" s="23" t="s">
        <v>205</v>
      </c>
      <c r="J386" s="23" t="s">
        <v>198</v>
      </c>
      <c r="K386" s="23" t="str">
        <f t="shared" si="1"/>
        <v>688138</v>
      </c>
      <c r="L386" s="23"/>
      <c r="M386" s="26"/>
      <c r="N386" s="26"/>
      <c r="O386" s="26"/>
      <c r="P386" s="26"/>
      <c r="Q386" s="26"/>
      <c r="R386" s="26"/>
      <c r="S386" s="26"/>
      <c r="T386" s="26"/>
      <c r="U386" s="26"/>
      <c r="V386" s="26"/>
      <c r="W386" s="26"/>
      <c r="X386" s="26"/>
    </row>
    <row r="387" hidden="1">
      <c r="A387" s="10" t="s">
        <v>499</v>
      </c>
      <c r="B387" s="10" t="s">
        <v>1437</v>
      </c>
      <c r="C387" s="27" t="s">
        <v>1438</v>
      </c>
      <c r="D387" s="10" t="s">
        <v>1439</v>
      </c>
      <c r="E387" s="28" t="s">
        <v>194</v>
      </c>
      <c r="F387" s="23" t="s">
        <v>195</v>
      </c>
      <c r="G387" s="23" t="s">
        <v>203</v>
      </c>
      <c r="H387" s="23" t="s">
        <v>204</v>
      </c>
      <c r="I387" s="32"/>
      <c r="J387" s="23" t="s">
        <v>6</v>
      </c>
      <c r="K387" s="23" t="str">
        <f t="shared" si="1"/>
        <v>648491</v>
      </c>
      <c r="L387" s="23"/>
      <c r="M387" s="26"/>
      <c r="N387" s="26"/>
      <c r="O387" s="26"/>
      <c r="P387" s="26"/>
      <c r="Q387" s="26"/>
      <c r="R387" s="26"/>
      <c r="S387" s="26"/>
      <c r="T387" s="26"/>
      <c r="U387" s="26"/>
      <c r="V387" s="26"/>
      <c r="W387" s="26"/>
      <c r="X387" s="26"/>
    </row>
    <row r="388" hidden="1">
      <c r="A388" s="10" t="s">
        <v>499</v>
      </c>
      <c r="B388" s="10" t="s">
        <v>1440</v>
      </c>
      <c r="C388" s="27" t="s">
        <v>1441</v>
      </c>
      <c r="D388" s="10" t="s">
        <v>1442</v>
      </c>
      <c r="E388" s="28" t="s">
        <v>194</v>
      </c>
      <c r="F388" s="23" t="s">
        <v>589</v>
      </c>
      <c r="G388" s="23" t="s">
        <v>203</v>
      </c>
      <c r="H388" s="23" t="s">
        <v>204</v>
      </c>
      <c r="I388" s="32"/>
      <c r="J388" s="23" t="s">
        <v>6</v>
      </c>
      <c r="K388" s="23" t="str">
        <f t="shared" si="1"/>
        <v>690186</v>
      </c>
      <c r="L388" s="23"/>
      <c r="M388" s="26"/>
      <c r="N388" s="26"/>
      <c r="O388" s="26"/>
      <c r="P388" s="26"/>
      <c r="Q388" s="26"/>
      <c r="R388" s="26"/>
      <c r="S388" s="26"/>
      <c r="T388" s="26"/>
      <c r="U388" s="26"/>
      <c r="V388" s="26"/>
      <c r="W388" s="26"/>
      <c r="X388" s="26"/>
    </row>
    <row r="389" hidden="1">
      <c r="A389" s="10" t="s">
        <v>414</v>
      </c>
      <c r="B389" s="10" t="s">
        <v>1443</v>
      </c>
      <c r="C389" s="27" t="s">
        <v>1444</v>
      </c>
      <c r="D389" s="10" t="s">
        <v>1445</v>
      </c>
      <c r="E389" s="28" t="s">
        <v>534</v>
      </c>
      <c r="F389" s="23" t="s">
        <v>757</v>
      </c>
      <c r="G389" s="23" t="s">
        <v>203</v>
      </c>
      <c r="H389" s="23" t="s">
        <v>204</v>
      </c>
      <c r="I389" s="32"/>
      <c r="J389" s="23" t="s">
        <v>6</v>
      </c>
      <c r="K389" s="23" t="str">
        <f t="shared" si="1"/>
        <v>690186p</v>
      </c>
      <c r="L389" s="23"/>
      <c r="M389" s="26"/>
      <c r="N389" s="26"/>
      <c r="O389" s="26"/>
      <c r="P389" s="26"/>
      <c r="Q389" s="26"/>
      <c r="R389" s="26"/>
      <c r="S389" s="26"/>
      <c r="T389" s="26"/>
      <c r="U389" s="26"/>
      <c r="V389" s="26"/>
      <c r="W389" s="26"/>
      <c r="X389" s="26"/>
    </row>
    <row r="390" hidden="1">
      <c r="A390" s="10" t="s">
        <v>499</v>
      </c>
      <c r="B390" s="10" t="s">
        <v>1446</v>
      </c>
      <c r="C390" s="27" t="s">
        <v>1447</v>
      </c>
      <c r="D390" s="10" t="s">
        <v>1448</v>
      </c>
      <c r="E390" s="28" t="s">
        <v>194</v>
      </c>
      <c r="F390" s="23" t="s">
        <v>195</v>
      </c>
      <c r="G390" s="23" t="s">
        <v>521</v>
      </c>
      <c r="H390" s="23" t="s">
        <v>330</v>
      </c>
      <c r="I390" s="32"/>
      <c r="J390" s="23" t="s">
        <v>6</v>
      </c>
      <c r="K390" s="23" t="str">
        <f t="shared" si="1"/>
        <v>690933</v>
      </c>
      <c r="L390" s="23"/>
      <c r="M390" s="26"/>
      <c r="N390" s="26"/>
      <c r="O390" s="26"/>
      <c r="P390" s="26"/>
      <c r="Q390" s="26"/>
      <c r="R390" s="26"/>
      <c r="S390" s="26"/>
      <c r="T390" s="26"/>
      <c r="U390" s="26"/>
      <c r="V390" s="26"/>
      <c r="W390" s="26"/>
      <c r="X390" s="26"/>
    </row>
    <row r="391" hidden="1">
      <c r="A391" s="10" t="s">
        <v>427</v>
      </c>
      <c r="B391" s="10" t="s">
        <v>1449</v>
      </c>
      <c r="C391" s="27" t="s">
        <v>1450</v>
      </c>
      <c r="D391" s="10" t="s">
        <v>1451</v>
      </c>
      <c r="E391" s="28" t="s">
        <v>534</v>
      </c>
      <c r="F391" s="23" t="s">
        <v>535</v>
      </c>
      <c r="G391" s="23" t="s">
        <v>521</v>
      </c>
      <c r="H391" s="23" t="s">
        <v>330</v>
      </c>
      <c r="I391" s="32"/>
      <c r="J391" s="23" t="s">
        <v>6</v>
      </c>
      <c r="K391" s="23" t="str">
        <f t="shared" si="1"/>
        <v>673165</v>
      </c>
      <c r="L391" s="23"/>
      <c r="M391" s="26"/>
      <c r="N391" s="26"/>
      <c r="O391" s="26"/>
      <c r="P391" s="26"/>
      <c r="Q391" s="26"/>
      <c r="R391" s="26"/>
      <c r="S391" s="26"/>
      <c r="T391" s="26"/>
      <c r="U391" s="26"/>
      <c r="V391" s="26"/>
      <c r="W391" s="26"/>
      <c r="X391" s="26"/>
    </row>
    <row r="392" hidden="1">
      <c r="A392" s="10" t="s">
        <v>427</v>
      </c>
      <c r="B392" s="10" t="s">
        <v>1452</v>
      </c>
      <c r="C392" s="27" t="s">
        <v>1453</v>
      </c>
      <c r="D392" s="10" t="s">
        <v>1454</v>
      </c>
      <c r="E392" s="28" t="s">
        <v>534</v>
      </c>
      <c r="F392" s="23" t="s">
        <v>535</v>
      </c>
      <c r="G392" s="23" t="s">
        <v>521</v>
      </c>
      <c r="H392" s="23" t="s">
        <v>330</v>
      </c>
      <c r="I392" s="32"/>
      <c r="J392" s="23" t="s">
        <v>6</v>
      </c>
      <c r="K392" s="23" t="str">
        <f t="shared" si="1"/>
        <v>673158</v>
      </c>
      <c r="L392" s="23"/>
      <c r="M392" s="26"/>
      <c r="N392" s="26"/>
      <c r="O392" s="26"/>
      <c r="P392" s="26"/>
      <c r="Q392" s="26"/>
      <c r="R392" s="26"/>
      <c r="S392" s="26"/>
      <c r="T392" s="26"/>
      <c r="U392" s="26"/>
      <c r="V392" s="26"/>
      <c r="W392" s="26"/>
      <c r="X392" s="26"/>
    </row>
    <row r="393" hidden="1">
      <c r="A393" s="10" t="s">
        <v>427</v>
      </c>
      <c r="B393" s="10" t="s">
        <v>1455</v>
      </c>
      <c r="C393" s="27" t="s">
        <v>1456</v>
      </c>
      <c r="D393" s="10" t="s">
        <v>1457</v>
      </c>
      <c r="E393" s="28" t="s">
        <v>418</v>
      </c>
      <c r="F393" s="23" t="s">
        <v>419</v>
      </c>
      <c r="G393" s="23" t="s">
        <v>521</v>
      </c>
      <c r="H393" s="23" t="s">
        <v>330</v>
      </c>
      <c r="I393" s="32"/>
      <c r="J393" s="23" t="s">
        <v>6</v>
      </c>
      <c r="K393" s="23" t="str">
        <f t="shared" si="1"/>
        <v>690155s</v>
      </c>
      <c r="L393" s="23"/>
      <c r="M393" s="26"/>
      <c r="N393" s="26"/>
      <c r="O393" s="26"/>
      <c r="P393" s="26"/>
      <c r="Q393" s="26"/>
      <c r="R393" s="26"/>
      <c r="S393" s="26"/>
      <c r="T393" s="26"/>
      <c r="U393" s="26"/>
      <c r="V393" s="26"/>
      <c r="W393" s="26"/>
      <c r="X393" s="26"/>
    </row>
    <row r="394" hidden="1">
      <c r="A394" s="10" t="s">
        <v>427</v>
      </c>
      <c r="B394" s="10" t="s">
        <v>1458</v>
      </c>
      <c r="C394" s="27" t="s">
        <v>1459</v>
      </c>
      <c r="D394" s="10" t="s">
        <v>1460</v>
      </c>
      <c r="E394" s="28" t="s">
        <v>418</v>
      </c>
      <c r="F394" s="23" t="s">
        <v>419</v>
      </c>
      <c r="G394" s="23" t="s">
        <v>521</v>
      </c>
      <c r="H394" s="23" t="s">
        <v>330</v>
      </c>
      <c r="I394" s="32"/>
      <c r="J394" s="23" t="s">
        <v>6</v>
      </c>
      <c r="K394" s="23" t="str">
        <f t="shared" si="1"/>
        <v>682730</v>
      </c>
      <c r="L394" s="23"/>
      <c r="M394" s="26"/>
      <c r="N394" s="26"/>
      <c r="O394" s="26"/>
      <c r="P394" s="26"/>
      <c r="Q394" s="26"/>
      <c r="R394" s="26"/>
      <c r="S394" s="26"/>
      <c r="T394" s="26"/>
      <c r="U394" s="26"/>
      <c r="V394" s="26"/>
      <c r="W394" s="26"/>
      <c r="X394" s="26"/>
    </row>
    <row r="395" hidden="1">
      <c r="A395" s="10" t="s">
        <v>427</v>
      </c>
      <c r="B395" s="10" t="s">
        <v>1461</v>
      </c>
      <c r="C395" s="27" t="s">
        <v>1462</v>
      </c>
      <c r="D395" s="10" t="s">
        <v>1463</v>
      </c>
      <c r="E395" s="28" t="s">
        <v>534</v>
      </c>
      <c r="F395" s="23" t="s">
        <v>757</v>
      </c>
      <c r="G395" s="23" t="s">
        <v>521</v>
      </c>
      <c r="H395" s="23" t="s">
        <v>330</v>
      </c>
      <c r="I395" s="32"/>
      <c r="J395" s="23" t="s">
        <v>6</v>
      </c>
      <c r="K395" s="23" t="str">
        <f t="shared" si="1"/>
        <v>682761s</v>
      </c>
      <c r="L395" s="23"/>
      <c r="M395" s="26"/>
      <c r="N395" s="26"/>
      <c r="O395" s="26"/>
      <c r="P395" s="26"/>
      <c r="Q395" s="26"/>
      <c r="R395" s="26"/>
      <c r="S395" s="26"/>
      <c r="T395" s="26"/>
      <c r="U395" s="26"/>
      <c r="V395" s="26"/>
      <c r="W395" s="26"/>
      <c r="X395" s="26"/>
    </row>
    <row r="396" hidden="1">
      <c r="A396" s="10" t="s">
        <v>427</v>
      </c>
      <c r="B396" s="10" t="s">
        <v>1464</v>
      </c>
      <c r="C396" s="27" t="s">
        <v>1465</v>
      </c>
      <c r="D396" s="10" t="s">
        <v>1466</v>
      </c>
      <c r="E396" s="28" t="s">
        <v>418</v>
      </c>
      <c r="F396" s="23" t="s">
        <v>977</v>
      </c>
      <c r="G396" s="23" t="s">
        <v>521</v>
      </c>
      <c r="H396" s="23" t="s">
        <v>330</v>
      </c>
      <c r="I396" s="32"/>
      <c r="J396" s="23" t="s">
        <v>6</v>
      </c>
      <c r="K396" s="23" t="str">
        <f t="shared" si="1"/>
        <v>682778s</v>
      </c>
      <c r="L396" s="23"/>
      <c r="M396" s="26"/>
      <c r="N396" s="26"/>
      <c r="O396" s="26"/>
      <c r="P396" s="26"/>
      <c r="Q396" s="26"/>
      <c r="R396" s="26"/>
      <c r="S396" s="26"/>
      <c r="T396" s="26"/>
      <c r="U396" s="26"/>
      <c r="V396" s="26"/>
      <c r="W396" s="26"/>
      <c r="X396" s="26"/>
    </row>
    <row r="397" hidden="1">
      <c r="A397" s="10" t="s">
        <v>427</v>
      </c>
      <c r="B397" s="10" t="s">
        <v>1467</v>
      </c>
      <c r="C397" s="27" t="s">
        <v>1468</v>
      </c>
      <c r="D397" s="10" t="s">
        <v>1469</v>
      </c>
      <c r="E397" s="28" t="s">
        <v>418</v>
      </c>
      <c r="F397" s="23" t="s">
        <v>419</v>
      </c>
      <c r="G397" s="23" t="s">
        <v>521</v>
      </c>
      <c r="H397" s="23" t="s">
        <v>330</v>
      </c>
      <c r="I397" s="32"/>
      <c r="J397" s="23" t="s">
        <v>6</v>
      </c>
      <c r="K397" s="23" t="str">
        <f t="shared" si="1"/>
        <v>673080s</v>
      </c>
      <c r="L397" s="23"/>
      <c r="M397" s="26"/>
      <c r="N397" s="26"/>
      <c r="O397" s="26"/>
      <c r="P397" s="26"/>
      <c r="Q397" s="26"/>
      <c r="R397" s="26"/>
      <c r="S397" s="26"/>
      <c r="T397" s="26"/>
      <c r="U397" s="26"/>
      <c r="V397" s="26"/>
      <c r="W397" s="26"/>
      <c r="X397" s="26"/>
    </row>
    <row r="398" hidden="1">
      <c r="A398" s="10" t="s">
        <v>427</v>
      </c>
      <c r="B398" s="10" t="s">
        <v>1470</v>
      </c>
      <c r="C398" s="27" t="s">
        <v>1471</v>
      </c>
      <c r="D398" s="10" t="s">
        <v>1472</v>
      </c>
      <c r="E398" s="28" t="s">
        <v>418</v>
      </c>
      <c r="F398" s="23" t="s">
        <v>977</v>
      </c>
      <c r="G398" s="23" t="s">
        <v>521</v>
      </c>
      <c r="H398" s="23" t="s">
        <v>330</v>
      </c>
      <c r="I398" s="32"/>
      <c r="J398" s="23" t="s">
        <v>6</v>
      </c>
      <c r="K398" s="23" t="str">
        <f t="shared" si="1"/>
        <v>682754</v>
      </c>
      <c r="L398" s="23"/>
      <c r="M398" s="26"/>
      <c r="N398" s="26"/>
      <c r="O398" s="26"/>
      <c r="P398" s="26"/>
      <c r="Q398" s="26"/>
      <c r="R398" s="26"/>
      <c r="S398" s="26"/>
      <c r="T398" s="26"/>
      <c r="U398" s="26"/>
      <c r="V398" s="26"/>
      <c r="W398" s="26"/>
      <c r="X398" s="26"/>
    </row>
    <row r="399" hidden="1">
      <c r="A399" s="10" t="s">
        <v>427</v>
      </c>
      <c r="B399" s="10" t="s">
        <v>1473</v>
      </c>
      <c r="C399" s="27" t="s">
        <v>1474</v>
      </c>
      <c r="D399" s="10" t="s">
        <v>1475</v>
      </c>
      <c r="E399" s="28" t="s">
        <v>534</v>
      </c>
      <c r="F399" s="23" t="s">
        <v>757</v>
      </c>
      <c r="G399" s="23" t="s">
        <v>521</v>
      </c>
      <c r="H399" s="23" t="s">
        <v>330</v>
      </c>
      <c r="I399" s="32"/>
      <c r="J399" s="23" t="s">
        <v>6</v>
      </c>
      <c r="K399" s="23" t="str">
        <f t="shared" si="1"/>
        <v>682679</v>
      </c>
      <c r="L399" s="23"/>
      <c r="M399" s="26"/>
      <c r="N399" s="26"/>
      <c r="O399" s="26"/>
      <c r="P399" s="26"/>
      <c r="Q399" s="26"/>
      <c r="R399" s="26"/>
      <c r="S399" s="26"/>
      <c r="T399" s="26"/>
      <c r="U399" s="26"/>
      <c r="V399" s="26"/>
      <c r="W399" s="26"/>
      <c r="X399" s="26"/>
    </row>
    <row r="400" hidden="1">
      <c r="A400" s="10" t="s">
        <v>427</v>
      </c>
      <c r="B400" s="10" t="s">
        <v>1476</v>
      </c>
      <c r="C400" s="27" t="s">
        <v>1477</v>
      </c>
      <c r="D400" s="10" t="s">
        <v>1478</v>
      </c>
      <c r="E400" s="28" t="s">
        <v>534</v>
      </c>
      <c r="F400" s="23" t="s">
        <v>1238</v>
      </c>
      <c r="G400" s="23" t="s">
        <v>521</v>
      </c>
      <c r="H400" s="23" t="s">
        <v>330</v>
      </c>
      <c r="I400" s="32"/>
      <c r="J400" s="23" t="s">
        <v>6</v>
      </c>
      <c r="K400" s="23" t="str">
        <f t="shared" si="1"/>
        <v>682808s</v>
      </c>
      <c r="L400" s="23"/>
      <c r="M400" s="26"/>
      <c r="N400" s="26"/>
      <c r="O400" s="26"/>
      <c r="P400" s="26"/>
      <c r="Q400" s="26"/>
      <c r="R400" s="26"/>
      <c r="S400" s="26"/>
      <c r="T400" s="26"/>
      <c r="U400" s="26"/>
      <c r="V400" s="26"/>
      <c r="W400" s="26"/>
      <c r="X400" s="26"/>
    </row>
    <row r="401" hidden="1">
      <c r="A401" s="10" t="s">
        <v>427</v>
      </c>
      <c r="B401" s="10" t="s">
        <v>1479</v>
      </c>
      <c r="C401" s="27" t="s">
        <v>1480</v>
      </c>
      <c r="D401" s="10" t="s">
        <v>1481</v>
      </c>
      <c r="E401" s="28" t="s">
        <v>418</v>
      </c>
      <c r="F401" s="23" t="s">
        <v>419</v>
      </c>
      <c r="G401" s="23" t="s">
        <v>521</v>
      </c>
      <c r="H401" s="23" t="s">
        <v>330</v>
      </c>
      <c r="I401" s="32"/>
      <c r="J401" s="23" t="s">
        <v>6</v>
      </c>
      <c r="K401" s="23" t="str">
        <f t="shared" si="1"/>
        <v>672793</v>
      </c>
      <c r="L401" s="23"/>
      <c r="M401" s="26"/>
      <c r="N401" s="26"/>
      <c r="O401" s="26"/>
      <c r="P401" s="26"/>
      <c r="Q401" s="26"/>
      <c r="R401" s="26"/>
      <c r="S401" s="26"/>
      <c r="T401" s="26"/>
      <c r="U401" s="26"/>
      <c r="V401" s="26"/>
      <c r="W401" s="26"/>
      <c r="X401" s="26"/>
    </row>
    <row r="402" hidden="1">
      <c r="A402" s="10" t="s">
        <v>414</v>
      </c>
      <c r="B402" s="10" t="s">
        <v>1482</v>
      </c>
      <c r="C402" s="27" t="s">
        <v>1483</v>
      </c>
      <c r="D402" s="10" t="s">
        <v>1484</v>
      </c>
      <c r="E402" s="28" t="s">
        <v>534</v>
      </c>
      <c r="F402" s="23" t="s">
        <v>757</v>
      </c>
      <c r="G402" s="23" t="s">
        <v>521</v>
      </c>
      <c r="H402" s="23" t="s">
        <v>330</v>
      </c>
      <c r="I402" s="32"/>
      <c r="J402" s="23" t="s">
        <v>6</v>
      </c>
      <c r="K402" s="23" t="str">
        <f t="shared" si="1"/>
        <v>690919P</v>
      </c>
      <c r="L402" s="23"/>
      <c r="M402" s="26"/>
      <c r="N402" s="26"/>
      <c r="O402" s="26"/>
      <c r="P402" s="26"/>
      <c r="Q402" s="26"/>
      <c r="R402" s="26"/>
      <c r="S402" s="26"/>
      <c r="T402" s="26"/>
      <c r="U402" s="26"/>
      <c r="V402" s="26"/>
      <c r="W402" s="26"/>
      <c r="X402" s="26"/>
    </row>
    <row r="403" hidden="1">
      <c r="A403" s="10" t="s">
        <v>414</v>
      </c>
      <c r="B403" s="10" t="s">
        <v>1485</v>
      </c>
      <c r="C403" s="27" t="s">
        <v>1486</v>
      </c>
      <c r="D403" s="10" t="s">
        <v>844</v>
      </c>
      <c r="E403" s="28" t="s">
        <v>194</v>
      </c>
      <c r="F403" s="23" t="s">
        <v>195</v>
      </c>
      <c r="G403" s="23" t="s">
        <v>521</v>
      </c>
      <c r="H403" s="23" t="s">
        <v>330</v>
      </c>
      <c r="I403" s="32"/>
      <c r="J403" s="23" t="s">
        <v>6</v>
      </c>
      <c r="K403" s="23" t="str">
        <f t="shared" si="1"/>
        <v>690155p</v>
      </c>
      <c r="L403" s="23"/>
      <c r="M403" s="26"/>
      <c r="N403" s="26"/>
      <c r="O403" s="26"/>
      <c r="P403" s="26"/>
      <c r="Q403" s="26"/>
      <c r="R403" s="26"/>
      <c r="S403" s="26"/>
      <c r="T403" s="26"/>
      <c r="U403" s="26"/>
      <c r="V403" s="26"/>
      <c r="W403" s="26"/>
      <c r="X403" s="26"/>
    </row>
    <row r="404" hidden="1">
      <c r="A404" s="10" t="s">
        <v>414</v>
      </c>
      <c r="B404" s="10" t="s">
        <v>1487</v>
      </c>
      <c r="C404" s="27" t="s">
        <v>1488</v>
      </c>
      <c r="D404" s="10" t="s">
        <v>1489</v>
      </c>
      <c r="E404" s="28" t="s">
        <v>534</v>
      </c>
      <c r="F404" s="23" t="s">
        <v>757</v>
      </c>
      <c r="G404" s="23" t="s">
        <v>521</v>
      </c>
      <c r="H404" s="23" t="s">
        <v>330</v>
      </c>
      <c r="I404" s="32"/>
      <c r="J404" s="23" t="s">
        <v>6</v>
      </c>
      <c r="K404" s="23" t="str">
        <f t="shared" si="1"/>
        <v>674889p</v>
      </c>
      <c r="L404" s="23"/>
      <c r="M404" s="26"/>
      <c r="N404" s="26"/>
      <c r="O404" s="26"/>
      <c r="P404" s="26"/>
      <c r="Q404" s="26"/>
      <c r="R404" s="26"/>
      <c r="S404" s="26"/>
      <c r="T404" s="26"/>
      <c r="U404" s="26"/>
      <c r="V404" s="26"/>
      <c r="W404" s="26"/>
      <c r="X404" s="26"/>
    </row>
    <row r="405" hidden="1">
      <c r="A405" s="10" t="s">
        <v>414</v>
      </c>
      <c r="B405" s="10" t="s">
        <v>1490</v>
      </c>
      <c r="C405" s="27" t="s">
        <v>1491</v>
      </c>
      <c r="D405" s="10" t="s">
        <v>1492</v>
      </c>
      <c r="E405" s="28" t="s">
        <v>194</v>
      </c>
      <c r="F405" s="23" t="s">
        <v>195</v>
      </c>
      <c r="G405" s="23" t="s">
        <v>521</v>
      </c>
      <c r="H405" s="23" t="s">
        <v>330</v>
      </c>
      <c r="I405" s="32"/>
      <c r="J405" s="23" t="s">
        <v>6</v>
      </c>
      <c r="K405" s="23" t="str">
        <f t="shared" si="1"/>
        <v>682679p</v>
      </c>
      <c r="L405" s="23"/>
      <c r="M405" s="26"/>
      <c r="N405" s="26"/>
      <c r="O405" s="26"/>
      <c r="P405" s="26"/>
      <c r="Q405" s="26"/>
      <c r="R405" s="26"/>
      <c r="S405" s="26"/>
      <c r="T405" s="26"/>
      <c r="U405" s="26"/>
      <c r="V405" s="26"/>
      <c r="W405" s="26"/>
      <c r="X405" s="26"/>
    </row>
    <row r="406" hidden="1">
      <c r="A406" s="10" t="s">
        <v>414</v>
      </c>
      <c r="B406" s="10" t="s">
        <v>1493</v>
      </c>
      <c r="C406" s="27" t="s">
        <v>1494</v>
      </c>
      <c r="D406" s="10" t="s">
        <v>1495</v>
      </c>
      <c r="E406" s="28" t="s">
        <v>431</v>
      </c>
      <c r="F406" s="23" t="s">
        <v>1053</v>
      </c>
      <c r="G406" s="23" t="s">
        <v>521</v>
      </c>
      <c r="H406" s="23" t="s">
        <v>330</v>
      </c>
      <c r="I406" s="32"/>
      <c r="J406" s="23" t="s">
        <v>6</v>
      </c>
      <c r="K406" s="23" t="str">
        <f t="shared" si="1"/>
        <v>673165p</v>
      </c>
      <c r="L406" s="23"/>
      <c r="M406" s="26"/>
      <c r="N406" s="26"/>
      <c r="O406" s="26"/>
      <c r="P406" s="26"/>
      <c r="Q406" s="26"/>
      <c r="R406" s="26"/>
      <c r="S406" s="26"/>
      <c r="T406" s="26"/>
      <c r="U406" s="26"/>
      <c r="V406" s="26"/>
      <c r="W406" s="26"/>
      <c r="X406" s="26"/>
    </row>
    <row r="407" hidden="1">
      <c r="A407" s="10" t="s">
        <v>414</v>
      </c>
      <c r="B407" s="10" t="s">
        <v>1496</v>
      </c>
      <c r="C407" s="27" t="s">
        <v>1497</v>
      </c>
      <c r="D407" s="10" t="s">
        <v>1498</v>
      </c>
      <c r="E407" s="28" t="s">
        <v>431</v>
      </c>
      <c r="F407" s="23" t="s">
        <v>1053</v>
      </c>
      <c r="G407" s="23" t="s">
        <v>521</v>
      </c>
      <c r="H407" s="23" t="s">
        <v>330</v>
      </c>
      <c r="I407" s="32"/>
      <c r="J407" s="23" t="s">
        <v>6</v>
      </c>
      <c r="K407" s="23" t="str">
        <f t="shared" si="1"/>
        <v>673158p</v>
      </c>
      <c r="L407" s="23"/>
      <c r="M407" s="26"/>
      <c r="N407" s="26"/>
      <c r="O407" s="26"/>
      <c r="P407" s="26"/>
      <c r="Q407" s="26"/>
      <c r="R407" s="26"/>
      <c r="S407" s="26"/>
      <c r="T407" s="26"/>
      <c r="U407" s="26"/>
      <c r="V407" s="26"/>
      <c r="W407" s="26"/>
      <c r="X407" s="26"/>
    </row>
    <row r="408" hidden="1">
      <c r="A408" s="10" t="s">
        <v>414</v>
      </c>
      <c r="B408" s="10" t="s">
        <v>1499</v>
      </c>
      <c r="C408" s="27" t="s">
        <v>1500</v>
      </c>
      <c r="D408" s="10" t="s">
        <v>1501</v>
      </c>
      <c r="E408" s="28" t="s">
        <v>418</v>
      </c>
      <c r="F408" s="23" t="s">
        <v>977</v>
      </c>
      <c r="G408" s="23" t="s">
        <v>521</v>
      </c>
      <c r="H408" s="23" t="s">
        <v>330</v>
      </c>
      <c r="I408" s="32"/>
      <c r="J408" s="23" t="s">
        <v>6</v>
      </c>
      <c r="K408" s="23" t="str">
        <f t="shared" si="1"/>
        <v>682730p</v>
      </c>
      <c r="L408" s="23"/>
      <c r="M408" s="26"/>
      <c r="N408" s="26"/>
      <c r="O408" s="26"/>
      <c r="P408" s="26"/>
      <c r="Q408" s="26"/>
      <c r="R408" s="26"/>
      <c r="S408" s="26"/>
      <c r="T408" s="26"/>
      <c r="U408" s="26"/>
      <c r="V408" s="26"/>
      <c r="W408" s="26"/>
      <c r="X408" s="26"/>
    </row>
    <row r="409" hidden="1">
      <c r="A409" s="10" t="s">
        <v>414</v>
      </c>
      <c r="B409" s="10" t="s">
        <v>1502</v>
      </c>
      <c r="C409" s="27" t="s">
        <v>1503</v>
      </c>
      <c r="D409" s="10" t="s">
        <v>1504</v>
      </c>
      <c r="E409" s="28" t="s">
        <v>534</v>
      </c>
      <c r="F409" s="23" t="s">
        <v>757</v>
      </c>
      <c r="G409" s="23" t="s">
        <v>521</v>
      </c>
      <c r="H409" s="23" t="s">
        <v>330</v>
      </c>
      <c r="I409" s="32"/>
      <c r="J409" s="23" t="s">
        <v>6</v>
      </c>
      <c r="K409" s="23" t="str">
        <f t="shared" si="1"/>
        <v>682754p</v>
      </c>
      <c r="L409" s="23"/>
      <c r="M409" s="26"/>
      <c r="N409" s="26"/>
      <c r="O409" s="26"/>
      <c r="P409" s="26"/>
      <c r="Q409" s="26"/>
      <c r="R409" s="26"/>
      <c r="S409" s="26"/>
      <c r="T409" s="26"/>
      <c r="U409" s="26"/>
      <c r="V409" s="26"/>
      <c r="W409" s="26"/>
      <c r="X409" s="26"/>
    </row>
    <row r="410" hidden="1">
      <c r="A410" s="10" t="s">
        <v>414</v>
      </c>
      <c r="B410" s="10" t="s">
        <v>1505</v>
      </c>
      <c r="C410" s="27" t="s">
        <v>1506</v>
      </c>
      <c r="D410" s="10" t="s">
        <v>1507</v>
      </c>
      <c r="E410" s="28" t="s">
        <v>534</v>
      </c>
      <c r="F410" s="23" t="s">
        <v>757</v>
      </c>
      <c r="G410" s="23" t="s">
        <v>521</v>
      </c>
      <c r="H410" s="23" t="s">
        <v>330</v>
      </c>
      <c r="I410" s="32"/>
      <c r="J410" s="23" t="s">
        <v>6</v>
      </c>
      <c r="K410" s="23" t="str">
        <f t="shared" si="1"/>
        <v>672793p</v>
      </c>
      <c r="L410" s="23"/>
      <c r="M410" s="26"/>
      <c r="N410" s="26"/>
      <c r="O410" s="26"/>
      <c r="P410" s="26"/>
      <c r="Q410" s="26"/>
      <c r="R410" s="26"/>
      <c r="S410" s="26"/>
      <c r="T410" s="26"/>
      <c r="U410" s="26"/>
      <c r="V410" s="26"/>
      <c r="W410" s="26"/>
      <c r="X410" s="26"/>
    </row>
    <row r="411" hidden="1">
      <c r="A411" s="10" t="s">
        <v>190</v>
      </c>
      <c r="B411" s="10" t="s">
        <v>1508</v>
      </c>
      <c r="C411" s="27" t="s">
        <v>1509</v>
      </c>
      <c r="D411" s="10" t="s">
        <v>1510</v>
      </c>
      <c r="E411" s="28" t="s">
        <v>194</v>
      </c>
      <c r="F411" s="23" t="s">
        <v>195</v>
      </c>
      <c r="G411" s="23" t="s">
        <v>203</v>
      </c>
      <c r="H411" s="23" t="s">
        <v>216</v>
      </c>
      <c r="I411" s="23" t="s">
        <v>1511</v>
      </c>
      <c r="J411" s="23" t="s">
        <v>198</v>
      </c>
      <c r="K411" s="23" t="str">
        <f t="shared" si="1"/>
        <v>643519c</v>
      </c>
      <c r="L411" s="23"/>
      <c r="M411" s="26"/>
      <c r="N411" s="26"/>
      <c r="O411" s="26"/>
      <c r="P411" s="26"/>
      <c r="Q411" s="26"/>
      <c r="R411" s="26"/>
      <c r="S411" s="26"/>
      <c r="T411" s="26"/>
      <c r="U411" s="26"/>
      <c r="V411" s="26"/>
      <c r="W411" s="26"/>
      <c r="X411" s="26"/>
    </row>
    <row r="412" hidden="1">
      <c r="A412" s="10" t="s">
        <v>190</v>
      </c>
      <c r="B412" s="10" t="s">
        <v>1512</v>
      </c>
      <c r="C412" s="27" t="s">
        <v>1513</v>
      </c>
      <c r="D412" s="10" t="s">
        <v>1514</v>
      </c>
      <c r="E412" s="28" t="s">
        <v>194</v>
      </c>
      <c r="F412" s="23" t="s">
        <v>195</v>
      </c>
      <c r="G412" s="23" t="s">
        <v>203</v>
      </c>
      <c r="H412" s="23" t="s">
        <v>216</v>
      </c>
      <c r="I412" s="23" t="s">
        <v>223</v>
      </c>
      <c r="J412" s="23" t="s">
        <v>198</v>
      </c>
      <c r="K412" s="23" t="str">
        <f t="shared" si="1"/>
        <v>688473aa</v>
      </c>
      <c r="L412" s="23"/>
      <c r="M412" s="26"/>
      <c r="N412" s="26"/>
      <c r="O412" s="26"/>
      <c r="P412" s="26"/>
      <c r="Q412" s="26"/>
      <c r="R412" s="26"/>
      <c r="S412" s="26"/>
      <c r="T412" s="26"/>
      <c r="U412" s="26"/>
      <c r="V412" s="26"/>
      <c r="W412" s="26"/>
      <c r="X412" s="26"/>
    </row>
    <row r="413" hidden="1">
      <c r="A413" s="10" t="s">
        <v>190</v>
      </c>
      <c r="B413" s="10" t="s">
        <v>1515</v>
      </c>
      <c r="C413" s="27" t="s">
        <v>1516</v>
      </c>
      <c r="D413" s="10" t="s">
        <v>1517</v>
      </c>
      <c r="E413" s="28" t="s">
        <v>194</v>
      </c>
      <c r="F413" s="23" t="s">
        <v>195</v>
      </c>
      <c r="G413" s="23" t="s">
        <v>203</v>
      </c>
      <c r="H413" s="23" t="s">
        <v>216</v>
      </c>
      <c r="I413" s="32"/>
      <c r="J413" s="23" t="s">
        <v>198</v>
      </c>
      <c r="K413" s="23" t="str">
        <f t="shared" si="1"/>
        <v>690766</v>
      </c>
      <c r="L413" s="23"/>
      <c r="M413" s="26"/>
      <c r="N413" s="26"/>
      <c r="O413" s="26"/>
      <c r="P413" s="26"/>
      <c r="Q413" s="26"/>
      <c r="R413" s="26"/>
      <c r="S413" s="26"/>
      <c r="T413" s="26"/>
      <c r="U413" s="26"/>
      <c r="V413" s="26"/>
      <c r="W413" s="26"/>
      <c r="X413" s="26"/>
    </row>
    <row r="414" hidden="1">
      <c r="A414" s="10" t="s">
        <v>190</v>
      </c>
      <c r="B414" s="10" t="s">
        <v>1518</v>
      </c>
      <c r="C414" s="27" t="s">
        <v>1519</v>
      </c>
      <c r="D414" s="10" t="s">
        <v>1520</v>
      </c>
      <c r="E414" s="28" t="s">
        <v>194</v>
      </c>
      <c r="F414" s="23" t="s">
        <v>195</v>
      </c>
      <c r="G414" s="23" t="s">
        <v>203</v>
      </c>
      <c r="H414" s="23" t="s">
        <v>216</v>
      </c>
      <c r="I414" s="23" t="s">
        <v>396</v>
      </c>
      <c r="J414" s="23" t="s">
        <v>198</v>
      </c>
      <c r="K414" s="23" t="str">
        <f t="shared" si="1"/>
        <v>634692W</v>
      </c>
      <c r="L414" s="23"/>
      <c r="M414" s="26"/>
      <c r="N414" s="26"/>
      <c r="O414" s="26"/>
      <c r="P414" s="26"/>
      <c r="Q414" s="26"/>
      <c r="R414" s="26"/>
      <c r="S414" s="26"/>
      <c r="T414" s="26"/>
      <c r="U414" s="26"/>
      <c r="V414" s="26"/>
      <c r="W414" s="26"/>
      <c r="X414" s="26"/>
    </row>
    <row r="415" hidden="1">
      <c r="A415" s="10" t="s">
        <v>190</v>
      </c>
      <c r="B415" s="10" t="s">
        <v>1521</v>
      </c>
      <c r="C415" s="27" t="s">
        <v>1522</v>
      </c>
      <c r="D415" s="10" t="s">
        <v>1523</v>
      </c>
      <c r="E415" s="28" t="s">
        <v>194</v>
      </c>
      <c r="F415" s="23" t="s">
        <v>195</v>
      </c>
      <c r="G415" s="23" t="s">
        <v>203</v>
      </c>
      <c r="H415" s="23" t="s">
        <v>216</v>
      </c>
      <c r="I415" s="23" t="s">
        <v>217</v>
      </c>
      <c r="J415" s="23" t="s">
        <v>198</v>
      </c>
      <c r="K415" s="23" t="str">
        <f t="shared" si="1"/>
        <v>619941aa</v>
      </c>
      <c r="L415" s="23"/>
      <c r="M415" s="26"/>
      <c r="N415" s="26"/>
      <c r="O415" s="26"/>
      <c r="P415" s="26"/>
      <c r="Q415" s="26"/>
      <c r="R415" s="26"/>
      <c r="S415" s="26"/>
      <c r="T415" s="26"/>
      <c r="U415" s="26"/>
      <c r="V415" s="26"/>
      <c r="W415" s="26"/>
      <c r="X415" s="26"/>
    </row>
    <row r="416" hidden="1">
      <c r="A416" s="10" t="s">
        <v>190</v>
      </c>
      <c r="B416" s="10" t="s">
        <v>1524</v>
      </c>
      <c r="C416" s="27" t="s">
        <v>1525</v>
      </c>
      <c r="D416" s="10" t="s">
        <v>1526</v>
      </c>
      <c r="E416" s="28" t="s">
        <v>194</v>
      </c>
      <c r="F416" s="23" t="s">
        <v>195</v>
      </c>
      <c r="G416" s="23" t="s">
        <v>203</v>
      </c>
      <c r="H416" s="23" t="s">
        <v>216</v>
      </c>
      <c r="I416" s="23" t="s">
        <v>338</v>
      </c>
      <c r="J416" s="23" t="s">
        <v>198</v>
      </c>
      <c r="K416" s="23" t="str">
        <f t="shared" si="1"/>
        <v>601588aa</v>
      </c>
      <c r="L416" s="23"/>
      <c r="M416" s="26"/>
      <c r="N416" s="26"/>
      <c r="O416" s="26"/>
      <c r="P416" s="26"/>
      <c r="Q416" s="26"/>
      <c r="R416" s="26"/>
      <c r="S416" s="26"/>
      <c r="T416" s="26"/>
      <c r="U416" s="26"/>
      <c r="V416" s="26"/>
      <c r="W416" s="26"/>
      <c r="X416" s="26"/>
    </row>
    <row r="417" hidden="1">
      <c r="A417" s="10" t="s">
        <v>190</v>
      </c>
      <c r="B417" s="10" t="s">
        <v>1527</v>
      </c>
      <c r="C417" s="27" t="s">
        <v>1528</v>
      </c>
      <c r="D417" s="10" t="s">
        <v>1529</v>
      </c>
      <c r="E417" s="28" t="s">
        <v>194</v>
      </c>
      <c r="F417" s="23" t="s">
        <v>195</v>
      </c>
      <c r="G417" s="23" t="s">
        <v>203</v>
      </c>
      <c r="H417" s="23" t="s">
        <v>216</v>
      </c>
      <c r="I417" s="23" t="s">
        <v>338</v>
      </c>
      <c r="J417" s="23" t="s">
        <v>198</v>
      </c>
      <c r="K417" s="23" t="str">
        <f t="shared" si="1"/>
        <v>650487</v>
      </c>
      <c r="L417" s="23"/>
      <c r="M417" s="26"/>
      <c r="N417" s="26"/>
      <c r="O417" s="26"/>
      <c r="P417" s="26"/>
      <c r="Q417" s="26"/>
      <c r="R417" s="26"/>
      <c r="S417" s="26"/>
      <c r="T417" s="26"/>
      <c r="U417" s="26"/>
      <c r="V417" s="26"/>
      <c r="W417" s="26"/>
      <c r="X417" s="26"/>
    </row>
    <row r="418" hidden="1">
      <c r="A418" s="10" t="s">
        <v>499</v>
      </c>
      <c r="B418" s="10" t="s">
        <v>1530</v>
      </c>
      <c r="C418" s="27" t="s">
        <v>1531</v>
      </c>
      <c r="D418" s="10" t="s">
        <v>1532</v>
      </c>
      <c r="E418" s="28" t="s">
        <v>194</v>
      </c>
      <c r="F418" s="23" t="s">
        <v>525</v>
      </c>
      <c r="G418" s="23" t="s">
        <v>203</v>
      </c>
      <c r="H418" s="23" t="s">
        <v>216</v>
      </c>
      <c r="I418" s="32"/>
      <c r="J418" s="23" t="s">
        <v>6</v>
      </c>
      <c r="K418" s="23" t="str">
        <f t="shared" si="1"/>
        <v>655604</v>
      </c>
      <c r="L418" s="23"/>
      <c r="M418" s="26"/>
      <c r="N418" s="26"/>
      <c r="O418" s="26"/>
      <c r="P418" s="26"/>
      <c r="Q418" s="26"/>
      <c r="R418" s="26"/>
      <c r="S418" s="26"/>
      <c r="T418" s="26"/>
      <c r="U418" s="26"/>
      <c r="V418" s="26"/>
      <c r="W418" s="26"/>
      <c r="X418" s="26"/>
    </row>
    <row r="419" hidden="1">
      <c r="A419" s="10" t="s">
        <v>499</v>
      </c>
      <c r="B419" s="10" t="s">
        <v>1533</v>
      </c>
      <c r="C419" s="27" t="s">
        <v>1534</v>
      </c>
      <c r="D419" s="10" t="s">
        <v>1535</v>
      </c>
      <c r="E419" s="28" t="s">
        <v>194</v>
      </c>
      <c r="F419" s="23" t="s">
        <v>589</v>
      </c>
      <c r="G419" s="23" t="s">
        <v>203</v>
      </c>
      <c r="H419" s="23" t="s">
        <v>216</v>
      </c>
      <c r="I419" s="32"/>
      <c r="J419" s="23" t="s">
        <v>6</v>
      </c>
      <c r="K419" s="23" t="str">
        <f t="shared" si="1"/>
        <v>682792</v>
      </c>
      <c r="L419" s="23"/>
      <c r="M419" s="26"/>
      <c r="N419" s="26"/>
      <c r="O419" s="26"/>
      <c r="P419" s="26"/>
      <c r="Q419" s="26"/>
      <c r="R419" s="26"/>
      <c r="S419" s="26"/>
      <c r="T419" s="26"/>
      <c r="U419" s="26"/>
      <c r="V419" s="26"/>
      <c r="W419" s="26"/>
      <c r="X419" s="26"/>
    </row>
    <row r="420" hidden="1">
      <c r="A420" s="10" t="s">
        <v>414</v>
      </c>
      <c r="B420" s="10" t="s">
        <v>1536</v>
      </c>
      <c r="C420" s="27" t="s">
        <v>1537</v>
      </c>
      <c r="D420" s="10" t="s">
        <v>1538</v>
      </c>
      <c r="E420" s="28" t="s">
        <v>534</v>
      </c>
      <c r="F420" s="23" t="s">
        <v>535</v>
      </c>
      <c r="G420" s="23" t="s">
        <v>203</v>
      </c>
      <c r="H420" s="23" t="s">
        <v>216</v>
      </c>
      <c r="I420" s="32"/>
      <c r="J420" s="23" t="s">
        <v>6</v>
      </c>
      <c r="K420" s="23" t="str">
        <f t="shared" si="1"/>
        <v>655604p</v>
      </c>
      <c r="L420" s="23"/>
      <c r="M420" s="26"/>
      <c r="N420" s="26"/>
      <c r="O420" s="26"/>
      <c r="P420" s="26"/>
      <c r="Q420" s="26"/>
      <c r="R420" s="26"/>
      <c r="S420" s="26"/>
      <c r="T420" s="26"/>
      <c r="U420" s="26"/>
      <c r="V420" s="26"/>
      <c r="W420" s="26"/>
      <c r="X420" s="26"/>
    </row>
    <row r="421" hidden="1">
      <c r="A421" s="10" t="s">
        <v>190</v>
      </c>
      <c r="B421" s="10" t="s">
        <v>1539</v>
      </c>
      <c r="C421" s="27" t="s">
        <v>1540</v>
      </c>
      <c r="D421" s="10" t="s">
        <v>1541</v>
      </c>
      <c r="E421" s="28" t="s">
        <v>194</v>
      </c>
      <c r="F421" s="23" t="s">
        <v>195</v>
      </c>
      <c r="G421" s="23" t="s">
        <v>203</v>
      </c>
      <c r="H421" s="23" t="s">
        <v>625</v>
      </c>
      <c r="I421" s="23" t="s">
        <v>639</v>
      </c>
      <c r="J421" s="23" t="s">
        <v>198</v>
      </c>
      <c r="K421" s="23" t="str">
        <f t="shared" si="1"/>
        <v>648736</v>
      </c>
      <c r="L421" s="23"/>
      <c r="M421" s="26"/>
      <c r="N421" s="26"/>
      <c r="O421" s="26"/>
      <c r="P421" s="26"/>
      <c r="Q421" s="26"/>
      <c r="R421" s="26"/>
      <c r="S421" s="26"/>
      <c r="T421" s="26"/>
      <c r="U421" s="26"/>
      <c r="V421" s="26"/>
      <c r="W421" s="26"/>
      <c r="X421" s="26"/>
    </row>
    <row r="422" hidden="1">
      <c r="A422" s="10" t="s">
        <v>190</v>
      </c>
      <c r="B422" s="10" t="s">
        <v>1542</v>
      </c>
      <c r="C422" s="27" t="s">
        <v>1543</v>
      </c>
      <c r="D422" s="10" t="s">
        <v>1544</v>
      </c>
      <c r="E422" s="28" t="s">
        <v>194</v>
      </c>
      <c r="F422" s="23" t="s">
        <v>195</v>
      </c>
      <c r="G422" s="23" t="s">
        <v>203</v>
      </c>
      <c r="H422" s="23" t="s">
        <v>653</v>
      </c>
      <c r="I422" s="23" t="s">
        <v>654</v>
      </c>
      <c r="J422" s="23" t="s">
        <v>229</v>
      </c>
      <c r="K422" s="23" t="str">
        <f t="shared" si="1"/>
        <v>676555</v>
      </c>
      <c r="L422" s="23"/>
      <c r="M422" s="26"/>
      <c r="N422" s="26"/>
      <c r="O422" s="26"/>
      <c r="P422" s="26"/>
      <c r="Q422" s="26"/>
      <c r="R422" s="26"/>
      <c r="S422" s="26"/>
      <c r="T422" s="26"/>
      <c r="U422" s="26"/>
      <c r="V422" s="26"/>
      <c r="W422" s="26"/>
      <c r="X422" s="26"/>
    </row>
    <row r="423" hidden="1">
      <c r="A423" s="10" t="s">
        <v>190</v>
      </c>
      <c r="B423" s="10" t="s">
        <v>1545</v>
      </c>
      <c r="C423" s="27" t="s">
        <v>1546</v>
      </c>
      <c r="D423" s="10" t="s">
        <v>1547</v>
      </c>
      <c r="E423" s="28" t="s">
        <v>194</v>
      </c>
      <c r="F423" s="23" t="s">
        <v>195</v>
      </c>
      <c r="G423" s="23" t="s">
        <v>203</v>
      </c>
      <c r="H423" s="23" t="s">
        <v>284</v>
      </c>
      <c r="I423" s="23" t="s">
        <v>701</v>
      </c>
      <c r="J423" s="23" t="s">
        <v>198</v>
      </c>
      <c r="K423" s="23" t="str">
        <f t="shared" si="1"/>
        <v>691121</v>
      </c>
      <c r="L423" s="23"/>
      <c r="M423" s="26"/>
      <c r="N423" s="26"/>
      <c r="O423" s="26"/>
      <c r="P423" s="26"/>
      <c r="Q423" s="26"/>
      <c r="R423" s="26"/>
      <c r="S423" s="26"/>
      <c r="T423" s="26"/>
      <c r="U423" s="26"/>
      <c r="V423" s="26"/>
      <c r="W423" s="26"/>
      <c r="X423" s="26"/>
    </row>
    <row r="424" hidden="1">
      <c r="A424" s="10" t="s">
        <v>190</v>
      </c>
      <c r="B424" s="10" t="s">
        <v>1548</v>
      </c>
      <c r="C424" s="27" t="s">
        <v>1549</v>
      </c>
      <c r="D424" s="10" t="s">
        <v>1550</v>
      </c>
      <c r="E424" s="28" t="s">
        <v>194</v>
      </c>
      <c r="F424" s="23" t="s">
        <v>195</v>
      </c>
      <c r="G424" s="23" t="s">
        <v>203</v>
      </c>
      <c r="H424" s="23" t="s">
        <v>222</v>
      </c>
      <c r="I424" s="23" t="s">
        <v>223</v>
      </c>
      <c r="J424" s="23" t="s">
        <v>198</v>
      </c>
      <c r="K424" s="23" t="str">
        <f t="shared" si="1"/>
        <v>687773</v>
      </c>
      <c r="L424" s="23"/>
      <c r="M424" s="26"/>
      <c r="N424" s="26"/>
      <c r="O424" s="26"/>
      <c r="P424" s="26"/>
      <c r="Q424" s="26"/>
      <c r="R424" s="26"/>
      <c r="S424" s="26"/>
      <c r="T424" s="26"/>
      <c r="U424" s="26"/>
      <c r="V424" s="26"/>
      <c r="W424" s="26"/>
      <c r="X424" s="26"/>
    </row>
    <row r="425" hidden="1">
      <c r="A425" s="10" t="s">
        <v>190</v>
      </c>
      <c r="B425" s="10" t="s">
        <v>1551</v>
      </c>
      <c r="C425" s="27" t="s">
        <v>1552</v>
      </c>
      <c r="D425" s="10" t="s">
        <v>1553</v>
      </c>
      <c r="E425" s="28" t="s">
        <v>194</v>
      </c>
      <c r="F425" s="23" t="s">
        <v>195</v>
      </c>
      <c r="G425" s="23" t="s">
        <v>203</v>
      </c>
      <c r="H425" s="23" t="s">
        <v>222</v>
      </c>
      <c r="I425" s="23" t="s">
        <v>223</v>
      </c>
      <c r="J425" s="23" t="s">
        <v>229</v>
      </c>
      <c r="K425" s="23" t="str">
        <f t="shared" si="1"/>
        <v>664279</v>
      </c>
      <c r="L425" s="23"/>
      <c r="M425" s="26"/>
      <c r="N425" s="26"/>
      <c r="O425" s="26"/>
      <c r="P425" s="26"/>
      <c r="Q425" s="26"/>
      <c r="R425" s="26"/>
      <c r="S425" s="26"/>
      <c r="T425" s="26"/>
      <c r="U425" s="26"/>
      <c r="V425" s="26"/>
      <c r="W425" s="26"/>
      <c r="X425" s="26"/>
    </row>
    <row r="426" hidden="1">
      <c r="A426" s="10" t="s">
        <v>190</v>
      </c>
      <c r="B426" s="10" t="s">
        <v>1554</v>
      </c>
      <c r="C426" s="27" t="s">
        <v>1555</v>
      </c>
      <c r="D426" s="10" t="s">
        <v>1556</v>
      </c>
      <c r="E426" s="28" t="s">
        <v>194</v>
      </c>
      <c r="F426" s="23" t="s">
        <v>195</v>
      </c>
      <c r="G426" s="23" t="s">
        <v>203</v>
      </c>
      <c r="H426" s="23" t="s">
        <v>349</v>
      </c>
      <c r="I426" s="23" t="s">
        <v>223</v>
      </c>
      <c r="J426" s="23" t="s">
        <v>198</v>
      </c>
      <c r="K426" s="23" t="str">
        <f t="shared" si="1"/>
        <v>676661</v>
      </c>
      <c r="L426" s="23"/>
      <c r="M426" s="26"/>
      <c r="N426" s="26"/>
      <c r="O426" s="26"/>
      <c r="P426" s="26"/>
      <c r="Q426" s="26"/>
      <c r="R426" s="26"/>
      <c r="S426" s="26"/>
      <c r="T426" s="26"/>
      <c r="U426" s="26"/>
      <c r="V426" s="26"/>
      <c r="W426" s="26"/>
      <c r="X426" s="26"/>
    </row>
    <row r="427" hidden="1">
      <c r="A427" s="10" t="s">
        <v>190</v>
      </c>
      <c r="B427" s="10" t="s">
        <v>1557</v>
      </c>
      <c r="C427" s="27" t="s">
        <v>1558</v>
      </c>
      <c r="D427" s="10" t="s">
        <v>1559</v>
      </c>
      <c r="E427" s="28" t="s">
        <v>194</v>
      </c>
      <c r="F427" s="23" t="s">
        <v>195</v>
      </c>
      <c r="G427" s="23" t="s">
        <v>203</v>
      </c>
      <c r="H427" s="23" t="s">
        <v>216</v>
      </c>
      <c r="I427" s="23" t="s">
        <v>1511</v>
      </c>
      <c r="J427" s="23" t="s">
        <v>198</v>
      </c>
      <c r="K427" s="23" t="str">
        <f t="shared" si="1"/>
        <v>643519</v>
      </c>
      <c r="L427" s="23"/>
      <c r="M427" s="26"/>
      <c r="N427" s="26"/>
      <c r="O427" s="26"/>
      <c r="P427" s="26"/>
      <c r="Q427" s="26"/>
      <c r="R427" s="26"/>
      <c r="S427" s="26"/>
      <c r="T427" s="26"/>
      <c r="U427" s="26"/>
      <c r="V427" s="26"/>
      <c r="W427" s="26"/>
      <c r="X427" s="26"/>
    </row>
    <row r="428" hidden="1">
      <c r="A428" s="10" t="s">
        <v>190</v>
      </c>
      <c r="B428" s="10" t="s">
        <v>1560</v>
      </c>
      <c r="C428" s="27" t="s">
        <v>1561</v>
      </c>
      <c r="D428" s="10" t="s">
        <v>1562</v>
      </c>
      <c r="E428" s="28" t="s">
        <v>194</v>
      </c>
      <c r="F428" s="23" t="s">
        <v>195</v>
      </c>
      <c r="G428" s="23" t="s">
        <v>203</v>
      </c>
      <c r="H428" s="23" t="s">
        <v>600</v>
      </c>
      <c r="I428" s="23" t="s">
        <v>285</v>
      </c>
      <c r="J428" s="23" t="s">
        <v>198</v>
      </c>
      <c r="K428" s="23" t="str">
        <f t="shared" si="1"/>
        <v>624365</v>
      </c>
      <c r="L428" s="23"/>
      <c r="M428" s="23"/>
      <c r="N428" s="23"/>
      <c r="O428" s="23"/>
      <c r="P428" s="23"/>
      <c r="Q428" s="23"/>
      <c r="R428" s="23"/>
      <c r="S428" s="23"/>
      <c r="T428" s="23"/>
      <c r="U428" s="23"/>
      <c r="V428" s="23"/>
      <c r="W428" s="23"/>
      <c r="X428" s="23"/>
    </row>
    <row r="429" hidden="1">
      <c r="A429" s="23" t="s">
        <v>190</v>
      </c>
      <c r="B429" s="23" t="s">
        <v>1563</v>
      </c>
      <c r="C429" s="23" t="s">
        <v>144</v>
      </c>
      <c r="D429" s="8" t="s">
        <v>145</v>
      </c>
      <c r="E429" s="25" t="s">
        <v>194</v>
      </c>
      <c r="F429" s="23" t="s">
        <v>1057</v>
      </c>
      <c r="G429" s="23" t="s">
        <v>203</v>
      </c>
      <c r="H429" s="23" t="s">
        <v>1564</v>
      </c>
      <c r="I429" s="23" t="s">
        <v>1564</v>
      </c>
      <c r="J429" s="23" t="s">
        <v>198</v>
      </c>
      <c r="K429" s="23" t="str">
        <f t="shared" si="1"/>
        <v>678047</v>
      </c>
      <c r="L429" s="23" t="s">
        <v>198</v>
      </c>
      <c r="M429" s="23"/>
      <c r="N429" s="23"/>
      <c r="O429" s="23"/>
      <c r="P429" s="23"/>
      <c r="Q429" s="23"/>
      <c r="R429" s="23"/>
      <c r="S429" s="23"/>
      <c r="T429" s="23"/>
      <c r="U429" s="23"/>
      <c r="V429" s="23"/>
      <c r="W429" s="23"/>
      <c r="X429" s="23"/>
    </row>
    <row r="430" hidden="1">
      <c r="A430" s="23" t="s">
        <v>190</v>
      </c>
      <c r="B430" s="23" t="s">
        <v>1565</v>
      </c>
      <c r="C430" s="23" t="s">
        <v>176</v>
      </c>
      <c r="D430" s="8" t="s">
        <v>177</v>
      </c>
      <c r="E430" s="25" t="s">
        <v>194</v>
      </c>
      <c r="F430" s="23" t="s">
        <v>1057</v>
      </c>
      <c r="G430" s="23" t="s">
        <v>203</v>
      </c>
      <c r="H430" s="23" t="s">
        <v>1564</v>
      </c>
      <c r="I430" s="23" t="s">
        <v>1564</v>
      </c>
      <c r="J430" s="23" t="s">
        <v>198</v>
      </c>
      <c r="K430" s="23" t="str">
        <f t="shared" si="1"/>
        <v>672861</v>
      </c>
      <c r="L430" s="23"/>
      <c r="M430" s="23"/>
      <c r="N430" s="23"/>
      <c r="O430" s="23"/>
      <c r="P430" s="23"/>
      <c r="Q430" s="23"/>
      <c r="R430" s="23"/>
      <c r="S430" s="23"/>
      <c r="T430" s="23"/>
      <c r="U430" s="23"/>
      <c r="V430" s="23"/>
      <c r="W430" s="23"/>
      <c r="X430" s="23"/>
    </row>
    <row r="431" hidden="1">
      <c r="A431" s="23" t="s">
        <v>190</v>
      </c>
      <c r="B431" s="23" t="s">
        <v>1566</v>
      </c>
      <c r="C431" s="23" t="s">
        <v>1567</v>
      </c>
      <c r="D431" s="8" t="s">
        <v>1568</v>
      </c>
      <c r="E431" s="25" t="s">
        <v>194</v>
      </c>
      <c r="F431" s="23" t="s">
        <v>195</v>
      </c>
      <c r="G431" s="23" t="s">
        <v>203</v>
      </c>
      <c r="H431" s="23" t="s">
        <v>309</v>
      </c>
      <c r="I431" s="23" t="s">
        <v>1569</v>
      </c>
      <c r="J431" s="23" t="s">
        <v>198</v>
      </c>
      <c r="K431" s="23" t="str">
        <f t="shared" si="1"/>
        <v>691862</v>
      </c>
      <c r="L431" s="23"/>
      <c r="M431" s="26"/>
      <c r="N431" s="26"/>
      <c r="O431" s="26"/>
      <c r="P431" s="26"/>
      <c r="Q431" s="26"/>
      <c r="R431" s="26"/>
      <c r="S431" s="26"/>
      <c r="T431" s="26"/>
      <c r="U431" s="26"/>
      <c r="V431" s="26"/>
      <c r="W431" s="26"/>
      <c r="X431" s="26"/>
    </row>
    <row r="432" hidden="1">
      <c r="A432" s="23" t="s">
        <v>190</v>
      </c>
      <c r="B432" s="23" t="s">
        <v>1570</v>
      </c>
      <c r="C432" s="23" t="s">
        <v>1571</v>
      </c>
      <c r="D432" s="8" t="s">
        <v>1572</v>
      </c>
      <c r="E432" s="25" t="s">
        <v>194</v>
      </c>
      <c r="F432" s="23" t="s">
        <v>195</v>
      </c>
      <c r="G432" s="23" t="s">
        <v>203</v>
      </c>
      <c r="H432" s="23" t="s">
        <v>309</v>
      </c>
      <c r="I432" s="23" t="s">
        <v>1573</v>
      </c>
      <c r="J432" s="23" t="s">
        <v>198</v>
      </c>
      <c r="K432" s="23" t="str">
        <f t="shared" si="1"/>
        <v>691879</v>
      </c>
      <c r="L432" s="23"/>
      <c r="M432" s="26"/>
      <c r="N432" s="26"/>
      <c r="O432" s="26"/>
      <c r="P432" s="26"/>
      <c r="Q432" s="26"/>
      <c r="R432" s="26"/>
      <c r="S432" s="26"/>
      <c r="T432" s="26"/>
      <c r="U432" s="26"/>
      <c r="V432" s="26"/>
      <c r="W432" s="26"/>
      <c r="X432" s="26"/>
    </row>
    <row r="433" hidden="1">
      <c r="A433" s="23" t="s">
        <v>190</v>
      </c>
      <c r="B433" s="33" t="s">
        <v>1574</v>
      </c>
      <c r="C433" s="23" t="s">
        <v>120</v>
      </c>
      <c r="D433" s="8" t="s">
        <v>121</v>
      </c>
      <c r="E433" s="25" t="s">
        <v>194</v>
      </c>
      <c r="F433" s="23" t="s">
        <v>195</v>
      </c>
      <c r="G433" s="23" t="s">
        <v>203</v>
      </c>
      <c r="H433" s="23" t="s">
        <v>216</v>
      </c>
      <c r="I433" s="23" t="s">
        <v>1575</v>
      </c>
      <c r="J433" s="28" t="s">
        <v>198</v>
      </c>
      <c r="K433" s="34" t="str">
        <f t="shared" si="1"/>
        <v>619972</v>
      </c>
      <c r="L433" s="28"/>
      <c r="M433" s="26"/>
      <c r="N433" s="26"/>
      <c r="O433" s="26"/>
      <c r="P433" s="26"/>
      <c r="Q433" s="26"/>
      <c r="R433" s="26"/>
      <c r="S433" s="26"/>
      <c r="T433" s="26"/>
      <c r="U433" s="26"/>
      <c r="V433" s="26"/>
      <c r="W433" s="26"/>
      <c r="X433" s="26"/>
    </row>
    <row r="434" hidden="1">
      <c r="A434" s="23" t="s">
        <v>190</v>
      </c>
      <c r="B434" s="8" t="s">
        <v>1576</v>
      </c>
      <c r="C434" s="24" t="s">
        <v>1577</v>
      </c>
      <c r="D434" s="8" t="s">
        <v>1578</v>
      </c>
      <c r="E434" s="25" t="s">
        <v>194</v>
      </c>
      <c r="F434" s="23" t="s">
        <v>195</v>
      </c>
      <c r="G434" s="23" t="s">
        <v>203</v>
      </c>
      <c r="H434" s="23" t="s">
        <v>600</v>
      </c>
      <c r="I434" s="23" t="s">
        <v>1579</v>
      </c>
      <c r="J434" s="28" t="s">
        <v>198</v>
      </c>
      <c r="K434" s="35" t="str">
        <f t="shared" si="1"/>
        <v>680187</v>
      </c>
      <c r="L434" s="28"/>
      <c r="M434" s="26"/>
      <c r="N434" s="26"/>
      <c r="O434" s="26"/>
      <c r="P434" s="26"/>
      <c r="Q434" s="26"/>
      <c r="R434" s="26"/>
      <c r="S434" s="26"/>
      <c r="T434" s="26"/>
      <c r="U434" s="26"/>
      <c r="V434" s="26"/>
      <c r="W434" s="26"/>
      <c r="X434" s="26"/>
    </row>
    <row r="435" hidden="1">
      <c r="A435" s="23" t="s">
        <v>190</v>
      </c>
      <c r="B435" s="8" t="s">
        <v>1580</v>
      </c>
      <c r="C435" s="24" t="s">
        <v>102</v>
      </c>
      <c r="D435" s="8" t="s">
        <v>103</v>
      </c>
      <c r="E435" s="25" t="s">
        <v>194</v>
      </c>
      <c r="F435" s="23" t="s">
        <v>195</v>
      </c>
      <c r="G435" s="23" t="s">
        <v>203</v>
      </c>
      <c r="H435" s="23" t="s">
        <v>653</v>
      </c>
      <c r="I435" s="23" t="s">
        <v>658</v>
      </c>
      <c r="J435" s="23" t="s">
        <v>198</v>
      </c>
      <c r="K435" s="23" t="str">
        <f t="shared" si="1"/>
        <v>676548</v>
      </c>
      <c r="L435" s="23"/>
      <c r="M435" s="26"/>
      <c r="N435" s="26"/>
      <c r="O435" s="26"/>
      <c r="P435" s="26"/>
      <c r="Q435" s="26"/>
      <c r="R435" s="26"/>
      <c r="S435" s="26"/>
      <c r="T435" s="26"/>
      <c r="U435" s="26"/>
      <c r="V435" s="26"/>
      <c r="W435" s="26"/>
      <c r="X435" s="26"/>
    </row>
    <row r="436" hidden="1">
      <c r="A436" s="23" t="s">
        <v>190</v>
      </c>
      <c r="B436" s="8" t="s">
        <v>1581</v>
      </c>
      <c r="C436" s="24" t="s">
        <v>1582</v>
      </c>
      <c r="D436" s="8" t="s">
        <v>1583</v>
      </c>
      <c r="E436" s="25" t="s">
        <v>194</v>
      </c>
      <c r="F436" s="23" t="s">
        <v>195</v>
      </c>
      <c r="G436" s="23" t="s">
        <v>203</v>
      </c>
      <c r="H436" s="23" t="s">
        <v>998</v>
      </c>
      <c r="I436" s="23" t="s">
        <v>1584</v>
      </c>
      <c r="J436" s="23" t="s">
        <v>198</v>
      </c>
      <c r="K436" s="23" t="str">
        <f t="shared" si="1"/>
        <v>683720</v>
      </c>
      <c r="L436" s="23"/>
      <c r="M436" s="26"/>
      <c r="N436" s="26"/>
      <c r="O436" s="26"/>
      <c r="P436" s="26"/>
      <c r="Q436" s="26"/>
      <c r="R436" s="26"/>
      <c r="S436" s="26"/>
      <c r="T436" s="26"/>
      <c r="U436" s="26"/>
      <c r="V436" s="26"/>
      <c r="W436" s="26"/>
      <c r="X436" s="26"/>
    </row>
    <row r="437" hidden="1">
      <c r="A437" s="23" t="s">
        <v>190</v>
      </c>
      <c r="B437" s="23" t="s">
        <v>1585</v>
      </c>
      <c r="C437" s="23" t="s">
        <v>235</v>
      </c>
      <c r="D437" s="8" t="s">
        <v>8</v>
      </c>
      <c r="E437" s="25" t="s">
        <v>194</v>
      </c>
      <c r="F437" s="23" t="s">
        <v>543</v>
      </c>
      <c r="G437" s="23" t="s">
        <v>401</v>
      </c>
      <c r="H437" s="23" t="s">
        <v>544</v>
      </c>
      <c r="I437" s="23"/>
      <c r="J437" s="23" t="s">
        <v>198</v>
      </c>
      <c r="K437" s="23" t="str">
        <f t="shared" si="1"/>
        <v>691411</v>
      </c>
      <c r="L437" s="23"/>
      <c r="M437" s="26"/>
      <c r="N437" s="26"/>
      <c r="O437" s="26"/>
      <c r="P437" s="26"/>
      <c r="Q437" s="26"/>
      <c r="R437" s="26"/>
      <c r="S437" s="26"/>
      <c r="T437" s="26"/>
      <c r="U437" s="26"/>
      <c r="V437" s="26"/>
      <c r="W437" s="26"/>
      <c r="X437" s="26"/>
    </row>
    <row r="438" hidden="1">
      <c r="A438" s="23" t="s">
        <v>190</v>
      </c>
      <c r="B438" s="23" t="s">
        <v>1586</v>
      </c>
      <c r="C438" s="23" t="s">
        <v>114</v>
      </c>
      <c r="D438" s="8" t="s">
        <v>115</v>
      </c>
      <c r="E438" s="25" t="s">
        <v>194</v>
      </c>
      <c r="F438" s="23" t="s">
        <v>195</v>
      </c>
      <c r="G438" s="23" t="s">
        <v>203</v>
      </c>
      <c r="H438" s="23" t="s">
        <v>600</v>
      </c>
      <c r="I438" s="23" t="s">
        <v>1579</v>
      </c>
      <c r="J438" s="23" t="s">
        <v>198</v>
      </c>
      <c r="K438" s="23" t="str">
        <f t="shared" si="1"/>
        <v>680255</v>
      </c>
      <c r="L438" s="23"/>
      <c r="M438" s="26"/>
      <c r="N438" s="26"/>
      <c r="O438" s="26"/>
      <c r="P438" s="26"/>
      <c r="Q438" s="26"/>
      <c r="R438" s="26"/>
      <c r="S438" s="26"/>
      <c r="T438" s="26"/>
      <c r="U438" s="26"/>
      <c r="V438" s="26"/>
      <c r="W438" s="26"/>
      <c r="X438" s="26"/>
    </row>
    <row r="439" hidden="1">
      <c r="A439" s="23" t="s">
        <v>190</v>
      </c>
      <c r="B439" s="8" t="s">
        <v>1587</v>
      </c>
      <c r="C439" s="23" t="s">
        <v>136</v>
      </c>
      <c r="D439" s="8" t="s">
        <v>137</v>
      </c>
      <c r="E439" s="25" t="s">
        <v>194</v>
      </c>
      <c r="F439" s="23" t="s">
        <v>195</v>
      </c>
      <c r="G439" s="23" t="s">
        <v>203</v>
      </c>
      <c r="H439" s="23" t="s">
        <v>222</v>
      </c>
      <c r="I439" s="23" t="s">
        <v>289</v>
      </c>
      <c r="J439" s="23" t="s">
        <v>229</v>
      </c>
      <c r="K439" s="23" t="str">
        <f t="shared" si="1"/>
        <v>676463</v>
      </c>
      <c r="L439" s="23"/>
      <c r="M439" s="26"/>
      <c r="N439" s="26"/>
      <c r="O439" s="26"/>
      <c r="P439" s="26"/>
      <c r="Q439" s="26"/>
      <c r="R439" s="26"/>
      <c r="S439" s="26"/>
      <c r="T439" s="26"/>
      <c r="U439" s="26"/>
      <c r="V439" s="26"/>
      <c r="W439" s="26"/>
      <c r="X439" s="26"/>
    </row>
    <row r="440" hidden="1">
      <c r="A440" s="23" t="s">
        <v>190</v>
      </c>
      <c r="B440" s="8" t="s">
        <v>1588</v>
      </c>
      <c r="C440" s="23" t="s">
        <v>1589</v>
      </c>
      <c r="D440" s="8" t="s">
        <v>1590</v>
      </c>
      <c r="E440" s="25" t="s">
        <v>194</v>
      </c>
      <c r="F440" s="23" t="s">
        <v>195</v>
      </c>
      <c r="G440" s="23" t="s">
        <v>203</v>
      </c>
      <c r="H440" s="23" t="s">
        <v>998</v>
      </c>
      <c r="I440" s="23" t="s">
        <v>1591</v>
      </c>
      <c r="J440" s="23" t="s">
        <v>198</v>
      </c>
      <c r="K440" s="23" t="str">
        <f t="shared" si="1"/>
        <v>618678</v>
      </c>
      <c r="L440" s="23"/>
      <c r="M440" s="26"/>
      <c r="N440" s="26"/>
      <c r="O440" s="26"/>
      <c r="P440" s="26"/>
      <c r="Q440" s="26"/>
      <c r="R440" s="26"/>
      <c r="S440" s="26"/>
      <c r="T440" s="26"/>
      <c r="U440" s="26"/>
      <c r="V440" s="26"/>
      <c r="W440" s="26"/>
      <c r="X440" s="26"/>
    </row>
    <row r="441" hidden="1">
      <c r="A441" s="23" t="s">
        <v>190</v>
      </c>
      <c r="B441" s="8" t="s">
        <v>1592</v>
      </c>
      <c r="C441" s="23" t="s">
        <v>122</v>
      </c>
      <c r="D441" s="8" t="s">
        <v>123</v>
      </c>
      <c r="E441" s="25" t="s">
        <v>194</v>
      </c>
      <c r="F441" s="23" t="s">
        <v>195</v>
      </c>
      <c r="G441" s="23" t="s">
        <v>203</v>
      </c>
      <c r="H441" s="23" t="s">
        <v>222</v>
      </c>
      <c r="I441" s="23" t="s">
        <v>289</v>
      </c>
      <c r="J441" s="23" t="s">
        <v>229</v>
      </c>
      <c r="K441" s="23" t="str">
        <f t="shared" si="1"/>
        <v>629711</v>
      </c>
      <c r="L441" s="23"/>
      <c r="M441" s="26"/>
      <c r="N441" s="26"/>
      <c r="O441" s="26"/>
      <c r="P441" s="26"/>
      <c r="Q441" s="26"/>
      <c r="R441" s="26"/>
      <c r="S441" s="26"/>
      <c r="T441" s="26"/>
      <c r="U441" s="26"/>
      <c r="V441" s="26"/>
      <c r="W441" s="26"/>
      <c r="X441" s="26"/>
    </row>
    <row r="442" hidden="1">
      <c r="A442" s="23" t="s">
        <v>190</v>
      </c>
      <c r="B442" s="23" t="s">
        <v>1593</v>
      </c>
      <c r="C442" s="24" t="s">
        <v>1594</v>
      </c>
      <c r="D442" s="8" t="s">
        <v>1595</v>
      </c>
      <c r="E442" s="25" t="s">
        <v>194</v>
      </c>
      <c r="F442" s="23" t="s">
        <v>195</v>
      </c>
      <c r="G442" s="23" t="s">
        <v>203</v>
      </c>
      <c r="H442" s="23" t="s">
        <v>1596</v>
      </c>
      <c r="I442" s="23" t="s">
        <v>1597</v>
      </c>
      <c r="J442" s="23" t="s">
        <v>238</v>
      </c>
      <c r="K442" s="23" t="str">
        <f t="shared" si="1"/>
        <v>691596</v>
      </c>
      <c r="L442" s="23"/>
      <c r="M442" s="26"/>
      <c r="N442" s="26"/>
      <c r="O442" s="26"/>
      <c r="P442" s="26"/>
      <c r="Q442" s="26"/>
      <c r="R442" s="26"/>
      <c r="S442" s="26"/>
      <c r="T442" s="26"/>
      <c r="U442" s="26"/>
      <c r="V442" s="26"/>
      <c r="W442" s="26"/>
      <c r="X442" s="26"/>
    </row>
    <row r="443" hidden="1">
      <c r="A443" s="23" t="s">
        <v>190</v>
      </c>
      <c r="B443" s="8" t="s">
        <v>1598</v>
      </c>
      <c r="C443" s="24" t="s">
        <v>100</v>
      </c>
      <c r="D443" s="8" t="s">
        <v>101</v>
      </c>
      <c r="E443" s="25" t="s">
        <v>194</v>
      </c>
      <c r="F443" s="23" t="s">
        <v>195</v>
      </c>
      <c r="G443" s="23" t="s">
        <v>203</v>
      </c>
      <c r="H443" s="23" t="s">
        <v>242</v>
      </c>
      <c r="I443" s="23" t="s">
        <v>243</v>
      </c>
      <c r="J443" s="23" t="s">
        <v>229</v>
      </c>
      <c r="K443" s="23" t="str">
        <f t="shared" si="1"/>
        <v>663425</v>
      </c>
      <c r="L443" s="23"/>
      <c r="M443" s="26"/>
      <c r="N443" s="26"/>
      <c r="O443" s="26"/>
      <c r="P443" s="26"/>
      <c r="Q443" s="26"/>
      <c r="R443" s="26"/>
      <c r="S443" s="26"/>
      <c r="T443" s="26"/>
      <c r="U443" s="26"/>
      <c r="V443" s="26"/>
      <c r="W443" s="26"/>
      <c r="X443" s="26"/>
    </row>
    <row r="444" hidden="1">
      <c r="A444" s="23" t="s">
        <v>190</v>
      </c>
      <c r="B444" s="33" t="s">
        <v>1599</v>
      </c>
      <c r="C444" s="23" t="s">
        <v>64</v>
      </c>
      <c r="D444" s="8" t="s">
        <v>75</v>
      </c>
      <c r="E444" s="25" t="s">
        <v>194</v>
      </c>
      <c r="F444" s="23" t="s">
        <v>195</v>
      </c>
      <c r="G444" s="23" t="s">
        <v>203</v>
      </c>
      <c r="H444" s="23" t="s">
        <v>222</v>
      </c>
      <c r="I444" s="23" t="s">
        <v>289</v>
      </c>
      <c r="J444" s="23" t="s">
        <v>229</v>
      </c>
      <c r="K444" s="23" t="str">
        <f t="shared" si="1"/>
        <v>676456</v>
      </c>
      <c r="L444" s="23"/>
      <c r="M444" s="26"/>
      <c r="N444" s="26"/>
      <c r="O444" s="26"/>
      <c r="P444" s="26"/>
      <c r="Q444" s="26"/>
      <c r="R444" s="26"/>
      <c r="S444" s="26"/>
      <c r="T444" s="26"/>
      <c r="U444" s="26"/>
      <c r="V444" s="26"/>
      <c r="W444" s="26"/>
      <c r="X444" s="26"/>
    </row>
    <row r="445" hidden="1">
      <c r="A445" s="23" t="s">
        <v>190</v>
      </c>
      <c r="B445" s="8" t="s">
        <v>1600</v>
      </c>
      <c r="C445" s="24" t="s">
        <v>80</v>
      </c>
      <c r="D445" s="8" t="s">
        <v>81</v>
      </c>
      <c r="E445" s="25" t="s">
        <v>194</v>
      </c>
      <c r="F445" s="23" t="s">
        <v>195</v>
      </c>
      <c r="G445" s="23" t="s">
        <v>203</v>
      </c>
      <c r="H445" s="23" t="s">
        <v>222</v>
      </c>
      <c r="I445" s="23" t="s">
        <v>253</v>
      </c>
      <c r="J445" s="23" t="s">
        <v>229</v>
      </c>
      <c r="K445" s="23" t="str">
        <f t="shared" si="1"/>
        <v>686981</v>
      </c>
      <c r="L445" s="23"/>
      <c r="M445" s="26"/>
      <c r="N445" s="26"/>
      <c r="O445" s="26"/>
      <c r="P445" s="26"/>
      <c r="Q445" s="26"/>
      <c r="R445" s="26"/>
      <c r="S445" s="26"/>
      <c r="T445" s="26"/>
      <c r="U445" s="26"/>
      <c r="V445" s="26"/>
      <c r="W445" s="26"/>
      <c r="X445" s="26"/>
    </row>
    <row r="446" hidden="1">
      <c r="A446" s="23" t="s">
        <v>190</v>
      </c>
      <c r="B446" s="8" t="s">
        <v>1601</v>
      </c>
      <c r="C446" s="24" t="s">
        <v>76</v>
      </c>
      <c r="D446" s="8" t="s">
        <v>77</v>
      </c>
      <c r="E446" s="25" t="s">
        <v>194</v>
      </c>
      <c r="F446" s="23" t="s">
        <v>195</v>
      </c>
      <c r="G446" s="23" t="s">
        <v>203</v>
      </c>
      <c r="H446" s="23" t="s">
        <v>222</v>
      </c>
      <c r="I446" s="23" t="s">
        <v>1602</v>
      </c>
      <c r="J446" s="23" t="s">
        <v>229</v>
      </c>
      <c r="K446" s="23" t="str">
        <f t="shared" si="1"/>
        <v>681368</v>
      </c>
      <c r="L446" s="23"/>
      <c r="M446" s="26"/>
      <c r="N446" s="26"/>
      <c r="O446" s="26"/>
      <c r="P446" s="26"/>
      <c r="Q446" s="26"/>
      <c r="R446" s="26"/>
      <c r="S446" s="26"/>
      <c r="T446" s="26"/>
      <c r="U446" s="26"/>
      <c r="V446" s="26"/>
      <c r="W446" s="26"/>
      <c r="X446" s="26"/>
    </row>
    <row r="447" hidden="1">
      <c r="A447" s="23" t="s">
        <v>190</v>
      </c>
      <c r="B447" s="8" t="s">
        <v>1603</v>
      </c>
      <c r="C447" s="24" t="s">
        <v>49</v>
      </c>
      <c r="D447" s="8" t="s">
        <v>50</v>
      </c>
      <c r="E447" s="25" t="s">
        <v>194</v>
      </c>
      <c r="F447" s="23" t="s">
        <v>195</v>
      </c>
      <c r="G447" s="23" t="s">
        <v>203</v>
      </c>
      <c r="H447" s="23" t="s">
        <v>216</v>
      </c>
      <c r="I447" s="23" t="s">
        <v>396</v>
      </c>
      <c r="J447" s="23" t="s">
        <v>238</v>
      </c>
      <c r="K447" s="23" t="str">
        <f t="shared" si="1"/>
        <v>672458</v>
      </c>
      <c r="L447" s="23"/>
      <c r="M447" s="26"/>
      <c r="N447" s="26"/>
      <c r="O447" s="26"/>
      <c r="P447" s="26"/>
      <c r="Q447" s="26"/>
      <c r="R447" s="26"/>
      <c r="S447" s="26"/>
      <c r="T447" s="26"/>
      <c r="U447" s="26"/>
      <c r="V447" s="26"/>
      <c r="W447" s="26"/>
      <c r="X447" s="26"/>
    </row>
    <row r="448" hidden="1">
      <c r="A448" s="23" t="s">
        <v>190</v>
      </c>
      <c r="B448" s="8" t="s">
        <v>1604</v>
      </c>
      <c r="C448" s="24" t="s">
        <v>134</v>
      </c>
      <c r="D448" s="8" t="s">
        <v>135</v>
      </c>
      <c r="E448" s="25" t="s">
        <v>194</v>
      </c>
      <c r="F448" s="23" t="s">
        <v>195</v>
      </c>
      <c r="G448" s="23" t="s">
        <v>203</v>
      </c>
      <c r="H448" s="23" t="s">
        <v>222</v>
      </c>
      <c r="I448" s="23" t="s">
        <v>289</v>
      </c>
      <c r="J448" s="23" t="s">
        <v>229</v>
      </c>
      <c r="K448" s="23" t="str">
        <f t="shared" si="1"/>
        <v>676401</v>
      </c>
      <c r="L448" s="23"/>
      <c r="M448" s="26"/>
      <c r="N448" s="26"/>
      <c r="O448" s="26"/>
      <c r="P448" s="26"/>
      <c r="Q448" s="26"/>
      <c r="R448" s="26"/>
      <c r="S448" s="26"/>
      <c r="T448" s="26"/>
      <c r="U448" s="26"/>
      <c r="V448" s="26"/>
      <c r="W448" s="26"/>
      <c r="X448" s="26"/>
    </row>
    <row r="449" hidden="1">
      <c r="A449" s="23" t="s">
        <v>190</v>
      </c>
      <c r="B449" s="8" t="s">
        <v>1605</v>
      </c>
      <c r="C449" s="24" t="s">
        <v>67</v>
      </c>
      <c r="D449" s="8" t="s">
        <v>68</v>
      </c>
      <c r="E449" s="25" t="s">
        <v>194</v>
      </c>
      <c r="F449" s="23" t="s">
        <v>195</v>
      </c>
      <c r="G449" s="23" t="s">
        <v>203</v>
      </c>
      <c r="H449" s="23" t="s">
        <v>222</v>
      </c>
      <c r="I449" s="23" t="s">
        <v>1606</v>
      </c>
      <c r="J449" s="23" t="s">
        <v>229</v>
      </c>
      <c r="K449" s="23" t="str">
        <f t="shared" si="1"/>
        <v>635989</v>
      </c>
      <c r="L449" s="23"/>
      <c r="M449" s="26"/>
      <c r="N449" s="26"/>
      <c r="O449" s="26"/>
      <c r="P449" s="26"/>
      <c r="Q449" s="26"/>
      <c r="R449" s="26"/>
      <c r="S449" s="26"/>
      <c r="T449" s="26"/>
      <c r="U449" s="26"/>
      <c r="V449" s="26"/>
      <c r="W449" s="26"/>
      <c r="X449" s="26"/>
    </row>
    <row r="450" hidden="1">
      <c r="A450" s="23" t="s">
        <v>190</v>
      </c>
      <c r="B450" s="8" t="s">
        <v>1607</v>
      </c>
      <c r="C450" s="23" t="s">
        <v>91</v>
      </c>
      <c r="D450" s="8" t="s">
        <v>92</v>
      </c>
      <c r="E450" s="23" t="s">
        <v>194</v>
      </c>
      <c r="F450" s="23" t="s">
        <v>195</v>
      </c>
      <c r="G450" s="23" t="s">
        <v>203</v>
      </c>
      <c r="H450" s="23" t="s">
        <v>293</v>
      </c>
      <c r="I450" s="23" t="s">
        <v>294</v>
      </c>
      <c r="J450" s="23" t="s">
        <v>198</v>
      </c>
      <c r="K450" s="23" t="str">
        <f t="shared" si="1"/>
        <v>681436</v>
      </c>
      <c r="L450" s="23"/>
      <c r="M450" s="26"/>
      <c r="N450" s="26"/>
      <c r="O450" s="26"/>
      <c r="P450" s="26"/>
      <c r="Q450" s="26"/>
      <c r="R450" s="26"/>
      <c r="S450" s="26"/>
      <c r="T450" s="26"/>
      <c r="U450" s="26"/>
      <c r="V450" s="26"/>
      <c r="W450" s="26"/>
      <c r="X450" s="26"/>
    </row>
    <row r="451" hidden="1">
      <c r="A451" s="23" t="s">
        <v>190</v>
      </c>
      <c r="B451" s="8" t="s">
        <v>1608</v>
      </c>
      <c r="C451" s="23" t="s">
        <v>1609</v>
      </c>
      <c r="D451" s="8" t="s">
        <v>1610</v>
      </c>
      <c r="E451" s="23" t="s">
        <v>194</v>
      </c>
      <c r="F451" s="23" t="s">
        <v>195</v>
      </c>
      <c r="G451" s="23" t="s">
        <v>196</v>
      </c>
      <c r="H451" s="23" t="s">
        <v>197</v>
      </c>
      <c r="I451" s="23" t="s">
        <v>197</v>
      </c>
      <c r="J451" s="23" t="s">
        <v>238</v>
      </c>
      <c r="K451" s="23" t="str">
        <f t="shared" si="1"/>
        <v>668062</v>
      </c>
      <c r="L451" s="23"/>
      <c r="M451" s="26"/>
      <c r="N451" s="26"/>
      <c r="O451" s="26"/>
      <c r="P451" s="26"/>
      <c r="Q451" s="26"/>
      <c r="R451" s="26"/>
      <c r="S451" s="26"/>
      <c r="T451" s="26"/>
      <c r="U451" s="26"/>
      <c r="V451" s="26"/>
      <c r="W451" s="26"/>
      <c r="X451" s="26"/>
    </row>
    <row r="452" hidden="1">
      <c r="A452" s="23" t="s">
        <v>190</v>
      </c>
      <c r="B452" s="8" t="s">
        <v>1611</v>
      </c>
      <c r="C452" s="23" t="s">
        <v>1612</v>
      </c>
      <c r="D452" s="8" t="s">
        <v>1613</v>
      </c>
      <c r="E452" s="23" t="s">
        <v>194</v>
      </c>
      <c r="F452" s="23" t="s">
        <v>195</v>
      </c>
      <c r="G452" s="23" t="s">
        <v>203</v>
      </c>
      <c r="H452" s="23" t="s">
        <v>349</v>
      </c>
      <c r="I452" s="23" t="s">
        <v>766</v>
      </c>
      <c r="J452" s="23" t="s">
        <v>238</v>
      </c>
      <c r="K452" s="23" t="str">
        <f t="shared" si="1"/>
        <v>628165</v>
      </c>
      <c r="L452" s="23"/>
      <c r="M452" s="26"/>
      <c r="N452" s="26"/>
      <c r="O452" s="26"/>
      <c r="P452" s="26"/>
      <c r="Q452" s="26"/>
      <c r="R452" s="26"/>
      <c r="S452" s="26"/>
      <c r="T452" s="26"/>
      <c r="U452" s="26"/>
      <c r="V452" s="26"/>
      <c r="W452" s="26"/>
      <c r="X452" s="26"/>
    </row>
    <row r="453" hidden="1">
      <c r="A453" s="23" t="s">
        <v>190</v>
      </c>
      <c r="B453" s="8" t="s">
        <v>1614</v>
      </c>
      <c r="C453" s="23" t="s">
        <v>1615</v>
      </c>
      <c r="D453" s="8" t="s">
        <v>1616</v>
      </c>
      <c r="E453" s="23" t="s">
        <v>194</v>
      </c>
      <c r="F453" s="23" t="s">
        <v>195</v>
      </c>
      <c r="G453" s="23" t="s">
        <v>203</v>
      </c>
      <c r="H453" s="23" t="s">
        <v>309</v>
      </c>
      <c r="I453" s="23" t="s">
        <v>310</v>
      </c>
      <c r="J453" s="23" t="s">
        <v>198</v>
      </c>
      <c r="K453" s="23" t="str">
        <f t="shared" si="1"/>
        <v>691886</v>
      </c>
      <c r="L453" s="23"/>
      <c r="M453" s="26"/>
      <c r="N453" s="26"/>
      <c r="O453" s="26"/>
      <c r="P453" s="26"/>
      <c r="Q453" s="26"/>
      <c r="R453" s="26"/>
      <c r="S453" s="26"/>
      <c r="T453" s="26"/>
      <c r="U453" s="26"/>
      <c r="V453" s="26"/>
      <c r="W453" s="26"/>
      <c r="X453" s="26"/>
    </row>
    <row r="454" hidden="1">
      <c r="A454" s="10" t="s">
        <v>190</v>
      </c>
      <c r="B454" s="10" t="s">
        <v>1617</v>
      </c>
      <c r="C454" s="27" t="s">
        <v>70</v>
      </c>
      <c r="D454" s="10" t="s">
        <v>71</v>
      </c>
      <c r="E454" s="28" t="s">
        <v>194</v>
      </c>
      <c r="F454" s="23" t="s">
        <v>195</v>
      </c>
      <c r="G454" s="23" t="s">
        <v>203</v>
      </c>
      <c r="H454" s="23" t="s">
        <v>222</v>
      </c>
      <c r="I454" s="23" t="s">
        <v>289</v>
      </c>
      <c r="J454" s="23" t="s">
        <v>229</v>
      </c>
      <c r="K454" s="23" t="str">
        <f t="shared" si="1"/>
        <v>667584</v>
      </c>
      <c r="L454" s="23"/>
      <c r="M454" s="26"/>
      <c r="N454" s="26"/>
      <c r="O454" s="26"/>
      <c r="P454" s="26"/>
      <c r="Q454" s="26"/>
      <c r="R454" s="26"/>
      <c r="S454" s="26"/>
      <c r="T454" s="26"/>
      <c r="U454" s="26"/>
      <c r="V454" s="26"/>
      <c r="W454" s="26"/>
      <c r="X454" s="26"/>
    </row>
    <row r="455" hidden="1">
      <c r="A455" s="10" t="s">
        <v>190</v>
      </c>
      <c r="B455" s="10" t="s">
        <v>1618</v>
      </c>
      <c r="C455" s="27" t="s">
        <v>1619</v>
      </c>
      <c r="D455" s="10" t="s">
        <v>1620</v>
      </c>
      <c r="E455" s="28" t="s">
        <v>194</v>
      </c>
      <c r="F455" s="23" t="s">
        <v>195</v>
      </c>
      <c r="G455" s="23" t="s">
        <v>196</v>
      </c>
      <c r="H455" s="23" t="s">
        <v>197</v>
      </c>
      <c r="I455" s="23" t="s">
        <v>197</v>
      </c>
      <c r="J455" s="23" t="s">
        <v>198</v>
      </c>
      <c r="K455" s="23" t="str">
        <f t="shared" si="1"/>
        <v>668048</v>
      </c>
      <c r="L455" s="23"/>
      <c r="M455" s="26"/>
      <c r="N455" s="26"/>
      <c r="O455" s="26"/>
      <c r="P455" s="26"/>
      <c r="Q455" s="26"/>
      <c r="R455" s="26"/>
      <c r="S455" s="26"/>
      <c r="T455" s="26"/>
      <c r="U455" s="26"/>
      <c r="V455" s="26"/>
      <c r="W455" s="26"/>
      <c r="X455" s="26"/>
    </row>
    <row r="456" hidden="1">
      <c r="A456" s="10" t="s">
        <v>190</v>
      </c>
      <c r="B456" s="10" t="s">
        <v>1621</v>
      </c>
      <c r="C456" s="27" t="s">
        <v>1622</v>
      </c>
      <c r="D456" s="10" t="s">
        <v>1623</v>
      </c>
      <c r="E456" s="28" t="s">
        <v>194</v>
      </c>
      <c r="F456" s="23" t="s">
        <v>195</v>
      </c>
      <c r="G456" s="23" t="s">
        <v>203</v>
      </c>
      <c r="H456" s="23" t="s">
        <v>600</v>
      </c>
      <c r="I456" s="23" t="s">
        <v>1579</v>
      </c>
      <c r="J456" s="23" t="s">
        <v>198</v>
      </c>
      <c r="K456" s="23" t="str">
        <f t="shared" si="1"/>
        <v>680224</v>
      </c>
      <c r="L456" s="23"/>
      <c r="M456" s="26"/>
      <c r="N456" s="26"/>
      <c r="O456" s="26"/>
      <c r="P456" s="26"/>
      <c r="Q456" s="26"/>
      <c r="R456" s="26"/>
      <c r="S456" s="26"/>
      <c r="T456" s="26"/>
      <c r="U456" s="26"/>
      <c r="V456" s="26"/>
      <c r="W456" s="26"/>
      <c r="X456" s="26"/>
    </row>
    <row r="457" hidden="1">
      <c r="A457" s="10" t="s">
        <v>190</v>
      </c>
      <c r="B457" s="10" t="s">
        <v>1624</v>
      </c>
      <c r="C457" s="27" t="s">
        <v>156</v>
      </c>
      <c r="D457" s="10" t="s">
        <v>157</v>
      </c>
      <c r="E457" s="28" t="s">
        <v>194</v>
      </c>
      <c r="F457" s="23" t="s">
        <v>195</v>
      </c>
      <c r="G457" s="23" t="s">
        <v>196</v>
      </c>
      <c r="H457" s="23" t="s">
        <v>1625</v>
      </c>
      <c r="I457" s="23" t="s">
        <v>1626</v>
      </c>
      <c r="J457" s="23" t="s">
        <v>229</v>
      </c>
      <c r="K457" s="23" t="str">
        <f t="shared" si="1"/>
        <v>664743</v>
      </c>
      <c r="L457" s="23"/>
      <c r="M457" s="26"/>
      <c r="N457" s="26"/>
      <c r="O457" s="26"/>
      <c r="P457" s="26"/>
      <c r="Q457" s="26"/>
      <c r="R457" s="26"/>
      <c r="S457" s="26"/>
      <c r="T457" s="26"/>
      <c r="U457" s="26"/>
      <c r="V457" s="26"/>
      <c r="W457" s="26"/>
      <c r="X457" s="26"/>
    </row>
    <row r="458" hidden="1">
      <c r="A458" s="10" t="s">
        <v>190</v>
      </c>
      <c r="B458" s="10" t="s">
        <v>1627</v>
      </c>
      <c r="C458" s="27" t="s">
        <v>158</v>
      </c>
      <c r="D458" s="10" t="s">
        <v>159</v>
      </c>
      <c r="E458" s="28" t="s">
        <v>194</v>
      </c>
      <c r="F458" s="23" t="s">
        <v>195</v>
      </c>
      <c r="G458" s="23" t="s">
        <v>196</v>
      </c>
      <c r="H458" s="23" t="s">
        <v>1625</v>
      </c>
      <c r="I458" s="23" t="s">
        <v>1626</v>
      </c>
      <c r="J458" s="23" t="s">
        <v>229</v>
      </c>
      <c r="K458" s="23" t="str">
        <f t="shared" si="1"/>
        <v>664767</v>
      </c>
      <c r="L458" s="23"/>
      <c r="M458" s="26"/>
      <c r="N458" s="26"/>
      <c r="O458" s="26"/>
      <c r="P458" s="26"/>
      <c r="Q458" s="26"/>
      <c r="R458" s="26"/>
      <c r="S458" s="26"/>
      <c r="T458" s="26"/>
      <c r="U458" s="26"/>
      <c r="V458" s="26"/>
      <c r="W458" s="26"/>
      <c r="X458" s="26"/>
    </row>
    <row r="459" hidden="1">
      <c r="A459" s="10" t="s">
        <v>190</v>
      </c>
      <c r="B459" s="10" t="s">
        <v>1628</v>
      </c>
      <c r="C459" s="27" t="s">
        <v>150</v>
      </c>
      <c r="D459" s="10" t="s">
        <v>151</v>
      </c>
      <c r="E459" s="28" t="s">
        <v>194</v>
      </c>
      <c r="F459" s="23" t="s">
        <v>195</v>
      </c>
      <c r="G459" s="23" t="s">
        <v>203</v>
      </c>
      <c r="H459" s="23" t="s">
        <v>1372</v>
      </c>
      <c r="I459" s="23" t="s">
        <v>1629</v>
      </c>
      <c r="J459" s="23" t="s">
        <v>198</v>
      </c>
      <c r="K459" s="23" t="str">
        <f t="shared" si="1"/>
        <v>648385</v>
      </c>
      <c r="L459" s="23"/>
      <c r="M459" s="26"/>
      <c r="N459" s="26"/>
      <c r="O459" s="26"/>
      <c r="P459" s="26"/>
      <c r="Q459" s="26"/>
      <c r="R459" s="26"/>
      <c r="S459" s="26"/>
      <c r="T459" s="26"/>
      <c r="U459" s="26"/>
      <c r="V459" s="26"/>
      <c r="W459" s="26"/>
      <c r="X459" s="26"/>
    </row>
    <row r="460" hidden="1">
      <c r="A460" s="10" t="s">
        <v>190</v>
      </c>
      <c r="B460" s="10" t="s">
        <v>1630</v>
      </c>
      <c r="C460" s="27" t="s">
        <v>1631</v>
      </c>
      <c r="D460" s="10" t="s">
        <v>1632</v>
      </c>
      <c r="E460" s="28" t="s">
        <v>194</v>
      </c>
      <c r="F460" s="23" t="s">
        <v>195</v>
      </c>
      <c r="G460" s="23" t="s">
        <v>196</v>
      </c>
      <c r="H460" s="23" t="s">
        <v>197</v>
      </c>
      <c r="I460" s="23" t="s">
        <v>197</v>
      </c>
      <c r="J460" s="23" t="s">
        <v>198</v>
      </c>
      <c r="K460" s="23" t="str">
        <f t="shared" si="1"/>
        <v>677453</v>
      </c>
      <c r="L460" s="23"/>
      <c r="M460" s="26"/>
      <c r="N460" s="26"/>
      <c r="O460" s="26"/>
      <c r="P460" s="26"/>
      <c r="Q460" s="26"/>
      <c r="R460" s="26"/>
      <c r="S460" s="26"/>
      <c r="T460" s="26"/>
      <c r="U460" s="26"/>
      <c r="V460" s="26"/>
      <c r="W460" s="26"/>
      <c r="X460" s="26"/>
    </row>
    <row r="461" hidden="1">
      <c r="A461" s="10" t="s">
        <v>190</v>
      </c>
      <c r="B461" s="10" t="s">
        <v>1633</v>
      </c>
      <c r="C461" s="27" t="s">
        <v>1634</v>
      </c>
      <c r="D461" s="10" t="s">
        <v>1635</v>
      </c>
      <c r="E461" s="28" t="s">
        <v>194</v>
      </c>
      <c r="F461" s="23" t="s">
        <v>543</v>
      </c>
      <c r="G461" s="23" t="s">
        <v>1</v>
      </c>
      <c r="H461" s="23" t="s">
        <v>544</v>
      </c>
      <c r="I461" s="32"/>
      <c r="J461" s="23" t="s">
        <v>198</v>
      </c>
      <c r="K461" s="23" t="str">
        <f t="shared" si="1"/>
        <v>691015</v>
      </c>
      <c r="L461" s="23"/>
      <c r="M461" s="26"/>
      <c r="N461" s="26"/>
      <c r="O461" s="26"/>
      <c r="P461" s="26"/>
      <c r="Q461" s="26"/>
      <c r="R461" s="26"/>
      <c r="S461" s="26"/>
      <c r="T461" s="26"/>
      <c r="U461" s="26"/>
      <c r="V461" s="26"/>
      <c r="W461" s="26"/>
      <c r="X461" s="26"/>
    </row>
    <row r="462" hidden="1">
      <c r="A462" s="10" t="s">
        <v>190</v>
      </c>
      <c r="B462" s="10" t="s">
        <v>1636</v>
      </c>
      <c r="C462" s="27" t="s">
        <v>116</v>
      </c>
      <c r="D462" s="10" t="s">
        <v>117</v>
      </c>
      <c r="E462" s="28" t="s">
        <v>194</v>
      </c>
      <c r="F462" s="23" t="s">
        <v>195</v>
      </c>
      <c r="G462" s="23" t="s">
        <v>196</v>
      </c>
      <c r="H462" s="23" t="s">
        <v>1637</v>
      </c>
      <c r="I462" s="23" t="s">
        <v>285</v>
      </c>
      <c r="J462" s="23" t="s">
        <v>229</v>
      </c>
      <c r="K462" s="23" t="str">
        <f t="shared" si="1"/>
        <v>682068</v>
      </c>
      <c r="L462" s="23"/>
      <c r="M462" s="26"/>
      <c r="N462" s="26"/>
      <c r="O462" s="26"/>
      <c r="P462" s="26"/>
      <c r="Q462" s="26"/>
      <c r="R462" s="26"/>
      <c r="S462" s="26"/>
      <c r="T462" s="26"/>
      <c r="U462" s="26"/>
      <c r="V462" s="26"/>
      <c r="W462" s="26"/>
      <c r="X462" s="26"/>
    </row>
    <row r="463" hidden="1">
      <c r="A463" s="10" t="s">
        <v>190</v>
      </c>
      <c r="B463" s="10" t="s">
        <v>1638</v>
      </c>
      <c r="C463" s="27" t="s">
        <v>1639</v>
      </c>
      <c r="D463" s="10" t="s">
        <v>1640</v>
      </c>
      <c r="E463" s="28" t="s">
        <v>194</v>
      </c>
      <c r="F463" s="23" t="s">
        <v>195</v>
      </c>
      <c r="G463" s="23" t="s">
        <v>196</v>
      </c>
      <c r="H463" s="23" t="s">
        <v>197</v>
      </c>
      <c r="I463" s="23" t="s">
        <v>197</v>
      </c>
      <c r="J463" s="23" t="s">
        <v>238</v>
      </c>
      <c r="K463" s="23" t="str">
        <f t="shared" si="1"/>
        <v>687490</v>
      </c>
      <c r="L463" s="23"/>
      <c r="M463" s="26"/>
      <c r="N463" s="26"/>
      <c r="O463" s="26"/>
      <c r="P463" s="26"/>
      <c r="Q463" s="26"/>
      <c r="R463" s="26"/>
      <c r="S463" s="26"/>
      <c r="T463" s="26"/>
      <c r="U463" s="26"/>
      <c r="V463" s="26"/>
      <c r="W463" s="26"/>
      <c r="X463" s="26"/>
    </row>
    <row r="464" hidden="1">
      <c r="A464" s="10" t="s">
        <v>190</v>
      </c>
      <c r="B464" s="10" t="s">
        <v>1641</v>
      </c>
      <c r="C464" s="27" t="s">
        <v>174</v>
      </c>
      <c r="D464" s="10" t="s">
        <v>175</v>
      </c>
      <c r="E464" s="28" t="s">
        <v>194</v>
      </c>
      <c r="F464" s="23" t="s">
        <v>195</v>
      </c>
      <c r="G464" s="23" t="s">
        <v>203</v>
      </c>
      <c r="H464" s="23" t="s">
        <v>330</v>
      </c>
      <c r="I464" s="23" t="s">
        <v>331</v>
      </c>
      <c r="J464" s="23" t="s">
        <v>198</v>
      </c>
      <c r="K464" s="23" t="str">
        <f t="shared" si="1"/>
        <v>690902</v>
      </c>
      <c r="L464" s="23"/>
      <c r="M464" s="26"/>
      <c r="N464" s="26"/>
      <c r="O464" s="26"/>
      <c r="P464" s="26"/>
      <c r="Q464" s="26"/>
      <c r="R464" s="26"/>
      <c r="S464" s="26"/>
      <c r="T464" s="26"/>
      <c r="U464" s="26"/>
      <c r="V464" s="26"/>
      <c r="W464" s="26"/>
      <c r="X464" s="26"/>
    </row>
    <row r="465" hidden="1">
      <c r="A465" s="10" t="s">
        <v>190</v>
      </c>
      <c r="B465" s="10" t="s">
        <v>1642</v>
      </c>
      <c r="C465" s="27" t="s">
        <v>90</v>
      </c>
      <c r="D465" s="10" t="s">
        <v>94</v>
      </c>
      <c r="E465" s="28" t="s">
        <v>194</v>
      </c>
      <c r="F465" s="23" t="s">
        <v>195</v>
      </c>
      <c r="G465" s="23" t="s">
        <v>203</v>
      </c>
      <c r="H465" s="23" t="s">
        <v>1643</v>
      </c>
      <c r="I465" s="23" t="s">
        <v>1644</v>
      </c>
      <c r="J465" s="23" t="s">
        <v>198</v>
      </c>
      <c r="K465" s="23" t="str">
        <f t="shared" si="1"/>
        <v>686684</v>
      </c>
      <c r="L465" s="23"/>
      <c r="M465" s="26"/>
      <c r="N465" s="26"/>
      <c r="O465" s="26"/>
      <c r="P465" s="26"/>
      <c r="Q465" s="26"/>
      <c r="R465" s="26"/>
      <c r="S465" s="26"/>
      <c r="T465" s="26"/>
      <c r="U465" s="26"/>
      <c r="V465" s="26"/>
      <c r="W465" s="26"/>
      <c r="X465" s="26"/>
    </row>
    <row r="466" hidden="1">
      <c r="A466" s="10" t="s">
        <v>190</v>
      </c>
      <c r="B466" s="10" t="s">
        <v>1645</v>
      </c>
      <c r="C466" s="27" t="s">
        <v>160</v>
      </c>
      <c r="D466" s="10" t="s">
        <v>161</v>
      </c>
      <c r="E466" s="28" t="s">
        <v>194</v>
      </c>
      <c r="F466" s="23" t="s">
        <v>195</v>
      </c>
      <c r="G466" s="23" t="s">
        <v>196</v>
      </c>
      <c r="H466" s="23" t="s">
        <v>1646</v>
      </c>
      <c r="I466" s="23" t="s">
        <v>1646</v>
      </c>
      <c r="J466" s="23" t="s">
        <v>229</v>
      </c>
      <c r="K466" s="23" t="str">
        <f t="shared" si="1"/>
        <v>665320</v>
      </c>
      <c r="L466" s="23"/>
      <c r="M466" s="26"/>
      <c r="N466" s="26"/>
      <c r="O466" s="26"/>
      <c r="P466" s="26"/>
      <c r="Q466" s="26"/>
      <c r="R466" s="26"/>
      <c r="S466" s="26"/>
      <c r="T466" s="26"/>
      <c r="U466" s="26"/>
      <c r="V466" s="26"/>
      <c r="W466" s="26"/>
      <c r="X466" s="26"/>
    </row>
    <row r="467" hidden="1">
      <c r="A467" s="10" t="s">
        <v>190</v>
      </c>
      <c r="B467" s="10" t="s">
        <v>1647</v>
      </c>
      <c r="C467" s="27" t="s">
        <v>138</v>
      </c>
      <c r="D467" s="10" t="s">
        <v>139</v>
      </c>
      <c r="E467" s="28" t="s">
        <v>194</v>
      </c>
      <c r="F467" s="23" t="s">
        <v>195</v>
      </c>
      <c r="G467" s="23" t="s">
        <v>203</v>
      </c>
      <c r="H467" s="23" t="s">
        <v>600</v>
      </c>
      <c r="I467" s="23" t="s">
        <v>1579</v>
      </c>
      <c r="J467" s="23" t="s">
        <v>198</v>
      </c>
      <c r="K467" s="23" t="str">
        <f t="shared" si="1"/>
        <v>684055</v>
      </c>
      <c r="L467" s="23"/>
      <c r="M467" s="26"/>
      <c r="N467" s="26"/>
      <c r="O467" s="26"/>
      <c r="P467" s="26"/>
      <c r="Q467" s="26"/>
      <c r="R467" s="26"/>
      <c r="S467" s="26"/>
      <c r="T467" s="26"/>
      <c r="U467" s="26"/>
      <c r="V467" s="26"/>
      <c r="W467" s="26"/>
      <c r="X467" s="26"/>
    </row>
    <row r="468" hidden="1">
      <c r="A468" s="10" t="s">
        <v>190</v>
      </c>
      <c r="B468" s="10" t="s">
        <v>1648</v>
      </c>
      <c r="C468" s="27" t="s">
        <v>88</v>
      </c>
      <c r="D468" s="10" t="s">
        <v>89</v>
      </c>
      <c r="E468" s="28" t="s">
        <v>194</v>
      </c>
      <c r="F468" s="23" t="s">
        <v>195</v>
      </c>
      <c r="G468" s="23" t="s">
        <v>203</v>
      </c>
      <c r="H468" s="23" t="s">
        <v>293</v>
      </c>
      <c r="I468" s="23" t="s">
        <v>294</v>
      </c>
      <c r="J468" s="23" t="s">
        <v>238</v>
      </c>
      <c r="K468" s="23" t="str">
        <f t="shared" si="1"/>
        <v>681375</v>
      </c>
      <c r="L468" s="23"/>
      <c r="M468" s="26"/>
      <c r="N468" s="26"/>
      <c r="O468" s="26"/>
      <c r="P468" s="26"/>
      <c r="Q468" s="26"/>
      <c r="R468" s="26"/>
      <c r="S468" s="26"/>
      <c r="T468" s="26"/>
      <c r="U468" s="26"/>
      <c r="V468" s="26"/>
      <c r="W468" s="26"/>
      <c r="X468" s="26"/>
    </row>
    <row r="469" hidden="1">
      <c r="A469" s="10" t="s">
        <v>190</v>
      </c>
      <c r="B469" s="10" t="s">
        <v>1649</v>
      </c>
      <c r="C469" s="27" t="s">
        <v>164</v>
      </c>
      <c r="D469" s="10" t="s">
        <v>165</v>
      </c>
      <c r="E469" s="28" t="s">
        <v>194</v>
      </c>
      <c r="F469" s="23" t="s">
        <v>195</v>
      </c>
      <c r="G469" s="23" t="s">
        <v>196</v>
      </c>
      <c r="H469" s="23" t="s">
        <v>1650</v>
      </c>
      <c r="I469" s="23" t="s">
        <v>1651</v>
      </c>
      <c r="J469" s="23" t="s">
        <v>238</v>
      </c>
      <c r="K469" s="23" t="str">
        <f t="shared" si="1"/>
        <v>667874</v>
      </c>
      <c r="L469" s="23"/>
      <c r="M469" s="26"/>
      <c r="N469" s="26"/>
      <c r="O469" s="26"/>
      <c r="P469" s="26"/>
      <c r="Q469" s="26"/>
      <c r="R469" s="26"/>
      <c r="S469" s="26"/>
      <c r="T469" s="26"/>
      <c r="U469" s="26"/>
      <c r="V469" s="26"/>
      <c r="W469" s="26"/>
      <c r="X469" s="26"/>
    </row>
    <row r="470" hidden="1">
      <c r="A470" s="10" t="s">
        <v>190</v>
      </c>
      <c r="B470" s="10" t="s">
        <v>1652</v>
      </c>
      <c r="C470" s="27" t="s">
        <v>1653</v>
      </c>
      <c r="D470" s="10" t="s">
        <v>1654</v>
      </c>
      <c r="E470" s="28" t="s">
        <v>194</v>
      </c>
      <c r="F470" s="23" t="s">
        <v>195</v>
      </c>
      <c r="G470" s="23" t="s">
        <v>374</v>
      </c>
      <c r="H470" s="23" t="s">
        <v>375</v>
      </c>
      <c r="I470" s="32"/>
      <c r="J470" s="23" t="s">
        <v>198</v>
      </c>
      <c r="K470" s="23" t="str">
        <f t="shared" si="1"/>
        <v>691381</v>
      </c>
      <c r="L470" s="23"/>
      <c r="M470" s="26"/>
      <c r="N470" s="26"/>
      <c r="O470" s="26"/>
      <c r="P470" s="26"/>
      <c r="Q470" s="26"/>
      <c r="R470" s="26"/>
      <c r="S470" s="26"/>
      <c r="T470" s="26"/>
      <c r="U470" s="26"/>
      <c r="V470" s="26"/>
      <c r="W470" s="26"/>
      <c r="X470" s="26"/>
    </row>
    <row r="471" hidden="1">
      <c r="A471" s="10" t="s">
        <v>190</v>
      </c>
      <c r="B471" s="10" t="s">
        <v>1655</v>
      </c>
      <c r="C471" s="27" t="s">
        <v>1656</v>
      </c>
      <c r="D471" s="10" t="s">
        <v>1657</v>
      </c>
      <c r="E471" s="28" t="s">
        <v>194</v>
      </c>
      <c r="F471" s="23" t="s">
        <v>195</v>
      </c>
      <c r="G471" s="23" t="s">
        <v>374</v>
      </c>
      <c r="H471" s="23" t="s">
        <v>375</v>
      </c>
      <c r="I471" s="32"/>
      <c r="J471" s="23" t="s">
        <v>198</v>
      </c>
      <c r="K471" s="23" t="str">
        <f t="shared" si="1"/>
        <v>691398</v>
      </c>
      <c r="L471" s="23"/>
      <c r="M471" s="26"/>
      <c r="N471" s="26"/>
      <c r="O471" s="26"/>
      <c r="P471" s="26"/>
      <c r="Q471" s="26"/>
      <c r="R471" s="26"/>
      <c r="S471" s="26"/>
      <c r="T471" s="26"/>
      <c r="U471" s="26"/>
      <c r="V471" s="26"/>
      <c r="W471" s="26"/>
      <c r="X471" s="26"/>
    </row>
    <row r="472" hidden="1">
      <c r="A472" s="10" t="s">
        <v>190</v>
      </c>
      <c r="B472" s="10" t="s">
        <v>1658</v>
      </c>
      <c r="C472" s="27" t="s">
        <v>1659</v>
      </c>
      <c r="D472" s="10" t="s">
        <v>1660</v>
      </c>
      <c r="E472" s="28" t="s">
        <v>194</v>
      </c>
      <c r="F472" s="23" t="s">
        <v>195</v>
      </c>
      <c r="G472" s="23" t="s">
        <v>374</v>
      </c>
      <c r="H472" s="23" t="s">
        <v>375</v>
      </c>
      <c r="I472" s="32"/>
      <c r="J472" s="23" t="s">
        <v>198</v>
      </c>
      <c r="K472" s="23" t="str">
        <f t="shared" si="1"/>
        <v>691404</v>
      </c>
      <c r="L472" s="23"/>
      <c r="M472" s="26"/>
      <c r="N472" s="26"/>
      <c r="O472" s="26"/>
      <c r="P472" s="26"/>
      <c r="Q472" s="26"/>
      <c r="R472" s="26"/>
      <c r="S472" s="26"/>
      <c r="T472" s="26"/>
      <c r="U472" s="26"/>
      <c r="V472" s="26"/>
      <c r="W472" s="26"/>
      <c r="X472" s="26"/>
    </row>
    <row r="473" hidden="1">
      <c r="A473" s="10" t="s">
        <v>190</v>
      </c>
      <c r="B473" s="10" t="s">
        <v>1661</v>
      </c>
      <c r="C473" s="27" t="s">
        <v>1662</v>
      </c>
      <c r="D473" s="10" t="s">
        <v>1663</v>
      </c>
      <c r="E473" s="28" t="s">
        <v>194</v>
      </c>
      <c r="F473" s="23" t="s">
        <v>195</v>
      </c>
      <c r="G473" s="23" t="s">
        <v>203</v>
      </c>
      <c r="H473" s="23" t="s">
        <v>600</v>
      </c>
      <c r="I473" s="23" t="s">
        <v>1664</v>
      </c>
      <c r="J473" s="23" t="s">
        <v>198</v>
      </c>
      <c r="K473" s="23" t="str">
        <f t="shared" si="1"/>
        <v>682631</v>
      </c>
      <c r="L473" s="23"/>
      <c r="M473" s="26"/>
      <c r="N473" s="26"/>
      <c r="O473" s="26"/>
      <c r="P473" s="26"/>
      <c r="Q473" s="26"/>
      <c r="R473" s="26"/>
      <c r="S473" s="26"/>
      <c r="T473" s="26"/>
      <c r="U473" s="26"/>
      <c r="V473" s="26"/>
      <c r="W473" s="26"/>
      <c r="X473" s="26"/>
    </row>
    <row r="474" hidden="1">
      <c r="A474" s="10" t="s">
        <v>190</v>
      </c>
      <c r="B474" s="10" t="s">
        <v>1665</v>
      </c>
      <c r="C474" s="27" t="s">
        <v>1666</v>
      </c>
      <c r="D474" s="10" t="s">
        <v>1667</v>
      </c>
      <c r="E474" s="28" t="s">
        <v>194</v>
      </c>
      <c r="F474" s="23" t="s">
        <v>195</v>
      </c>
      <c r="G474" s="23" t="s">
        <v>374</v>
      </c>
      <c r="H474" s="23" t="s">
        <v>375</v>
      </c>
      <c r="I474" s="32"/>
      <c r="J474" s="23" t="s">
        <v>198</v>
      </c>
      <c r="K474" s="23" t="str">
        <f t="shared" si="1"/>
        <v>691275</v>
      </c>
      <c r="L474" s="23"/>
      <c r="M474" s="26"/>
      <c r="N474" s="26"/>
      <c r="O474" s="26"/>
      <c r="P474" s="26"/>
      <c r="Q474" s="26"/>
      <c r="R474" s="26"/>
      <c r="S474" s="26"/>
      <c r="T474" s="26"/>
      <c r="U474" s="26"/>
      <c r="V474" s="26"/>
      <c r="W474" s="26"/>
      <c r="X474" s="26"/>
    </row>
    <row r="475" hidden="1">
      <c r="A475" s="10" t="s">
        <v>190</v>
      </c>
      <c r="B475" s="10" t="s">
        <v>1668</v>
      </c>
      <c r="C475" s="27" t="s">
        <v>1669</v>
      </c>
      <c r="D475" s="10" t="s">
        <v>1670</v>
      </c>
      <c r="E475" s="28" t="s">
        <v>194</v>
      </c>
      <c r="F475" s="23" t="s">
        <v>195</v>
      </c>
      <c r="G475" s="23" t="s">
        <v>203</v>
      </c>
      <c r="H475" s="23" t="s">
        <v>1372</v>
      </c>
      <c r="I475" s="23" t="s">
        <v>1671</v>
      </c>
      <c r="J475" s="23" t="s">
        <v>198</v>
      </c>
      <c r="K475" s="23" t="str">
        <f t="shared" si="1"/>
        <v>621616</v>
      </c>
      <c r="L475" s="23"/>
      <c r="M475" s="26"/>
      <c r="N475" s="26"/>
      <c r="O475" s="26"/>
      <c r="P475" s="26"/>
      <c r="Q475" s="26"/>
      <c r="R475" s="26"/>
      <c r="S475" s="26"/>
      <c r="T475" s="26"/>
      <c r="U475" s="26"/>
      <c r="V475" s="26"/>
      <c r="W475" s="26"/>
      <c r="X475" s="26"/>
    </row>
    <row r="476" hidden="1">
      <c r="A476" s="10" t="s">
        <v>190</v>
      </c>
      <c r="B476" s="10" t="s">
        <v>1672</v>
      </c>
      <c r="C476" s="27" t="s">
        <v>128</v>
      </c>
      <c r="D476" s="10" t="s">
        <v>129</v>
      </c>
      <c r="E476" s="28" t="s">
        <v>194</v>
      </c>
      <c r="F476" s="23" t="s">
        <v>195</v>
      </c>
      <c r="G476" s="23" t="s">
        <v>196</v>
      </c>
      <c r="H476" s="23" t="s">
        <v>625</v>
      </c>
      <c r="I476" s="23" t="s">
        <v>1673</v>
      </c>
      <c r="J476" s="23" t="s">
        <v>198</v>
      </c>
      <c r="K476" s="23" t="str">
        <f t="shared" si="1"/>
        <v>665061</v>
      </c>
      <c r="L476" s="23"/>
      <c r="M476" s="26"/>
      <c r="N476" s="26"/>
      <c r="O476" s="26"/>
      <c r="P476" s="26"/>
      <c r="Q476" s="26"/>
      <c r="R476" s="26"/>
      <c r="S476" s="26"/>
      <c r="T476" s="26"/>
      <c r="U476" s="26"/>
      <c r="V476" s="26"/>
      <c r="W476" s="26"/>
      <c r="X476" s="26"/>
    </row>
    <row r="477" hidden="1">
      <c r="A477" s="10" t="s">
        <v>190</v>
      </c>
      <c r="B477" s="10" t="s">
        <v>1674</v>
      </c>
      <c r="C477" s="27" t="s">
        <v>1675</v>
      </c>
      <c r="D477" s="10" t="s">
        <v>1676</v>
      </c>
      <c r="E477" s="28" t="s">
        <v>194</v>
      </c>
      <c r="F477" s="23" t="s">
        <v>195</v>
      </c>
      <c r="G477" s="23" t="s">
        <v>203</v>
      </c>
      <c r="H477" s="23" t="s">
        <v>349</v>
      </c>
      <c r="I477" s="23" t="s">
        <v>423</v>
      </c>
      <c r="J477" s="23" t="s">
        <v>238</v>
      </c>
      <c r="K477" s="23" t="str">
        <f t="shared" si="1"/>
        <v>676647</v>
      </c>
      <c r="L477" s="23"/>
      <c r="M477" s="26"/>
      <c r="N477" s="26"/>
      <c r="O477" s="26"/>
      <c r="P477" s="26"/>
      <c r="Q477" s="26"/>
      <c r="R477" s="26"/>
      <c r="S477" s="26"/>
      <c r="T477" s="26"/>
      <c r="U477" s="26"/>
      <c r="V477" s="26"/>
      <c r="W477" s="26"/>
      <c r="X477" s="26"/>
    </row>
    <row r="478" hidden="1">
      <c r="A478" s="10" t="s">
        <v>190</v>
      </c>
      <c r="B478" s="10" t="s">
        <v>1677</v>
      </c>
      <c r="C478" s="27" t="s">
        <v>148</v>
      </c>
      <c r="D478" s="10" t="s">
        <v>149</v>
      </c>
      <c r="E478" s="28" t="s">
        <v>194</v>
      </c>
      <c r="F478" s="23" t="s">
        <v>195</v>
      </c>
      <c r="G478" s="23" t="s">
        <v>203</v>
      </c>
      <c r="H478" s="23" t="s">
        <v>222</v>
      </c>
      <c r="I478" s="32"/>
      <c r="J478" s="23" t="s">
        <v>6</v>
      </c>
      <c r="K478" s="23" t="str">
        <f t="shared" si="1"/>
        <v>633695</v>
      </c>
      <c r="L478" s="23"/>
      <c r="M478" s="26"/>
      <c r="N478" s="26"/>
      <c r="O478" s="26"/>
      <c r="P478" s="26"/>
      <c r="Q478" s="26"/>
      <c r="R478" s="26"/>
      <c r="S478" s="26"/>
      <c r="T478" s="26"/>
      <c r="U478" s="26"/>
      <c r="V478" s="26"/>
      <c r="W478" s="26"/>
      <c r="X478" s="26"/>
    </row>
    <row r="479" hidden="1">
      <c r="A479" s="10" t="s">
        <v>190</v>
      </c>
      <c r="B479" s="10" t="s">
        <v>1678</v>
      </c>
      <c r="C479" s="27" t="s">
        <v>1679</v>
      </c>
      <c r="D479" s="10" t="s">
        <v>1680</v>
      </c>
      <c r="E479" s="28" t="s">
        <v>194</v>
      </c>
      <c r="F479" s="23" t="s">
        <v>195</v>
      </c>
      <c r="G479" s="23" t="s">
        <v>203</v>
      </c>
      <c r="H479" s="23" t="s">
        <v>600</v>
      </c>
      <c r="I479" s="23" t="s">
        <v>1664</v>
      </c>
      <c r="J479" s="23" t="s">
        <v>198</v>
      </c>
      <c r="K479" s="23" t="str">
        <f t="shared" si="1"/>
        <v>681047</v>
      </c>
      <c r="L479" s="23"/>
      <c r="M479" s="26"/>
      <c r="N479" s="26"/>
      <c r="O479" s="26"/>
      <c r="P479" s="26"/>
      <c r="Q479" s="26"/>
      <c r="R479" s="26"/>
      <c r="S479" s="26"/>
      <c r="T479" s="26"/>
      <c r="U479" s="26"/>
      <c r="V479" s="26"/>
      <c r="W479" s="26"/>
      <c r="X479" s="26"/>
    </row>
    <row r="480" hidden="1">
      <c r="A480" s="10" t="s">
        <v>190</v>
      </c>
      <c r="B480" s="10" t="s">
        <v>1681</v>
      </c>
      <c r="C480" s="27" t="s">
        <v>1682</v>
      </c>
      <c r="D480" s="10" t="s">
        <v>1683</v>
      </c>
      <c r="E480" s="28" t="s">
        <v>194</v>
      </c>
      <c r="F480" s="23" t="s">
        <v>195</v>
      </c>
      <c r="G480" s="23" t="s">
        <v>203</v>
      </c>
      <c r="H480" s="23" t="s">
        <v>242</v>
      </c>
      <c r="I480" s="23" t="s">
        <v>243</v>
      </c>
      <c r="J480" s="23" t="s">
        <v>229</v>
      </c>
      <c r="K480" s="23" t="str">
        <f t="shared" si="1"/>
        <v>680743</v>
      </c>
      <c r="L480" s="23"/>
      <c r="M480" s="26"/>
      <c r="N480" s="26"/>
      <c r="O480" s="26"/>
      <c r="P480" s="26"/>
      <c r="Q480" s="26"/>
      <c r="R480" s="26"/>
      <c r="S480" s="26"/>
      <c r="T480" s="26"/>
      <c r="U480" s="26"/>
      <c r="V480" s="26"/>
      <c r="W480" s="26"/>
      <c r="X480" s="26"/>
    </row>
    <row r="481" hidden="1">
      <c r="A481" s="10" t="s">
        <v>190</v>
      </c>
      <c r="B481" s="10" t="s">
        <v>1684</v>
      </c>
      <c r="C481" s="27" t="s">
        <v>1685</v>
      </c>
      <c r="D481" s="10" t="s">
        <v>1686</v>
      </c>
      <c r="E481" s="28" t="s">
        <v>194</v>
      </c>
      <c r="F481" s="23" t="s">
        <v>195</v>
      </c>
      <c r="G481" s="23" t="s">
        <v>374</v>
      </c>
      <c r="H481" s="23" t="s">
        <v>375</v>
      </c>
      <c r="I481" s="32"/>
      <c r="J481" s="23" t="s">
        <v>198</v>
      </c>
      <c r="K481" s="23" t="str">
        <f t="shared" si="1"/>
        <v>691282</v>
      </c>
      <c r="L481" s="23"/>
      <c r="M481" s="26"/>
      <c r="N481" s="26"/>
      <c r="O481" s="26"/>
      <c r="P481" s="26"/>
      <c r="Q481" s="26"/>
      <c r="R481" s="26"/>
      <c r="S481" s="26"/>
      <c r="T481" s="26"/>
      <c r="U481" s="26"/>
      <c r="V481" s="26"/>
      <c r="W481" s="26"/>
      <c r="X481" s="26"/>
    </row>
    <row r="482" hidden="1">
      <c r="A482" s="10" t="s">
        <v>190</v>
      </c>
      <c r="B482" s="10" t="s">
        <v>1687</v>
      </c>
      <c r="C482" s="27" t="s">
        <v>1688</v>
      </c>
      <c r="D482" s="10" t="s">
        <v>1689</v>
      </c>
      <c r="E482" s="28" t="s">
        <v>194</v>
      </c>
      <c r="F482" s="23" t="s">
        <v>195</v>
      </c>
      <c r="G482" s="23" t="s">
        <v>374</v>
      </c>
      <c r="H482" s="23" t="s">
        <v>375</v>
      </c>
      <c r="I482" s="32"/>
      <c r="J482" s="23" t="s">
        <v>198</v>
      </c>
      <c r="K482" s="23" t="str">
        <f t="shared" si="1"/>
        <v>691299</v>
      </c>
      <c r="L482" s="23"/>
      <c r="M482" s="26"/>
      <c r="N482" s="26"/>
      <c r="O482" s="26"/>
      <c r="P482" s="26"/>
      <c r="Q482" s="26"/>
      <c r="R482" s="26"/>
      <c r="S482" s="26"/>
      <c r="T482" s="26"/>
      <c r="U482" s="26"/>
      <c r="V482" s="26"/>
      <c r="W482" s="26"/>
      <c r="X482" s="26"/>
    </row>
    <row r="483" hidden="1">
      <c r="A483" s="10" t="s">
        <v>190</v>
      </c>
      <c r="B483" s="10" t="s">
        <v>1690</v>
      </c>
      <c r="C483" s="27" t="s">
        <v>1691</v>
      </c>
      <c r="D483" s="10" t="s">
        <v>1692</v>
      </c>
      <c r="E483" s="28" t="s">
        <v>194</v>
      </c>
      <c r="F483" s="23" t="s">
        <v>195</v>
      </c>
      <c r="G483" s="23" t="s">
        <v>374</v>
      </c>
      <c r="H483" s="23" t="s">
        <v>375</v>
      </c>
      <c r="I483" s="32"/>
      <c r="J483" s="23" t="s">
        <v>198</v>
      </c>
      <c r="K483" s="23" t="str">
        <f t="shared" si="1"/>
        <v>691206</v>
      </c>
      <c r="L483" s="23"/>
      <c r="M483" s="26"/>
      <c r="N483" s="26"/>
      <c r="O483" s="26"/>
      <c r="P483" s="26"/>
      <c r="Q483" s="26"/>
      <c r="R483" s="26"/>
      <c r="S483" s="26"/>
      <c r="T483" s="26"/>
      <c r="U483" s="26"/>
      <c r="V483" s="26"/>
      <c r="W483" s="26"/>
      <c r="X483" s="26"/>
    </row>
    <row r="484" hidden="1">
      <c r="A484" s="10" t="s">
        <v>190</v>
      </c>
      <c r="B484" s="10" t="s">
        <v>1693</v>
      </c>
      <c r="C484" s="27" t="s">
        <v>1694</v>
      </c>
      <c r="D484" s="10" t="s">
        <v>1695</v>
      </c>
      <c r="E484" s="28" t="s">
        <v>194</v>
      </c>
      <c r="F484" s="23" t="s">
        <v>195</v>
      </c>
      <c r="G484" s="23" t="s">
        <v>374</v>
      </c>
      <c r="H484" s="23" t="s">
        <v>375</v>
      </c>
      <c r="I484" s="32"/>
      <c r="J484" s="23" t="s">
        <v>198</v>
      </c>
      <c r="K484" s="23" t="str">
        <f t="shared" si="1"/>
        <v>691213</v>
      </c>
      <c r="L484" s="23"/>
      <c r="M484" s="26"/>
      <c r="N484" s="26"/>
      <c r="O484" s="26"/>
      <c r="P484" s="26"/>
      <c r="Q484" s="26"/>
      <c r="R484" s="26"/>
      <c r="S484" s="26"/>
      <c r="T484" s="26"/>
      <c r="U484" s="26"/>
      <c r="V484" s="26"/>
      <c r="W484" s="26"/>
      <c r="X484" s="26"/>
    </row>
    <row r="485" hidden="1">
      <c r="A485" s="10" t="s">
        <v>190</v>
      </c>
      <c r="B485" s="10" t="s">
        <v>1696</v>
      </c>
      <c r="C485" s="27" t="s">
        <v>1697</v>
      </c>
      <c r="D485" s="10" t="s">
        <v>1698</v>
      </c>
      <c r="E485" s="28" t="s">
        <v>194</v>
      </c>
      <c r="F485" s="23" t="s">
        <v>195</v>
      </c>
      <c r="G485" s="23" t="s">
        <v>374</v>
      </c>
      <c r="H485" s="23" t="s">
        <v>375</v>
      </c>
      <c r="I485" s="32"/>
      <c r="J485" s="23" t="s">
        <v>198</v>
      </c>
      <c r="K485" s="23" t="str">
        <f t="shared" si="1"/>
        <v>691220</v>
      </c>
      <c r="L485" s="23"/>
      <c r="M485" s="26"/>
      <c r="N485" s="26"/>
      <c r="O485" s="26"/>
      <c r="P485" s="26"/>
      <c r="Q485" s="26"/>
      <c r="R485" s="26"/>
      <c r="S485" s="26"/>
      <c r="T485" s="26"/>
      <c r="U485" s="26"/>
      <c r="V485" s="26"/>
      <c r="W485" s="26"/>
      <c r="X485" s="26"/>
    </row>
    <row r="486" hidden="1">
      <c r="A486" s="10" t="s">
        <v>190</v>
      </c>
      <c r="B486" s="10" t="s">
        <v>1699</v>
      </c>
      <c r="C486" s="27" t="s">
        <v>1700</v>
      </c>
      <c r="D486" s="10" t="s">
        <v>1701</v>
      </c>
      <c r="E486" s="28" t="s">
        <v>194</v>
      </c>
      <c r="F486" s="23" t="s">
        <v>195</v>
      </c>
      <c r="G486" s="23" t="s">
        <v>374</v>
      </c>
      <c r="H486" s="23" t="s">
        <v>375</v>
      </c>
      <c r="I486" s="32"/>
      <c r="J486" s="23" t="s">
        <v>198</v>
      </c>
      <c r="K486" s="23" t="str">
        <f t="shared" si="1"/>
        <v>691244</v>
      </c>
      <c r="L486" s="23"/>
      <c r="M486" s="26"/>
      <c r="N486" s="26"/>
      <c r="O486" s="26"/>
      <c r="P486" s="26"/>
      <c r="Q486" s="26"/>
      <c r="R486" s="26"/>
      <c r="S486" s="26"/>
      <c r="T486" s="26"/>
      <c r="U486" s="26"/>
      <c r="V486" s="26"/>
      <c r="W486" s="26"/>
      <c r="X486" s="26"/>
    </row>
    <row r="487" hidden="1">
      <c r="A487" s="10" t="s">
        <v>190</v>
      </c>
      <c r="B487" s="10" t="s">
        <v>1702</v>
      </c>
      <c r="C487" s="27" t="s">
        <v>1703</v>
      </c>
      <c r="D487" s="10" t="s">
        <v>1704</v>
      </c>
      <c r="E487" s="28" t="s">
        <v>194</v>
      </c>
      <c r="F487" s="23" t="s">
        <v>195</v>
      </c>
      <c r="G487" s="23" t="s">
        <v>374</v>
      </c>
      <c r="H487" s="23" t="s">
        <v>375</v>
      </c>
      <c r="I487" s="32"/>
      <c r="J487" s="23" t="s">
        <v>198</v>
      </c>
      <c r="K487" s="23" t="str">
        <f t="shared" si="1"/>
        <v>691251</v>
      </c>
      <c r="L487" s="23"/>
      <c r="M487" s="26"/>
      <c r="N487" s="26"/>
      <c r="O487" s="26"/>
      <c r="P487" s="26"/>
      <c r="Q487" s="26"/>
      <c r="R487" s="26"/>
      <c r="S487" s="26"/>
      <c r="T487" s="26"/>
      <c r="U487" s="26"/>
      <c r="V487" s="26"/>
      <c r="W487" s="26"/>
      <c r="X487" s="26"/>
    </row>
    <row r="488" hidden="1">
      <c r="A488" s="10" t="s">
        <v>190</v>
      </c>
      <c r="B488" s="10" t="s">
        <v>1705</v>
      </c>
      <c r="C488" s="27" t="s">
        <v>1706</v>
      </c>
      <c r="D488" s="10" t="s">
        <v>1707</v>
      </c>
      <c r="E488" s="28" t="s">
        <v>194</v>
      </c>
      <c r="F488" s="23" t="s">
        <v>195</v>
      </c>
      <c r="G488" s="23" t="s">
        <v>374</v>
      </c>
      <c r="H488" s="23" t="s">
        <v>375</v>
      </c>
      <c r="I488" s="32"/>
      <c r="J488" s="23" t="s">
        <v>198</v>
      </c>
      <c r="K488" s="23" t="str">
        <f t="shared" si="1"/>
        <v>691268</v>
      </c>
      <c r="L488" s="23"/>
      <c r="M488" s="26"/>
      <c r="N488" s="26"/>
      <c r="O488" s="26"/>
      <c r="P488" s="26"/>
      <c r="Q488" s="26"/>
      <c r="R488" s="26"/>
      <c r="S488" s="26"/>
      <c r="T488" s="26"/>
      <c r="U488" s="26"/>
      <c r="V488" s="26"/>
      <c r="W488" s="26"/>
      <c r="X488" s="26"/>
    </row>
    <row r="489" hidden="1">
      <c r="A489" s="10" t="s">
        <v>190</v>
      </c>
      <c r="B489" s="10" t="s">
        <v>1708</v>
      </c>
      <c r="C489" s="27" t="s">
        <v>1709</v>
      </c>
      <c r="D489" s="10" t="s">
        <v>1710</v>
      </c>
      <c r="E489" s="28" t="s">
        <v>194</v>
      </c>
      <c r="F489" s="23" t="s">
        <v>195</v>
      </c>
      <c r="G489" s="23" t="s">
        <v>374</v>
      </c>
      <c r="H489" s="23" t="s">
        <v>375</v>
      </c>
      <c r="I489" s="32"/>
      <c r="J489" s="23" t="s">
        <v>198</v>
      </c>
      <c r="K489" s="23" t="str">
        <f t="shared" si="1"/>
        <v>691374</v>
      </c>
      <c r="L489" s="23"/>
      <c r="M489" s="26"/>
      <c r="N489" s="26"/>
      <c r="O489" s="26"/>
      <c r="P489" s="26"/>
      <c r="Q489" s="26"/>
      <c r="R489" s="26"/>
      <c r="S489" s="26"/>
      <c r="T489" s="26"/>
      <c r="U489" s="26"/>
      <c r="V489" s="26"/>
      <c r="W489" s="26"/>
      <c r="X489" s="26"/>
    </row>
    <row r="490" hidden="1">
      <c r="A490" s="10" t="s">
        <v>190</v>
      </c>
      <c r="B490" s="10" t="s">
        <v>1711</v>
      </c>
      <c r="C490" s="27" t="s">
        <v>1712</v>
      </c>
      <c r="D490" s="10" t="s">
        <v>1713</v>
      </c>
      <c r="E490" s="28" t="s">
        <v>194</v>
      </c>
      <c r="F490" s="23" t="s">
        <v>195</v>
      </c>
      <c r="G490" s="23" t="s">
        <v>374</v>
      </c>
      <c r="H490" s="23" t="s">
        <v>375</v>
      </c>
      <c r="I490" s="32"/>
      <c r="J490" s="23" t="s">
        <v>198</v>
      </c>
      <c r="K490" s="23" t="str">
        <f t="shared" si="1"/>
        <v>691343</v>
      </c>
      <c r="L490" s="23"/>
      <c r="M490" s="26"/>
      <c r="N490" s="26"/>
      <c r="O490" s="26"/>
      <c r="P490" s="26"/>
      <c r="Q490" s="26"/>
      <c r="R490" s="26"/>
      <c r="S490" s="26"/>
      <c r="T490" s="26"/>
      <c r="U490" s="26"/>
      <c r="V490" s="26"/>
      <c r="W490" s="26"/>
      <c r="X490" s="26"/>
    </row>
    <row r="491" hidden="1">
      <c r="A491" s="10" t="s">
        <v>427</v>
      </c>
      <c r="B491" s="10" t="s">
        <v>1714</v>
      </c>
      <c r="C491" s="27" t="s">
        <v>1715</v>
      </c>
      <c r="D491" s="10" t="s">
        <v>1716</v>
      </c>
      <c r="E491" s="28" t="s">
        <v>418</v>
      </c>
      <c r="F491" s="23" t="s">
        <v>419</v>
      </c>
      <c r="G491" s="23" t="s">
        <v>203</v>
      </c>
      <c r="H491" s="23" t="s">
        <v>349</v>
      </c>
      <c r="I491" s="32"/>
      <c r="J491" s="23" t="s">
        <v>6</v>
      </c>
      <c r="K491" s="23" t="str">
        <f t="shared" si="1"/>
        <v>644271</v>
      </c>
      <c r="L491" s="23"/>
      <c r="M491" s="26"/>
      <c r="N491" s="26"/>
      <c r="O491" s="26"/>
      <c r="P491" s="26"/>
      <c r="Q491" s="26"/>
      <c r="R491" s="26"/>
      <c r="S491" s="26"/>
      <c r="T491" s="26"/>
      <c r="U491" s="26"/>
      <c r="V491" s="26"/>
      <c r="W491" s="26"/>
      <c r="X491" s="26"/>
    </row>
    <row r="492" hidden="1">
      <c r="A492" s="10" t="s">
        <v>427</v>
      </c>
      <c r="B492" s="10" t="s">
        <v>1717</v>
      </c>
      <c r="C492" s="27" t="s">
        <v>1718</v>
      </c>
      <c r="D492" s="10" t="s">
        <v>1719</v>
      </c>
      <c r="E492" s="28" t="s">
        <v>418</v>
      </c>
      <c r="F492" s="23" t="s">
        <v>419</v>
      </c>
      <c r="G492" s="23" t="s">
        <v>203</v>
      </c>
      <c r="H492" s="23" t="s">
        <v>433</v>
      </c>
      <c r="I492" s="32"/>
      <c r="J492" s="23" t="s">
        <v>6</v>
      </c>
      <c r="K492" s="23" t="str">
        <f t="shared" si="1"/>
        <v>644325</v>
      </c>
      <c r="L492" s="23"/>
      <c r="M492" s="26"/>
      <c r="N492" s="26"/>
      <c r="O492" s="26"/>
      <c r="P492" s="26"/>
      <c r="Q492" s="26"/>
      <c r="R492" s="26"/>
      <c r="S492" s="26"/>
      <c r="T492" s="26"/>
      <c r="U492" s="26"/>
      <c r="V492" s="26"/>
      <c r="W492" s="26"/>
      <c r="X492" s="26"/>
    </row>
    <row r="493" hidden="1">
      <c r="A493" s="10" t="s">
        <v>427</v>
      </c>
      <c r="B493" s="10" t="s">
        <v>1720</v>
      </c>
      <c r="C493" s="27" t="s">
        <v>1721</v>
      </c>
      <c r="D493" s="10" t="s">
        <v>1722</v>
      </c>
      <c r="E493" s="28" t="s">
        <v>418</v>
      </c>
      <c r="F493" s="23" t="s">
        <v>419</v>
      </c>
      <c r="G493" s="23" t="s">
        <v>203</v>
      </c>
      <c r="H493" s="23" t="s">
        <v>1372</v>
      </c>
      <c r="I493" s="32"/>
      <c r="J493" s="23" t="s">
        <v>6</v>
      </c>
      <c r="K493" s="23" t="str">
        <f t="shared" si="1"/>
        <v>644400</v>
      </c>
      <c r="L493" s="23"/>
      <c r="M493" s="26"/>
      <c r="N493" s="26"/>
      <c r="O493" s="26"/>
      <c r="P493" s="26"/>
      <c r="Q493" s="26"/>
      <c r="R493" s="26"/>
      <c r="S493" s="26"/>
      <c r="T493" s="26"/>
      <c r="U493" s="26"/>
      <c r="V493" s="26"/>
      <c r="W493" s="26"/>
      <c r="X493" s="26"/>
    </row>
    <row r="494" hidden="1">
      <c r="A494" s="10" t="s">
        <v>427</v>
      </c>
      <c r="B494" s="10" t="s">
        <v>1723</v>
      </c>
      <c r="C494" s="27" t="s">
        <v>1724</v>
      </c>
      <c r="D494" s="10" t="s">
        <v>1725</v>
      </c>
      <c r="E494" s="28" t="s">
        <v>418</v>
      </c>
      <c r="F494" s="23" t="s">
        <v>419</v>
      </c>
      <c r="G494" s="23" t="s">
        <v>203</v>
      </c>
      <c r="H494" s="23" t="s">
        <v>216</v>
      </c>
      <c r="I494" s="32"/>
      <c r="J494" s="23" t="s">
        <v>6</v>
      </c>
      <c r="K494" s="23" t="str">
        <f t="shared" si="1"/>
        <v>644363</v>
      </c>
      <c r="L494" s="23"/>
      <c r="M494" s="26"/>
      <c r="N494" s="26"/>
      <c r="O494" s="26"/>
      <c r="P494" s="26"/>
      <c r="Q494" s="26"/>
      <c r="R494" s="26"/>
      <c r="S494" s="26"/>
      <c r="T494" s="26"/>
      <c r="U494" s="26"/>
      <c r="V494" s="26"/>
      <c r="W494" s="26"/>
      <c r="X494" s="26"/>
    </row>
    <row r="495" hidden="1">
      <c r="A495" s="10" t="s">
        <v>427</v>
      </c>
      <c r="B495" s="10" t="s">
        <v>1726</v>
      </c>
      <c r="C495" s="27" t="s">
        <v>1727</v>
      </c>
      <c r="D495" s="10" t="s">
        <v>1728</v>
      </c>
      <c r="E495" s="28" t="s">
        <v>418</v>
      </c>
      <c r="F495" s="23" t="s">
        <v>419</v>
      </c>
      <c r="G495" s="23" t="s">
        <v>203</v>
      </c>
      <c r="H495" s="23" t="s">
        <v>222</v>
      </c>
      <c r="I495" s="32"/>
      <c r="J495" s="23" t="s">
        <v>6</v>
      </c>
      <c r="K495" s="23" t="str">
        <f t="shared" si="1"/>
        <v>644332</v>
      </c>
      <c r="L495" s="23"/>
      <c r="M495" s="26"/>
      <c r="N495" s="26"/>
      <c r="O495" s="26"/>
      <c r="P495" s="26"/>
      <c r="Q495" s="26"/>
      <c r="R495" s="26"/>
      <c r="S495" s="26"/>
      <c r="T495" s="26"/>
      <c r="U495" s="26"/>
      <c r="V495" s="26"/>
      <c r="W495" s="26"/>
      <c r="X495" s="26"/>
    </row>
    <row r="496" hidden="1">
      <c r="A496" s="10" t="s">
        <v>499</v>
      </c>
      <c r="B496" s="10" t="s">
        <v>1729</v>
      </c>
      <c r="C496" s="27" t="s">
        <v>1730</v>
      </c>
      <c r="D496" s="10" t="s">
        <v>1731</v>
      </c>
      <c r="E496" s="28" t="s">
        <v>194</v>
      </c>
      <c r="F496" s="23" t="s">
        <v>195</v>
      </c>
      <c r="G496" s="23" t="s">
        <v>203</v>
      </c>
      <c r="H496" s="23" t="s">
        <v>1732</v>
      </c>
      <c r="I496" s="32"/>
      <c r="J496" s="23" t="s">
        <v>6</v>
      </c>
      <c r="K496" s="23" t="str">
        <f t="shared" si="1"/>
        <v>659480</v>
      </c>
      <c r="L496" s="23"/>
      <c r="M496" s="26"/>
      <c r="N496" s="26"/>
      <c r="O496" s="26"/>
      <c r="P496" s="26"/>
      <c r="Q496" s="26"/>
      <c r="R496" s="26"/>
      <c r="S496" s="26"/>
      <c r="T496" s="26"/>
      <c r="U496" s="26"/>
      <c r="V496" s="26"/>
      <c r="W496" s="26"/>
      <c r="X496" s="26"/>
    </row>
    <row r="497" hidden="1">
      <c r="A497" s="10" t="s">
        <v>499</v>
      </c>
      <c r="B497" s="10" t="s">
        <v>1733</v>
      </c>
      <c r="C497" s="27" t="s">
        <v>1734</v>
      </c>
      <c r="D497" s="10" t="s">
        <v>1735</v>
      </c>
      <c r="E497" s="28" t="s">
        <v>194</v>
      </c>
      <c r="F497" s="23" t="s">
        <v>195</v>
      </c>
      <c r="G497" s="23" t="s">
        <v>203</v>
      </c>
      <c r="H497" s="23" t="s">
        <v>1732</v>
      </c>
      <c r="I497" s="32"/>
      <c r="J497" s="23" t="s">
        <v>6</v>
      </c>
      <c r="K497" s="23" t="str">
        <f t="shared" si="1"/>
        <v>660035</v>
      </c>
      <c r="L497" s="23"/>
      <c r="M497" s="26"/>
      <c r="N497" s="26"/>
      <c r="O497" s="26"/>
      <c r="P497" s="26"/>
      <c r="Q497" s="26"/>
      <c r="R497" s="26"/>
      <c r="S497" s="26"/>
      <c r="T497" s="26"/>
      <c r="U497" s="26"/>
      <c r="V497" s="26"/>
      <c r="W497" s="26"/>
      <c r="X497" s="26"/>
    </row>
    <row r="498" hidden="1">
      <c r="A498" s="10" t="s">
        <v>499</v>
      </c>
      <c r="B498" s="10" t="s">
        <v>1736</v>
      </c>
      <c r="C498" s="27" t="s">
        <v>1737</v>
      </c>
      <c r="D498" s="10" t="s">
        <v>1738</v>
      </c>
      <c r="E498" s="28" t="s">
        <v>194</v>
      </c>
      <c r="F498" s="23" t="s">
        <v>195</v>
      </c>
      <c r="G498" s="23" t="s">
        <v>521</v>
      </c>
      <c r="H498" s="23" t="s">
        <v>1732</v>
      </c>
      <c r="I498" s="32"/>
      <c r="J498" s="23" t="s">
        <v>6</v>
      </c>
      <c r="K498" s="23" t="str">
        <f t="shared" si="1"/>
        <v>690506</v>
      </c>
      <c r="L498" s="23"/>
      <c r="M498" s="26"/>
      <c r="N498" s="26"/>
      <c r="O498" s="26"/>
      <c r="P498" s="26"/>
      <c r="Q498" s="26"/>
      <c r="R498" s="26"/>
      <c r="S498" s="26"/>
      <c r="T498" s="26"/>
      <c r="U498" s="26"/>
      <c r="V498" s="26"/>
      <c r="W498" s="26"/>
      <c r="X498" s="26"/>
    </row>
    <row r="499" hidden="1">
      <c r="A499" s="10" t="s">
        <v>499</v>
      </c>
      <c r="B499" s="10" t="s">
        <v>1739</v>
      </c>
      <c r="C499" s="27" t="s">
        <v>1740</v>
      </c>
      <c r="D499" s="10" t="s">
        <v>1741</v>
      </c>
      <c r="E499" s="28" t="s">
        <v>194</v>
      </c>
      <c r="F499" s="23" t="s">
        <v>195</v>
      </c>
      <c r="G499" s="23" t="s">
        <v>196</v>
      </c>
      <c r="H499" s="23" t="s">
        <v>1732</v>
      </c>
      <c r="I499" s="32"/>
      <c r="J499" s="23" t="s">
        <v>6</v>
      </c>
      <c r="K499" s="23" t="str">
        <f t="shared" si="1"/>
        <v>622859</v>
      </c>
      <c r="L499" s="23"/>
      <c r="M499" s="26"/>
      <c r="N499" s="26"/>
      <c r="O499" s="26"/>
      <c r="P499" s="26"/>
      <c r="Q499" s="26"/>
      <c r="R499" s="26"/>
      <c r="S499" s="26"/>
      <c r="T499" s="26"/>
      <c r="U499" s="26"/>
      <c r="V499" s="26"/>
      <c r="W499" s="26"/>
      <c r="X499" s="26"/>
    </row>
    <row r="500" hidden="1">
      <c r="A500" s="10" t="s">
        <v>190</v>
      </c>
      <c r="B500" s="10" t="s">
        <v>1742</v>
      </c>
      <c r="C500" s="27" t="s">
        <v>1743</v>
      </c>
      <c r="D500" s="10" t="s">
        <v>1744</v>
      </c>
      <c r="E500" s="28" t="s">
        <v>194</v>
      </c>
      <c r="F500" s="23" t="s">
        <v>195</v>
      </c>
      <c r="G500" s="23" t="s">
        <v>203</v>
      </c>
      <c r="H500" s="23" t="s">
        <v>1745</v>
      </c>
      <c r="I500" s="23" t="s">
        <v>1746</v>
      </c>
      <c r="J500" s="23" t="s">
        <v>198</v>
      </c>
      <c r="K500" s="23" t="str">
        <f t="shared" si="1"/>
        <v>686998</v>
      </c>
      <c r="L500" s="23"/>
      <c r="M500" s="26"/>
      <c r="N500" s="26"/>
      <c r="O500" s="26"/>
      <c r="P500" s="26"/>
      <c r="Q500" s="26"/>
      <c r="R500" s="26"/>
      <c r="S500" s="26"/>
      <c r="T500" s="26"/>
      <c r="U500" s="26"/>
      <c r="V500" s="26"/>
      <c r="W500" s="26"/>
      <c r="X500" s="26"/>
    </row>
    <row r="501" hidden="1">
      <c r="A501" s="10" t="s">
        <v>190</v>
      </c>
      <c r="B501" s="10" t="s">
        <v>1747</v>
      </c>
      <c r="C501" s="27" t="s">
        <v>1748</v>
      </c>
      <c r="D501" s="10" t="s">
        <v>1749</v>
      </c>
      <c r="E501" s="28" t="s">
        <v>194</v>
      </c>
      <c r="F501" s="23" t="s">
        <v>195</v>
      </c>
      <c r="G501" s="23" t="s">
        <v>203</v>
      </c>
      <c r="H501" s="23" t="s">
        <v>1745</v>
      </c>
      <c r="I501" s="23" t="s">
        <v>1750</v>
      </c>
      <c r="J501" s="23" t="s">
        <v>238</v>
      </c>
      <c r="K501" s="23" t="str">
        <f t="shared" si="1"/>
        <v>688497</v>
      </c>
      <c r="L501" s="23"/>
      <c r="M501" s="26"/>
      <c r="N501" s="26"/>
      <c r="O501" s="26"/>
      <c r="P501" s="26"/>
      <c r="Q501" s="26"/>
      <c r="R501" s="26"/>
      <c r="S501" s="26"/>
      <c r="T501" s="26"/>
      <c r="U501" s="26"/>
      <c r="V501" s="26"/>
      <c r="W501" s="26"/>
      <c r="X501" s="26"/>
    </row>
    <row r="502" hidden="1">
      <c r="A502" s="10" t="s">
        <v>499</v>
      </c>
      <c r="B502" s="10" t="s">
        <v>1751</v>
      </c>
      <c r="C502" s="27" t="s">
        <v>1752</v>
      </c>
      <c r="D502" s="10" t="s">
        <v>1753</v>
      </c>
      <c r="E502" s="28" t="s">
        <v>194</v>
      </c>
      <c r="F502" s="23" t="s">
        <v>195</v>
      </c>
      <c r="G502" s="23" t="s">
        <v>203</v>
      </c>
      <c r="H502" s="23" t="s">
        <v>1745</v>
      </c>
      <c r="I502" s="32"/>
      <c r="J502" s="23" t="s">
        <v>6</v>
      </c>
      <c r="K502" s="23" t="str">
        <f t="shared" si="1"/>
        <v>602615</v>
      </c>
      <c r="L502" s="23"/>
      <c r="M502" s="26"/>
      <c r="N502" s="26"/>
      <c r="O502" s="26"/>
      <c r="P502" s="26"/>
      <c r="Q502" s="26"/>
      <c r="R502" s="26"/>
      <c r="S502" s="26"/>
      <c r="T502" s="26"/>
      <c r="U502" s="26"/>
      <c r="V502" s="26"/>
      <c r="W502" s="26"/>
      <c r="X502" s="26"/>
    </row>
    <row r="503" hidden="1">
      <c r="A503" s="10" t="s">
        <v>427</v>
      </c>
      <c r="B503" s="10" t="s">
        <v>1754</v>
      </c>
      <c r="C503" s="27" t="s">
        <v>1755</v>
      </c>
      <c r="D503" s="10" t="s">
        <v>1756</v>
      </c>
      <c r="E503" s="28" t="s">
        <v>534</v>
      </c>
      <c r="F503" s="23" t="s">
        <v>757</v>
      </c>
      <c r="G503" s="23" t="s">
        <v>203</v>
      </c>
      <c r="H503" s="23" t="s">
        <v>1745</v>
      </c>
      <c r="I503" s="32"/>
      <c r="J503" s="23" t="s">
        <v>6</v>
      </c>
      <c r="K503" s="23" t="str">
        <f t="shared" si="1"/>
        <v>686349</v>
      </c>
      <c r="L503" s="23"/>
      <c r="M503" s="26"/>
      <c r="N503" s="26"/>
      <c r="O503" s="26"/>
      <c r="P503" s="26"/>
      <c r="Q503" s="26"/>
      <c r="R503" s="26"/>
      <c r="S503" s="26"/>
      <c r="T503" s="26"/>
      <c r="U503" s="26"/>
      <c r="V503" s="26"/>
      <c r="W503" s="26"/>
      <c r="X503" s="26"/>
    </row>
    <row r="504" hidden="1">
      <c r="A504" s="10" t="s">
        <v>427</v>
      </c>
      <c r="B504" s="10" t="s">
        <v>1757</v>
      </c>
      <c r="C504" s="27" t="s">
        <v>1758</v>
      </c>
      <c r="D504" s="10" t="s">
        <v>1759</v>
      </c>
      <c r="E504" s="28" t="s">
        <v>534</v>
      </c>
      <c r="F504" s="23" t="s">
        <v>1238</v>
      </c>
      <c r="G504" s="23" t="s">
        <v>203</v>
      </c>
      <c r="H504" s="23" t="s">
        <v>1745</v>
      </c>
      <c r="I504" s="32"/>
      <c r="J504" s="23" t="s">
        <v>6</v>
      </c>
      <c r="K504" s="23" t="str">
        <f t="shared" si="1"/>
        <v>686363</v>
      </c>
      <c r="L504" s="23"/>
      <c r="M504" s="26"/>
      <c r="N504" s="26"/>
      <c r="O504" s="26"/>
      <c r="P504" s="26"/>
      <c r="Q504" s="26"/>
      <c r="R504" s="26"/>
      <c r="S504" s="26"/>
      <c r="T504" s="26"/>
      <c r="U504" s="26"/>
      <c r="V504" s="26"/>
      <c r="W504" s="26"/>
      <c r="X504" s="26"/>
    </row>
    <row r="505" hidden="1">
      <c r="A505" s="10" t="s">
        <v>190</v>
      </c>
      <c r="B505" s="10" t="s">
        <v>1760</v>
      </c>
      <c r="C505" s="27" t="s">
        <v>1761</v>
      </c>
      <c r="D505" s="10" t="s">
        <v>1762</v>
      </c>
      <c r="E505" s="28" t="s">
        <v>194</v>
      </c>
      <c r="F505" s="23" t="s">
        <v>195</v>
      </c>
      <c r="G505" s="23" t="s">
        <v>203</v>
      </c>
      <c r="H505" s="23" t="s">
        <v>433</v>
      </c>
      <c r="I505" s="23" t="s">
        <v>1763</v>
      </c>
      <c r="J505" s="23" t="s">
        <v>198</v>
      </c>
      <c r="K505" s="23" t="str">
        <f t="shared" si="1"/>
        <v>681078</v>
      </c>
      <c r="L505" s="23"/>
      <c r="M505" s="26"/>
      <c r="N505" s="26"/>
      <c r="O505" s="26"/>
      <c r="P505" s="26"/>
      <c r="Q505" s="26"/>
      <c r="R505" s="26"/>
      <c r="S505" s="26"/>
      <c r="T505" s="26"/>
      <c r="U505" s="26"/>
      <c r="V505" s="26"/>
      <c r="W505" s="26"/>
      <c r="X505" s="26"/>
    </row>
    <row r="506" hidden="1">
      <c r="A506" s="10" t="s">
        <v>190</v>
      </c>
      <c r="B506" s="10" t="s">
        <v>1764</v>
      </c>
      <c r="C506" s="27" t="s">
        <v>1765</v>
      </c>
      <c r="D506" s="10" t="s">
        <v>1766</v>
      </c>
      <c r="E506" s="28" t="s">
        <v>194</v>
      </c>
      <c r="F506" s="23" t="s">
        <v>195</v>
      </c>
      <c r="G506" s="23" t="s">
        <v>203</v>
      </c>
      <c r="H506" s="23" t="s">
        <v>433</v>
      </c>
      <c r="I506" s="23" t="s">
        <v>1763</v>
      </c>
      <c r="J506" s="23" t="s">
        <v>198</v>
      </c>
      <c r="K506" s="23" t="str">
        <f t="shared" si="1"/>
        <v>681085</v>
      </c>
      <c r="L506" s="23"/>
      <c r="M506" s="26"/>
      <c r="N506" s="26"/>
      <c r="O506" s="26"/>
      <c r="P506" s="26"/>
      <c r="Q506" s="26"/>
      <c r="R506" s="26"/>
      <c r="S506" s="26"/>
      <c r="T506" s="26"/>
      <c r="U506" s="26"/>
      <c r="V506" s="26"/>
      <c r="W506" s="26"/>
      <c r="X506" s="26"/>
    </row>
    <row r="507" hidden="1">
      <c r="A507" s="10" t="s">
        <v>499</v>
      </c>
      <c r="B507" s="10" t="s">
        <v>1767</v>
      </c>
      <c r="C507" s="27" t="s">
        <v>1768</v>
      </c>
      <c r="D507" s="10" t="s">
        <v>1769</v>
      </c>
      <c r="E507" s="28" t="s">
        <v>194</v>
      </c>
      <c r="F507" s="23" t="s">
        <v>195</v>
      </c>
      <c r="G507" s="23" t="s">
        <v>203</v>
      </c>
      <c r="H507" s="23" t="s">
        <v>433</v>
      </c>
      <c r="I507" s="32"/>
      <c r="J507" s="23" t="s">
        <v>6</v>
      </c>
      <c r="K507" s="23" t="str">
        <f t="shared" si="1"/>
        <v>648668</v>
      </c>
      <c r="L507" s="23"/>
      <c r="M507" s="26"/>
      <c r="N507" s="26"/>
      <c r="O507" s="26"/>
      <c r="P507" s="26"/>
      <c r="Q507" s="26"/>
      <c r="R507" s="26"/>
      <c r="S507" s="26"/>
      <c r="T507" s="26"/>
      <c r="U507" s="26"/>
      <c r="V507" s="26"/>
      <c r="W507" s="26"/>
      <c r="X507" s="26"/>
    </row>
    <row r="508" hidden="1">
      <c r="A508" s="10" t="s">
        <v>499</v>
      </c>
      <c r="B508" s="10" t="s">
        <v>1770</v>
      </c>
      <c r="C508" s="27" t="s">
        <v>1771</v>
      </c>
      <c r="D508" s="10" t="s">
        <v>1772</v>
      </c>
      <c r="E508" s="28" t="s">
        <v>194</v>
      </c>
      <c r="F508" s="23" t="s">
        <v>195</v>
      </c>
      <c r="G508" s="23" t="s">
        <v>203</v>
      </c>
      <c r="H508" s="23" t="s">
        <v>433</v>
      </c>
      <c r="I508" s="32"/>
      <c r="J508" s="23" t="s">
        <v>6</v>
      </c>
      <c r="K508" s="23" t="str">
        <f t="shared" si="1"/>
        <v>673677</v>
      </c>
      <c r="L508" s="23"/>
      <c r="M508" s="26"/>
      <c r="N508" s="26"/>
      <c r="O508" s="26"/>
      <c r="P508" s="26"/>
      <c r="Q508" s="26"/>
      <c r="R508" s="26"/>
      <c r="S508" s="26"/>
      <c r="T508" s="26"/>
      <c r="U508" s="26"/>
      <c r="V508" s="26"/>
      <c r="W508" s="26"/>
      <c r="X508" s="26"/>
    </row>
    <row r="509" hidden="1">
      <c r="A509" s="10" t="s">
        <v>499</v>
      </c>
      <c r="B509" s="10" t="s">
        <v>1773</v>
      </c>
      <c r="C509" s="27" t="s">
        <v>1774</v>
      </c>
      <c r="D509" s="10" t="s">
        <v>1775</v>
      </c>
      <c r="E509" s="28" t="s">
        <v>194</v>
      </c>
      <c r="F509" s="23" t="s">
        <v>195</v>
      </c>
      <c r="G509" s="23" t="s">
        <v>203</v>
      </c>
      <c r="H509" s="23" t="s">
        <v>433</v>
      </c>
      <c r="I509" s="32"/>
      <c r="J509" s="23" t="s">
        <v>6</v>
      </c>
      <c r="K509" s="23" t="str">
        <f t="shared" si="1"/>
        <v>673684</v>
      </c>
      <c r="L509" s="23"/>
      <c r="M509" s="26"/>
      <c r="N509" s="26"/>
      <c r="O509" s="26"/>
      <c r="P509" s="26"/>
      <c r="Q509" s="26"/>
      <c r="R509" s="26"/>
      <c r="S509" s="26"/>
      <c r="T509" s="26"/>
      <c r="U509" s="26"/>
      <c r="V509" s="26"/>
      <c r="W509" s="26"/>
      <c r="X509" s="26"/>
    </row>
    <row r="510" hidden="1">
      <c r="A510" s="10" t="s">
        <v>499</v>
      </c>
      <c r="B510" s="10" t="s">
        <v>1776</v>
      </c>
      <c r="C510" s="27" t="s">
        <v>1777</v>
      </c>
      <c r="D510" s="10" t="s">
        <v>1778</v>
      </c>
      <c r="E510" s="28" t="s">
        <v>194</v>
      </c>
      <c r="F510" s="23" t="s">
        <v>195</v>
      </c>
      <c r="G510" s="23" t="s">
        <v>203</v>
      </c>
      <c r="H510" s="23" t="s">
        <v>433</v>
      </c>
      <c r="I510" s="32"/>
      <c r="J510" s="23" t="s">
        <v>6</v>
      </c>
      <c r="K510" s="23" t="str">
        <f t="shared" si="1"/>
        <v>690872</v>
      </c>
      <c r="L510" s="23"/>
      <c r="M510" s="26"/>
      <c r="N510" s="26"/>
      <c r="O510" s="26"/>
      <c r="P510" s="26"/>
      <c r="Q510" s="26"/>
      <c r="R510" s="26"/>
      <c r="S510" s="26"/>
      <c r="T510" s="26"/>
      <c r="U510" s="26"/>
      <c r="V510" s="26"/>
      <c r="W510" s="26"/>
      <c r="X510" s="26"/>
    </row>
    <row r="511" hidden="1">
      <c r="A511" s="10" t="s">
        <v>499</v>
      </c>
      <c r="B511" s="10" t="s">
        <v>1779</v>
      </c>
      <c r="C511" s="27" t="s">
        <v>1780</v>
      </c>
      <c r="D511" s="10" t="s">
        <v>1781</v>
      </c>
      <c r="E511" s="28" t="s">
        <v>194</v>
      </c>
      <c r="F511" s="23" t="s">
        <v>195</v>
      </c>
      <c r="G511" s="23" t="s">
        <v>203</v>
      </c>
      <c r="H511" s="23" t="s">
        <v>433</v>
      </c>
      <c r="I511" s="32"/>
      <c r="J511" s="23" t="s">
        <v>6</v>
      </c>
      <c r="K511" s="23" t="str">
        <f t="shared" si="1"/>
        <v>690001</v>
      </c>
      <c r="L511" s="23"/>
      <c r="M511" s="26"/>
      <c r="N511" s="26"/>
      <c r="O511" s="26"/>
      <c r="P511" s="26"/>
      <c r="Q511" s="26"/>
      <c r="R511" s="26"/>
      <c r="S511" s="26"/>
      <c r="T511" s="26"/>
      <c r="U511" s="26"/>
      <c r="V511" s="26"/>
      <c r="W511" s="26"/>
      <c r="X511" s="26"/>
    </row>
    <row r="512" hidden="1">
      <c r="A512" s="10" t="s">
        <v>499</v>
      </c>
      <c r="B512" s="10" t="s">
        <v>1782</v>
      </c>
      <c r="C512" s="27" t="s">
        <v>1783</v>
      </c>
      <c r="D512" s="10" t="s">
        <v>1784</v>
      </c>
      <c r="E512" s="28" t="s">
        <v>194</v>
      </c>
      <c r="F512" s="23" t="s">
        <v>195</v>
      </c>
      <c r="G512" s="23" t="s">
        <v>203</v>
      </c>
      <c r="H512" s="23" t="s">
        <v>433</v>
      </c>
      <c r="I512" s="32"/>
      <c r="J512" s="23" t="s">
        <v>6</v>
      </c>
      <c r="K512" s="23" t="str">
        <f t="shared" si="1"/>
        <v>673691</v>
      </c>
      <c r="L512" s="23"/>
      <c r="M512" s="26"/>
      <c r="N512" s="26"/>
      <c r="O512" s="26"/>
      <c r="P512" s="26"/>
      <c r="Q512" s="26"/>
      <c r="R512" s="26"/>
      <c r="S512" s="26"/>
      <c r="T512" s="26"/>
      <c r="U512" s="26"/>
      <c r="V512" s="26"/>
      <c r="W512" s="26"/>
      <c r="X512" s="26"/>
    </row>
    <row r="513" hidden="1">
      <c r="A513" s="10" t="s">
        <v>427</v>
      </c>
      <c r="B513" s="10" t="s">
        <v>1785</v>
      </c>
      <c r="C513" s="27" t="s">
        <v>1786</v>
      </c>
      <c r="D513" s="10" t="s">
        <v>1787</v>
      </c>
      <c r="E513" s="28" t="s">
        <v>431</v>
      </c>
      <c r="F513" s="23" t="s">
        <v>1788</v>
      </c>
      <c r="G513" s="23" t="s">
        <v>203</v>
      </c>
      <c r="H513" s="23" t="s">
        <v>433</v>
      </c>
      <c r="I513" s="23" t="s">
        <v>433</v>
      </c>
      <c r="J513" s="23" t="s">
        <v>6</v>
      </c>
      <c r="K513" s="23" t="str">
        <f t="shared" si="1"/>
        <v>656212</v>
      </c>
      <c r="L513" s="23"/>
      <c r="M513" s="26"/>
      <c r="N513" s="26"/>
      <c r="O513" s="26"/>
      <c r="P513" s="26"/>
      <c r="Q513" s="26"/>
      <c r="R513" s="26"/>
      <c r="S513" s="26"/>
      <c r="T513" s="26"/>
      <c r="U513" s="26"/>
      <c r="V513" s="26"/>
      <c r="W513" s="26"/>
      <c r="X513" s="26"/>
    </row>
    <row r="514" hidden="1">
      <c r="A514" s="10" t="s">
        <v>427</v>
      </c>
      <c r="B514" s="10" t="s">
        <v>1789</v>
      </c>
      <c r="C514" s="27" t="s">
        <v>1790</v>
      </c>
      <c r="D514" s="10" t="s">
        <v>1791</v>
      </c>
      <c r="E514" s="28" t="s">
        <v>534</v>
      </c>
      <c r="F514" s="23" t="s">
        <v>1238</v>
      </c>
      <c r="G514" s="23" t="s">
        <v>203</v>
      </c>
      <c r="H514" s="23" t="s">
        <v>433</v>
      </c>
      <c r="I514" s="32"/>
      <c r="J514" s="23" t="s">
        <v>6</v>
      </c>
      <c r="K514" s="23" t="str">
        <f t="shared" si="1"/>
        <v>629308</v>
      </c>
      <c r="L514" s="23"/>
      <c r="M514" s="26"/>
      <c r="N514" s="26"/>
      <c r="O514" s="26"/>
      <c r="P514" s="26"/>
      <c r="Q514" s="26"/>
      <c r="R514" s="26"/>
      <c r="S514" s="26"/>
      <c r="T514" s="26"/>
      <c r="U514" s="26"/>
      <c r="V514" s="26"/>
      <c r="W514" s="26"/>
      <c r="X514" s="26"/>
    </row>
    <row r="515" hidden="1">
      <c r="A515" s="10" t="s">
        <v>427</v>
      </c>
      <c r="B515" s="10" t="s">
        <v>1792</v>
      </c>
      <c r="C515" s="27" t="s">
        <v>1793</v>
      </c>
      <c r="D515" s="10" t="s">
        <v>1794</v>
      </c>
      <c r="E515" s="28" t="s">
        <v>534</v>
      </c>
      <c r="F515" s="23" t="s">
        <v>1242</v>
      </c>
      <c r="G515" s="23" t="s">
        <v>203</v>
      </c>
      <c r="H515" s="23" t="s">
        <v>433</v>
      </c>
      <c r="I515" s="32"/>
      <c r="J515" s="23" t="s">
        <v>6</v>
      </c>
      <c r="K515" s="23" t="str">
        <f t="shared" si="1"/>
        <v>675015</v>
      </c>
      <c r="L515" s="23"/>
      <c r="M515" s="26"/>
      <c r="N515" s="26"/>
      <c r="O515" s="26"/>
      <c r="P515" s="26"/>
      <c r="Q515" s="26"/>
      <c r="R515" s="26"/>
      <c r="S515" s="26"/>
      <c r="T515" s="26"/>
      <c r="U515" s="26"/>
      <c r="V515" s="26"/>
      <c r="W515" s="26"/>
      <c r="X515" s="26"/>
    </row>
    <row r="516" hidden="1">
      <c r="A516" s="10" t="s">
        <v>427</v>
      </c>
      <c r="B516" s="10" t="s">
        <v>1795</v>
      </c>
      <c r="C516" s="27" t="s">
        <v>1796</v>
      </c>
      <c r="D516" s="10" t="s">
        <v>1797</v>
      </c>
      <c r="E516" s="28" t="s">
        <v>418</v>
      </c>
      <c r="F516" s="23" t="s">
        <v>977</v>
      </c>
      <c r="G516" s="23" t="s">
        <v>203</v>
      </c>
      <c r="H516" s="23" t="s">
        <v>433</v>
      </c>
      <c r="I516" s="32"/>
      <c r="J516" s="23" t="s">
        <v>6</v>
      </c>
      <c r="K516" s="23" t="str">
        <f t="shared" si="1"/>
        <v>671314</v>
      </c>
      <c r="L516" s="23"/>
      <c r="M516" s="26"/>
      <c r="N516" s="26"/>
      <c r="O516" s="26"/>
      <c r="P516" s="26"/>
      <c r="Q516" s="26"/>
      <c r="R516" s="26"/>
      <c r="S516" s="26"/>
      <c r="T516" s="26"/>
      <c r="U516" s="26"/>
      <c r="V516" s="26"/>
      <c r="W516" s="26"/>
      <c r="X516" s="26"/>
    </row>
    <row r="517" hidden="1">
      <c r="A517" s="10" t="s">
        <v>427</v>
      </c>
      <c r="B517" s="10" t="s">
        <v>1798</v>
      </c>
      <c r="C517" s="27" t="s">
        <v>1799</v>
      </c>
      <c r="D517" s="10" t="s">
        <v>1800</v>
      </c>
      <c r="E517" s="28" t="s">
        <v>534</v>
      </c>
      <c r="F517" s="23" t="s">
        <v>757</v>
      </c>
      <c r="G517" s="23" t="s">
        <v>203</v>
      </c>
      <c r="H517" s="23" t="s">
        <v>433</v>
      </c>
      <c r="I517" s="32"/>
      <c r="J517" s="23" t="s">
        <v>6</v>
      </c>
      <c r="K517" s="23" t="str">
        <f t="shared" si="1"/>
        <v>630939</v>
      </c>
      <c r="L517" s="23"/>
      <c r="M517" s="26"/>
      <c r="N517" s="26"/>
      <c r="O517" s="26"/>
      <c r="P517" s="26"/>
      <c r="Q517" s="26"/>
      <c r="R517" s="26"/>
      <c r="S517" s="26"/>
      <c r="T517" s="26"/>
      <c r="U517" s="26"/>
      <c r="V517" s="26"/>
      <c r="W517" s="26"/>
      <c r="X517" s="26"/>
    </row>
    <row r="518" hidden="1">
      <c r="A518" s="10" t="s">
        <v>427</v>
      </c>
      <c r="B518" s="10" t="s">
        <v>1801</v>
      </c>
      <c r="C518" s="27" t="s">
        <v>1802</v>
      </c>
      <c r="D518" s="10" t="s">
        <v>1803</v>
      </c>
      <c r="E518" s="28" t="s">
        <v>534</v>
      </c>
      <c r="F518" s="23" t="s">
        <v>757</v>
      </c>
      <c r="G518" s="23" t="s">
        <v>203</v>
      </c>
      <c r="H518" s="23" t="s">
        <v>433</v>
      </c>
      <c r="I518" s="32"/>
      <c r="J518" s="23" t="s">
        <v>6</v>
      </c>
      <c r="K518" s="23" t="str">
        <f t="shared" si="1"/>
        <v>675770</v>
      </c>
      <c r="L518" s="23"/>
      <c r="M518" s="26"/>
      <c r="N518" s="26"/>
      <c r="O518" s="26"/>
      <c r="P518" s="26"/>
      <c r="Q518" s="26"/>
      <c r="R518" s="26"/>
      <c r="S518" s="26"/>
      <c r="T518" s="26"/>
      <c r="U518" s="26"/>
      <c r="V518" s="26"/>
      <c r="W518" s="26"/>
      <c r="X518" s="26"/>
    </row>
    <row r="519" hidden="1">
      <c r="A519" s="10" t="s">
        <v>427</v>
      </c>
      <c r="B519" s="10" t="s">
        <v>1804</v>
      </c>
      <c r="C519" s="27" t="s">
        <v>1805</v>
      </c>
      <c r="D519" s="10" t="s">
        <v>1806</v>
      </c>
      <c r="E519" s="28" t="s">
        <v>431</v>
      </c>
      <c r="F519" s="23" t="s">
        <v>1807</v>
      </c>
      <c r="G519" s="23" t="s">
        <v>203</v>
      </c>
      <c r="H519" s="23" t="s">
        <v>433</v>
      </c>
      <c r="I519" s="32"/>
      <c r="J519" s="23" t="s">
        <v>6</v>
      </c>
      <c r="K519" s="23" t="str">
        <f t="shared" si="1"/>
        <v>637945</v>
      </c>
      <c r="L519" s="23"/>
      <c r="M519" s="26"/>
      <c r="N519" s="26"/>
      <c r="O519" s="26"/>
      <c r="P519" s="26"/>
      <c r="Q519" s="26"/>
      <c r="R519" s="26"/>
      <c r="S519" s="26"/>
      <c r="T519" s="26"/>
      <c r="U519" s="26"/>
      <c r="V519" s="26"/>
      <c r="W519" s="26"/>
      <c r="X519" s="26"/>
    </row>
    <row r="520" hidden="1">
      <c r="A520" s="10" t="s">
        <v>427</v>
      </c>
      <c r="B520" s="10" t="s">
        <v>1808</v>
      </c>
      <c r="C520" s="27" t="s">
        <v>1809</v>
      </c>
      <c r="D520" s="10" t="s">
        <v>1787</v>
      </c>
      <c r="E520" s="28" t="s">
        <v>431</v>
      </c>
      <c r="F520" s="23" t="s">
        <v>1788</v>
      </c>
      <c r="G520" s="23" t="s">
        <v>203</v>
      </c>
      <c r="H520" s="23" t="s">
        <v>433</v>
      </c>
      <c r="I520" s="32"/>
      <c r="J520" s="23" t="s">
        <v>6</v>
      </c>
      <c r="K520" s="23" t="str">
        <f t="shared" si="1"/>
        <v>631172</v>
      </c>
      <c r="L520" s="23"/>
      <c r="M520" s="26"/>
      <c r="N520" s="26"/>
      <c r="O520" s="26"/>
      <c r="P520" s="26"/>
      <c r="Q520" s="26"/>
      <c r="R520" s="26"/>
      <c r="S520" s="26"/>
      <c r="T520" s="26"/>
      <c r="U520" s="26"/>
      <c r="V520" s="26"/>
      <c r="W520" s="26"/>
      <c r="X520" s="26"/>
    </row>
    <row r="521" hidden="1">
      <c r="A521" s="10" t="s">
        <v>427</v>
      </c>
      <c r="B521" s="10" t="s">
        <v>1810</v>
      </c>
      <c r="C521" s="27" t="s">
        <v>1811</v>
      </c>
      <c r="D521" s="10" t="s">
        <v>1787</v>
      </c>
      <c r="E521" s="28" t="s">
        <v>431</v>
      </c>
      <c r="F521" s="23" t="s">
        <v>1788</v>
      </c>
      <c r="G521" s="23" t="s">
        <v>203</v>
      </c>
      <c r="H521" s="23" t="s">
        <v>433</v>
      </c>
      <c r="I521" s="32"/>
      <c r="J521" s="23" t="s">
        <v>6</v>
      </c>
      <c r="K521" s="23" t="str">
        <f t="shared" si="1"/>
        <v>680729</v>
      </c>
      <c r="L521" s="23"/>
      <c r="M521" s="26"/>
      <c r="N521" s="26"/>
      <c r="O521" s="26"/>
      <c r="P521" s="26"/>
      <c r="Q521" s="26"/>
      <c r="R521" s="26"/>
      <c r="S521" s="26"/>
      <c r="T521" s="26"/>
      <c r="U521" s="26"/>
      <c r="V521" s="26"/>
      <c r="W521" s="26"/>
      <c r="X521" s="26"/>
    </row>
    <row r="522" hidden="1">
      <c r="A522" s="10" t="s">
        <v>427</v>
      </c>
      <c r="B522" s="10" t="s">
        <v>1812</v>
      </c>
      <c r="C522" s="27" t="s">
        <v>1813</v>
      </c>
      <c r="D522" s="10" t="s">
        <v>1814</v>
      </c>
      <c r="E522" s="28" t="s">
        <v>431</v>
      </c>
      <c r="F522" s="23" t="s">
        <v>432</v>
      </c>
      <c r="G522" s="23" t="s">
        <v>203</v>
      </c>
      <c r="H522" s="23" t="s">
        <v>433</v>
      </c>
      <c r="I522" s="32"/>
      <c r="J522" s="23" t="s">
        <v>6</v>
      </c>
      <c r="K522" s="23" t="str">
        <f t="shared" si="1"/>
        <v>678870</v>
      </c>
      <c r="L522" s="23"/>
      <c r="M522" s="26"/>
      <c r="N522" s="26"/>
      <c r="O522" s="26"/>
      <c r="P522" s="26"/>
      <c r="Q522" s="26"/>
      <c r="R522" s="26"/>
      <c r="S522" s="26"/>
      <c r="T522" s="26"/>
      <c r="U522" s="26"/>
      <c r="V522" s="26"/>
      <c r="W522" s="26"/>
      <c r="X522" s="26"/>
    </row>
    <row r="523" hidden="1">
      <c r="A523" s="10" t="s">
        <v>427</v>
      </c>
      <c r="B523" s="10" t="s">
        <v>1815</v>
      </c>
      <c r="C523" s="27" t="s">
        <v>1816</v>
      </c>
      <c r="D523" s="10" t="s">
        <v>1817</v>
      </c>
      <c r="E523" s="28" t="s">
        <v>431</v>
      </c>
      <c r="F523" s="23" t="s">
        <v>950</v>
      </c>
      <c r="G523" s="23" t="s">
        <v>203</v>
      </c>
      <c r="H523" s="23" t="s">
        <v>433</v>
      </c>
      <c r="I523" s="32"/>
      <c r="J523" s="23" t="s">
        <v>6</v>
      </c>
      <c r="K523" s="23" t="str">
        <f t="shared" si="1"/>
        <v>631974</v>
      </c>
      <c r="L523" s="23"/>
      <c r="M523" s="26"/>
      <c r="N523" s="26"/>
      <c r="O523" s="26"/>
      <c r="P523" s="26"/>
      <c r="Q523" s="26"/>
      <c r="R523" s="26"/>
      <c r="S523" s="26"/>
      <c r="T523" s="26"/>
      <c r="U523" s="26"/>
      <c r="V523" s="26"/>
      <c r="W523" s="26"/>
      <c r="X523" s="26"/>
    </row>
    <row r="524" hidden="1">
      <c r="A524" s="10" t="s">
        <v>427</v>
      </c>
      <c r="B524" s="10" t="s">
        <v>1818</v>
      </c>
      <c r="C524" s="27" t="s">
        <v>1819</v>
      </c>
      <c r="D524" s="10" t="s">
        <v>1820</v>
      </c>
      <c r="E524" s="28" t="s">
        <v>534</v>
      </c>
      <c r="F524" s="23" t="s">
        <v>535</v>
      </c>
      <c r="G524" s="23" t="s">
        <v>203</v>
      </c>
      <c r="H524" s="23" t="s">
        <v>433</v>
      </c>
      <c r="I524" s="32"/>
      <c r="J524" s="23" t="s">
        <v>6</v>
      </c>
      <c r="K524" s="23" t="str">
        <f t="shared" si="1"/>
        <v>663555</v>
      </c>
      <c r="L524" s="23"/>
      <c r="M524" s="26"/>
      <c r="N524" s="26"/>
      <c r="O524" s="26"/>
      <c r="P524" s="26"/>
      <c r="Q524" s="26"/>
      <c r="R524" s="26"/>
      <c r="S524" s="26"/>
      <c r="T524" s="26"/>
      <c r="U524" s="26"/>
      <c r="V524" s="26"/>
      <c r="W524" s="26"/>
      <c r="X524" s="26"/>
    </row>
    <row r="525" hidden="1">
      <c r="A525" s="10" t="s">
        <v>427</v>
      </c>
      <c r="B525" s="10" t="s">
        <v>1821</v>
      </c>
      <c r="C525" s="27" t="s">
        <v>1822</v>
      </c>
      <c r="D525" s="10" t="s">
        <v>1823</v>
      </c>
      <c r="E525" s="28" t="s">
        <v>431</v>
      </c>
      <c r="F525" s="23" t="s">
        <v>1053</v>
      </c>
      <c r="G525" s="23" t="s">
        <v>203</v>
      </c>
      <c r="H525" s="23" t="s">
        <v>433</v>
      </c>
      <c r="I525" s="32"/>
      <c r="J525" s="23" t="s">
        <v>6</v>
      </c>
      <c r="K525" s="23" t="str">
        <f t="shared" si="1"/>
        <v>670324</v>
      </c>
      <c r="L525" s="23"/>
      <c r="M525" s="26"/>
      <c r="N525" s="26"/>
      <c r="O525" s="26"/>
      <c r="P525" s="26"/>
      <c r="Q525" s="26"/>
      <c r="R525" s="26"/>
      <c r="S525" s="26"/>
      <c r="T525" s="26"/>
      <c r="U525" s="26"/>
      <c r="V525" s="26"/>
      <c r="W525" s="26"/>
      <c r="X525" s="26"/>
    </row>
    <row r="526" hidden="1">
      <c r="A526" s="10" t="s">
        <v>427</v>
      </c>
      <c r="B526" s="10" t="s">
        <v>1824</v>
      </c>
      <c r="C526" s="27" t="s">
        <v>1825</v>
      </c>
      <c r="D526" s="10" t="s">
        <v>1826</v>
      </c>
      <c r="E526" s="28" t="s">
        <v>431</v>
      </c>
      <c r="F526" s="23" t="s">
        <v>946</v>
      </c>
      <c r="G526" s="23" t="s">
        <v>203</v>
      </c>
      <c r="H526" s="23" t="s">
        <v>433</v>
      </c>
      <c r="I526" s="32"/>
      <c r="J526" s="23" t="s">
        <v>6</v>
      </c>
      <c r="K526" s="23" t="str">
        <f t="shared" si="1"/>
        <v>631585</v>
      </c>
      <c r="L526" s="23"/>
      <c r="M526" s="26"/>
      <c r="N526" s="26"/>
      <c r="O526" s="26"/>
      <c r="P526" s="26"/>
      <c r="Q526" s="26"/>
      <c r="R526" s="26"/>
      <c r="S526" s="26"/>
      <c r="T526" s="26"/>
      <c r="U526" s="26"/>
      <c r="V526" s="26"/>
      <c r="W526" s="26"/>
      <c r="X526" s="26"/>
    </row>
    <row r="527" hidden="1">
      <c r="A527" s="10" t="s">
        <v>427</v>
      </c>
      <c r="B527" s="10" t="s">
        <v>1827</v>
      </c>
      <c r="C527" s="27" t="s">
        <v>1828</v>
      </c>
      <c r="D527" s="10" t="s">
        <v>1829</v>
      </c>
      <c r="E527" s="28" t="s">
        <v>534</v>
      </c>
      <c r="F527" s="23" t="s">
        <v>1242</v>
      </c>
      <c r="G527" s="23" t="s">
        <v>203</v>
      </c>
      <c r="H527" s="23" t="s">
        <v>433</v>
      </c>
      <c r="I527" s="32"/>
      <c r="J527" s="23" t="s">
        <v>6</v>
      </c>
      <c r="K527" s="23" t="str">
        <f t="shared" si="1"/>
        <v>638522</v>
      </c>
      <c r="L527" s="23"/>
      <c r="M527" s="26"/>
      <c r="N527" s="26"/>
      <c r="O527" s="26"/>
      <c r="P527" s="26"/>
      <c r="Q527" s="26"/>
      <c r="R527" s="26"/>
      <c r="S527" s="26"/>
      <c r="T527" s="26"/>
      <c r="U527" s="26"/>
      <c r="V527" s="26"/>
      <c r="W527" s="26"/>
      <c r="X527" s="26"/>
    </row>
    <row r="528" hidden="1">
      <c r="A528" s="10" t="s">
        <v>427</v>
      </c>
      <c r="B528" s="10" t="s">
        <v>1830</v>
      </c>
      <c r="C528" s="27" t="s">
        <v>1831</v>
      </c>
      <c r="D528" s="10" t="s">
        <v>1832</v>
      </c>
      <c r="E528" s="28" t="s">
        <v>431</v>
      </c>
      <c r="F528" s="23" t="s">
        <v>1231</v>
      </c>
      <c r="G528" s="23" t="s">
        <v>203</v>
      </c>
      <c r="H528" s="23" t="s">
        <v>433</v>
      </c>
      <c r="I528" s="32"/>
      <c r="J528" s="23" t="s">
        <v>6</v>
      </c>
      <c r="K528" s="23" t="str">
        <f t="shared" si="1"/>
        <v>638140</v>
      </c>
      <c r="L528" s="23"/>
      <c r="M528" s="26"/>
      <c r="N528" s="26"/>
      <c r="O528" s="26"/>
      <c r="P528" s="26"/>
      <c r="Q528" s="26"/>
      <c r="R528" s="26"/>
      <c r="S528" s="26"/>
      <c r="T528" s="26"/>
      <c r="U528" s="26"/>
      <c r="V528" s="26"/>
      <c r="W528" s="26"/>
      <c r="X528" s="26"/>
    </row>
    <row r="529" hidden="1">
      <c r="A529" s="10" t="s">
        <v>427</v>
      </c>
      <c r="B529" s="10" t="s">
        <v>1833</v>
      </c>
      <c r="C529" s="27" t="s">
        <v>1834</v>
      </c>
      <c r="D529" s="10" t="s">
        <v>1835</v>
      </c>
      <c r="E529" s="28" t="s">
        <v>431</v>
      </c>
      <c r="F529" s="23" t="s">
        <v>1231</v>
      </c>
      <c r="G529" s="23" t="s">
        <v>203</v>
      </c>
      <c r="H529" s="23" t="s">
        <v>433</v>
      </c>
      <c r="I529" s="32"/>
      <c r="J529" s="23" t="s">
        <v>6</v>
      </c>
      <c r="K529" s="23" t="str">
        <f t="shared" si="1"/>
        <v>662749</v>
      </c>
      <c r="L529" s="23"/>
      <c r="M529" s="26"/>
      <c r="N529" s="26"/>
      <c r="O529" s="26"/>
      <c r="P529" s="26"/>
      <c r="Q529" s="26"/>
      <c r="R529" s="26"/>
      <c r="S529" s="26"/>
      <c r="T529" s="26"/>
      <c r="U529" s="26"/>
      <c r="V529" s="26"/>
      <c r="W529" s="26"/>
      <c r="X529" s="26"/>
    </row>
    <row r="530" hidden="1">
      <c r="A530" s="10" t="s">
        <v>427</v>
      </c>
      <c r="B530" s="10" t="s">
        <v>1836</v>
      </c>
      <c r="C530" s="27" t="s">
        <v>1837</v>
      </c>
      <c r="D530" s="10" t="s">
        <v>1838</v>
      </c>
      <c r="E530" s="28" t="s">
        <v>431</v>
      </c>
      <c r="F530" s="23" t="s">
        <v>1235</v>
      </c>
      <c r="G530" s="23" t="s">
        <v>203</v>
      </c>
      <c r="H530" s="23" t="s">
        <v>433</v>
      </c>
      <c r="I530" s="32"/>
      <c r="J530" s="23" t="s">
        <v>6</v>
      </c>
      <c r="K530" s="23" t="str">
        <f t="shared" si="1"/>
        <v>670577</v>
      </c>
      <c r="L530" s="23"/>
      <c r="M530" s="26"/>
      <c r="N530" s="26"/>
      <c r="O530" s="26"/>
      <c r="P530" s="26"/>
      <c r="Q530" s="26"/>
      <c r="R530" s="26"/>
      <c r="S530" s="26"/>
      <c r="T530" s="26"/>
      <c r="U530" s="26"/>
      <c r="V530" s="26"/>
      <c r="W530" s="26"/>
      <c r="X530" s="26"/>
    </row>
    <row r="531" hidden="1">
      <c r="A531" s="10" t="s">
        <v>427</v>
      </c>
      <c r="B531" s="10" t="s">
        <v>1839</v>
      </c>
      <c r="C531" s="27" t="s">
        <v>1840</v>
      </c>
      <c r="D531" s="10" t="s">
        <v>1841</v>
      </c>
      <c r="E531" s="28" t="s">
        <v>534</v>
      </c>
      <c r="F531" s="23" t="s">
        <v>954</v>
      </c>
      <c r="G531" s="23" t="s">
        <v>203</v>
      </c>
      <c r="H531" s="23" t="s">
        <v>433</v>
      </c>
      <c r="I531" s="32"/>
      <c r="J531" s="23" t="s">
        <v>6</v>
      </c>
      <c r="K531" s="23" t="str">
        <f t="shared" si="1"/>
        <v>645230</v>
      </c>
      <c r="L531" s="23"/>
      <c r="M531" s="26"/>
      <c r="N531" s="26"/>
      <c r="O531" s="26"/>
      <c r="P531" s="26"/>
      <c r="Q531" s="26"/>
      <c r="R531" s="26"/>
      <c r="S531" s="26"/>
      <c r="T531" s="26"/>
      <c r="U531" s="26"/>
      <c r="V531" s="26"/>
      <c r="W531" s="26"/>
      <c r="X531" s="26"/>
    </row>
    <row r="532" hidden="1">
      <c r="A532" s="10" t="s">
        <v>427</v>
      </c>
      <c r="B532" s="10" t="s">
        <v>1842</v>
      </c>
      <c r="C532" s="27" t="s">
        <v>1843</v>
      </c>
      <c r="D532" s="10" t="s">
        <v>1844</v>
      </c>
      <c r="E532" s="28" t="s">
        <v>431</v>
      </c>
      <c r="F532" s="23" t="s">
        <v>933</v>
      </c>
      <c r="G532" s="23" t="s">
        <v>203</v>
      </c>
      <c r="H532" s="23" t="s">
        <v>433</v>
      </c>
      <c r="I532" s="32"/>
      <c r="J532" s="23" t="s">
        <v>6</v>
      </c>
      <c r="K532" s="23" t="str">
        <f t="shared" si="1"/>
        <v>636795</v>
      </c>
      <c r="L532" s="23"/>
      <c r="M532" s="26"/>
      <c r="N532" s="26"/>
      <c r="O532" s="26"/>
      <c r="P532" s="26"/>
      <c r="Q532" s="26"/>
      <c r="R532" s="26"/>
      <c r="S532" s="26"/>
      <c r="T532" s="26"/>
      <c r="U532" s="26"/>
      <c r="V532" s="26"/>
      <c r="W532" s="26"/>
      <c r="X532" s="26"/>
    </row>
    <row r="533" hidden="1">
      <c r="A533" s="10" t="s">
        <v>427</v>
      </c>
      <c r="B533" s="10" t="s">
        <v>1845</v>
      </c>
      <c r="C533" s="27" t="s">
        <v>1846</v>
      </c>
      <c r="D533" s="10" t="s">
        <v>1847</v>
      </c>
      <c r="E533" s="28" t="s">
        <v>1047</v>
      </c>
      <c r="F533" s="23" t="s">
        <v>1848</v>
      </c>
      <c r="G533" s="23" t="s">
        <v>203</v>
      </c>
      <c r="H533" s="23" t="s">
        <v>433</v>
      </c>
      <c r="I533" s="32"/>
      <c r="J533" s="23" t="s">
        <v>6</v>
      </c>
      <c r="K533" s="23" t="str">
        <f t="shared" si="1"/>
        <v>674209</v>
      </c>
      <c r="L533" s="23"/>
      <c r="M533" s="26"/>
      <c r="N533" s="26"/>
      <c r="O533" s="26"/>
      <c r="P533" s="26"/>
      <c r="Q533" s="26"/>
      <c r="R533" s="26"/>
      <c r="S533" s="26"/>
      <c r="T533" s="26"/>
      <c r="U533" s="26"/>
      <c r="V533" s="26"/>
      <c r="W533" s="26"/>
      <c r="X533" s="26"/>
    </row>
    <row r="534" hidden="1">
      <c r="A534" s="10" t="s">
        <v>427</v>
      </c>
      <c r="B534" s="10" t="s">
        <v>1849</v>
      </c>
      <c r="C534" s="27" t="s">
        <v>1850</v>
      </c>
      <c r="D534" s="10" t="s">
        <v>1851</v>
      </c>
      <c r="E534" s="28" t="s">
        <v>418</v>
      </c>
      <c r="F534" s="23" t="s">
        <v>419</v>
      </c>
      <c r="G534" s="23" t="s">
        <v>203</v>
      </c>
      <c r="H534" s="23" t="s">
        <v>433</v>
      </c>
      <c r="I534" s="32"/>
      <c r="J534" s="23" t="s">
        <v>6</v>
      </c>
      <c r="K534" s="23" t="str">
        <f t="shared" si="1"/>
        <v>675541</v>
      </c>
      <c r="L534" s="23"/>
      <c r="M534" s="26"/>
      <c r="N534" s="26"/>
      <c r="O534" s="26"/>
      <c r="P534" s="26"/>
      <c r="Q534" s="26"/>
      <c r="R534" s="26"/>
      <c r="S534" s="26"/>
      <c r="T534" s="26"/>
      <c r="U534" s="26"/>
      <c r="V534" s="26"/>
      <c r="W534" s="26"/>
      <c r="X534" s="26"/>
    </row>
    <row r="535" hidden="1">
      <c r="A535" s="10" t="s">
        <v>427</v>
      </c>
      <c r="B535" s="10" t="s">
        <v>1852</v>
      </c>
      <c r="C535" s="27" t="s">
        <v>1853</v>
      </c>
      <c r="D535" s="10" t="s">
        <v>1854</v>
      </c>
      <c r="E535" s="28" t="s">
        <v>418</v>
      </c>
      <c r="F535" s="23" t="s">
        <v>419</v>
      </c>
      <c r="G535" s="23" t="s">
        <v>203</v>
      </c>
      <c r="H535" s="23" t="s">
        <v>433</v>
      </c>
      <c r="I535" s="32"/>
      <c r="J535" s="23" t="s">
        <v>6</v>
      </c>
      <c r="K535" s="23" t="str">
        <f t="shared" si="1"/>
        <v>680637</v>
      </c>
      <c r="L535" s="23"/>
      <c r="M535" s="26"/>
      <c r="N535" s="26"/>
      <c r="O535" s="26"/>
      <c r="P535" s="26"/>
      <c r="Q535" s="26"/>
      <c r="R535" s="26"/>
      <c r="S535" s="26"/>
      <c r="T535" s="26"/>
      <c r="U535" s="26"/>
      <c r="V535" s="26"/>
      <c r="W535" s="26"/>
      <c r="X535" s="26"/>
    </row>
    <row r="536" hidden="1">
      <c r="A536" s="10" t="s">
        <v>427</v>
      </c>
      <c r="B536" s="10" t="s">
        <v>1855</v>
      </c>
      <c r="C536" s="27" t="s">
        <v>1856</v>
      </c>
      <c r="D536" s="10" t="s">
        <v>1857</v>
      </c>
      <c r="E536" s="28" t="s">
        <v>418</v>
      </c>
      <c r="F536" s="23" t="s">
        <v>419</v>
      </c>
      <c r="G536" s="23" t="s">
        <v>203</v>
      </c>
      <c r="H536" s="23" t="s">
        <v>433</v>
      </c>
      <c r="I536" s="32"/>
      <c r="J536" s="23" t="s">
        <v>6</v>
      </c>
      <c r="K536" s="23" t="str">
        <f t="shared" si="1"/>
        <v>662862</v>
      </c>
      <c r="L536" s="23"/>
      <c r="M536" s="26"/>
      <c r="N536" s="26"/>
      <c r="O536" s="26"/>
      <c r="P536" s="26"/>
      <c r="Q536" s="26"/>
      <c r="R536" s="26"/>
      <c r="S536" s="26"/>
      <c r="T536" s="26"/>
      <c r="U536" s="26"/>
      <c r="V536" s="26"/>
      <c r="W536" s="26"/>
      <c r="X536" s="26"/>
    </row>
    <row r="537" hidden="1">
      <c r="A537" s="10" t="s">
        <v>427</v>
      </c>
      <c r="B537" s="10" t="s">
        <v>1858</v>
      </c>
      <c r="C537" s="27" t="s">
        <v>1859</v>
      </c>
      <c r="D537" s="10" t="s">
        <v>1860</v>
      </c>
      <c r="E537" s="28" t="s">
        <v>604</v>
      </c>
      <c r="F537" s="23" t="s">
        <v>605</v>
      </c>
      <c r="G537" s="23" t="s">
        <v>203</v>
      </c>
      <c r="H537" s="23" t="s">
        <v>433</v>
      </c>
      <c r="I537" s="32"/>
      <c r="J537" s="23" t="s">
        <v>6</v>
      </c>
      <c r="K537" s="23" t="str">
        <f t="shared" si="1"/>
        <v>677897</v>
      </c>
      <c r="L537" s="23"/>
      <c r="M537" s="26"/>
      <c r="N537" s="26"/>
      <c r="O537" s="26"/>
      <c r="P537" s="26"/>
      <c r="Q537" s="26"/>
      <c r="R537" s="26"/>
      <c r="S537" s="26"/>
      <c r="T537" s="26"/>
      <c r="U537" s="26"/>
      <c r="V537" s="26"/>
      <c r="W537" s="26"/>
      <c r="X537" s="26"/>
    </row>
    <row r="538" hidden="1">
      <c r="A538" s="10" t="s">
        <v>427</v>
      </c>
      <c r="B538" s="10" t="s">
        <v>1861</v>
      </c>
      <c r="C538" s="27" t="s">
        <v>1862</v>
      </c>
      <c r="D538" s="10" t="s">
        <v>1863</v>
      </c>
      <c r="E538" s="28" t="s">
        <v>604</v>
      </c>
      <c r="F538" s="23" t="s">
        <v>605</v>
      </c>
      <c r="G538" s="23" t="s">
        <v>203</v>
      </c>
      <c r="H538" s="23" t="s">
        <v>433</v>
      </c>
      <c r="I538" s="32"/>
      <c r="J538" s="23" t="s">
        <v>6</v>
      </c>
      <c r="K538" s="23" t="str">
        <f t="shared" si="1"/>
        <v>675107</v>
      </c>
      <c r="L538" s="23"/>
      <c r="M538" s="26"/>
      <c r="N538" s="26"/>
      <c r="O538" s="26"/>
      <c r="P538" s="26"/>
      <c r="Q538" s="26"/>
      <c r="R538" s="26"/>
      <c r="S538" s="26"/>
      <c r="T538" s="26"/>
      <c r="U538" s="26"/>
      <c r="V538" s="26"/>
      <c r="W538" s="26"/>
      <c r="X538" s="26"/>
    </row>
    <row r="539" hidden="1">
      <c r="A539" s="10" t="s">
        <v>427</v>
      </c>
      <c r="B539" s="10" t="s">
        <v>1864</v>
      </c>
      <c r="C539" s="27" t="s">
        <v>1865</v>
      </c>
      <c r="D539" s="10" t="s">
        <v>1866</v>
      </c>
      <c r="E539" s="28" t="s">
        <v>431</v>
      </c>
      <c r="F539" s="23" t="s">
        <v>1867</v>
      </c>
      <c r="G539" s="23" t="s">
        <v>203</v>
      </c>
      <c r="H539" s="23" t="s">
        <v>433</v>
      </c>
      <c r="I539" s="32"/>
      <c r="J539" s="23" t="s">
        <v>6</v>
      </c>
      <c r="K539" s="23" t="str">
        <f t="shared" si="1"/>
        <v>637280</v>
      </c>
      <c r="L539" s="23"/>
      <c r="M539" s="26"/>
      <c r="N539" s="26"/>
      <c r="O539" s="26"/>
      <c r="P539" s="26"/>
      <c r="Q539" s="26"/>
      <c r="R539" s="26"/>
      <c r="S539" s="26"/>
      <c r="T539" s="26"/>
      <c r="U539" s="26"/>
      <c r="V539" s="26"/>
      <c r="W539" s="26"/>
      <c r="X539" s="26"/>
    </row>
    <row r="540" hidden="1">
      <c r="A540" s="10" t="s">
        <v>427</v>
      </c>
      <c r="B540" s="10" t="s">
        <v>1868</v>
      </c>
      <c r="C540" s="27" t="s">
        <v>1869</v>
      </c>
      <c r="D540" s="10" t="s">
        <v>1870</v>
      </c>
      <c r="E540" s="28" t="s">
        <v>431</v>
      </c>
      <c r="F540" s="23" t="s">
        <v>432</v>
      </c>
      <c r="G540" s="23" t="s">
        <v>203</v>
      </c>
      <c r="H540" s="23" t="s">
        <v>433</v>
      </c>
      <c r="I540" s="32"/>
      <c r="J540" s="23" t="s">
        <v>6</v>
      </c>
      <c r="K540" s="23" t="str">
        <f t="shared" si="1"/>
        <v>679150</v>
      </c>
      <c r="L540" s="23"/>
      <c r="M540" s="26"/>
      <c r="N540" s="26"/>
      <c r="O540" s="26"/>
      <c r="P540" s="26"/>
      <c r="Q540" s="26"/>
      <c r="R540" s="26"/>
      <c r="S540" s="26"/>
      <c r="T540" s="26"/>
      <c r="U540" s="26"/>
      <c r="V540" s="26"/>
      <c r="W540" s="26"/>
      <c r="X540" s="26"/>
    </row>
    <row r="541" hidden="1">
      <c r="A541" s="10" t="s">
        <v>190</v>
      </c>
      <c r="B541" s="10" t="s">
        <v>1871</v>
      </c>
      <c r="C541" s="27" t="s">
        <v>1872</v>
      </c>
      <c r="D541" s="10" t="s">
        <v>1873</v>
      </c>
      <c r="E541" s="28" t="s">
        <v>194</v>
      </c>
      <c r="F541" s="23" t="s">
        <v>195</v>
      </c>
      <c r="G541" s="23" t="s">
        <v>203</v>
      </c>
      <c r="H541" s="23" t="s">
        <v>242</v>
      </c>
      <c r="I541" s="23" t="s">
        <v>364</v>
      </c>
      <c r="J541" s="23" t="s">
        <v>198</v>
      </c>
      <c r="K541" s="23" t="str">
        <f t="shared" si="1"/>
        <v>686226</v>
      </c>
      <c r="L541" s="23"/>
      <c r="M541" s="26"/>
      <c r="N541" s="26"/>
      <c r="O541" s="26"/>
      <c r="P541" s="26"/>
      <c r="Q541" s="26"/>
      <c r="R541" s="26"/>
      <c r="S541" s="26"/>
      <c r="T541" s="26"/>
      <c r="U541" s="26"/>
      <c r="V541" s="26"/>
      <c r="W541" s="26"/>
      <c r="X541" s="26"/>
    </row>
    <row r="542" hidden="1">
      <c r="A542" s="10" t="s">
        <v>190</v>
      </c>
      <c r="B542" s="10" t="s">
        <v>1874</v>
      </c>
      <c r="C542" s="27" t="s">
        <v>1875</v>
      </c>
      <c r="D542" s="10" t="s">
        <v>1876</v>
      </c>
      <c r="E542" s="28" t="s">
        <v>194</v>
      </c>
      <c r="F542" s="23" t="s">
        <v>195</v>
      </c>
      <c r="G542" s="23" t="s">
        <v>203</v>
      </c>
      <c r="H542" s="23" t="s">
        <v>242</v>
      </c>
      <c r="I542" s="23" t="s">
        <v>243</v>
      </c>
      <c r="J542" s="23" t="s">
        <v>198</v>
      </c>
      <c r="K542" s="23" t="str">
        <f t="shared" si="1"/>
        <v>687568</v>
      </c>
      <c r="L542" s="23"/>
      <c r="M542" s="26"/>
      <c r="N542" s="26"/>
      <c r="O542" s="26"/>
      <c r="P542" s="26"/>
      <c r="Q542" s="26"/>
      <c r="R542" s="26"/>
      <c r="S542" s="26"/>
      <c r="T542" s="26"/>
      <c r="U542" s="26"/>
      <c r="V542" s="26"/>
      <c r="W542" s="26"/>
      <c r="X542" s="26"/>
    </row>
    <row r="543" hidden="1">
      <c r="A543" s="10" t="s">
        <v>190</v>
      </c>
      <c r="B543" s="10" t="s">
        <v>1877</v>
      </c>
      <c r="C543" s="27" t="s">
        <v>1878</v>
      </c>
      <c r="D543" s="10" t="s">
        <v>1879</v>
      </c>
      <c r="E543" s="28" t="s">
        <v>194</v>
      </c>
      <c r="F543" s="23" t="s">
        <v>195</v>
      </c>
      <c r="G543" s="23" t="s">
        <v>203</v>
      </c>
      <c r="H543" s="23" t="s">
        <v>242</v>
      </c>
      <c r="I543" s="23" t="s">
        <v>243</v>
      </c>
      <c r="J543" s="23" t="s">
        <v>229</v>
      </c>
      <c r="K543" s="23" t="str">
        <f t="shared" si="1"/>
        <v>684499</v>
      </c>
      <c r="L543" s="23"/>
      <c r="M543" s="26"/>
      <c r="N543" s="26"/>
      <c r="O543" s="26"/>
      <c r="P543" s="26"/>
      <c r="Q543" s="26"/>
      <c r="R543" s="26"/>
      <c r="S543" s="26"/>
      <c r="T543" s="26"/>
      <c r="U543" s="26"/>
      <c r="V543" s="26"/>
      <c r="W543" s="26"/>
      <c r="X543" s="26"/>
    </row>
    <row r="544" hidden="1">
      <c r="A544" s="10" t="s">
        <v>190</v>
      </c>
      <c r="B544" s="10" t="s">
        <v>1880</v>
      </c>
      <c r="C544" s="27" t="s">
        <v>1881</v>
      </c>
      <c r="D544" s="10" t="s">
        <v>1882</v>
      </c>
      <c r="E544" s="28" t="s">
        <v>194</v>
      </c>
      <c r="F544" s="23" t="s">
        <v>195</v>
      </c>
      <c r="G544" s="23" t="s">
        <v>203</v>
      </c>
      <c r="H544" s="23" t="s">
        <v>242</v>
      </c>
      <c r="I544" s="23" t="s">
        <v>243</v>
      </c>
      <c r="J544" s="23" t="s">
        <v>238</v>
      </c>
      <c r="K544" s="23" t="str">
        <f t="shared" si="1"/>
        <v>684512</v>
      </c>
      <c r="L544" s="23"/>
      <c r="M544" s="26"/>
      <c r="N544" s="26"/>
      <c r="O544" s="26"/>
      <c r="P544" s="26"/>
      <c r="Q544" s="26"/>
      <c r="R544" s="26"/>
      <c r="S544" s="26"/>
      <c r="T544" s="26"/>
      <c r="U544" s="26"/>
      <c r="V544" s="26"/>
      <c r="W544" s="26"/>
      <c r="X544" s="26"/>
    </row>
    <row r="545" hidden="1">
      <c r="A545" s="10" t="s">
        <v>190</v>
      </c>
      <c r="B545" s="10" t="s">
        <v>1883</v>
      </c>
      <c r="C545" s="27" t="s">
        <v>1884</v>
      </c>
      <c r="D545" s="10" t="s">
        <v>1885</v>
      </c>
      <c r="E545" s="28" t="s">
        <v>194</v>
      </c>
      <c r="F545" s="23" t="s">
        <v>195</v>
      </c>
      <c r="G545" s="23" t="s">
        <v>203</v>
      </c>
      <c r="H545" s="23" t="s">
        <v>242</v>
      </c>
      <c r="I545" s="23" t="s">
        <v>243</v>
      </c>
      <c r="J545" s="23" t="s">
        <v>198</v>
      </c>
      <c r="K545" s="23" t="str">
        <f t="shared" si="1"/>
        <v>680736</v>
      </c>
      <c r="L545" s="23"/>
      <c r="M545" s="26"/>
      <c r="N545" s="26"/>
      <c r="O545" s="26"/>
      <c r="P545" s="26"/>
      <c r="Q545" s="26"/>
      <c r="R545" s="26"/>
      <c r="S545" s="26"/>
      <c r="T545" s="26"/>
      <c r="U545" s="26"/>
      <c r="V545" s="26"/>
      <c r="W545" s="26"/>
      <c r="X545" s="26"/>
    </row>
    <row r="546" hidden="1">
      <c r="A546" s="10" t="s">
        <v>190</v>
      </c>
      <c r="B546" s="10" t="s">
        <v>1886</v>
      </c>
      <c r="C546" s="27" t="s">
        <v>1887</v>
      </c>
      <c r="D546" s="10" t="s">
        <v>1888</v>
      </c>
      <c r="E546" s="28" t="s">
        <v>194</v>
      </c>
      <c r="F546" s="23" t="s">
        <v>195</v>
      </c>
      <c r="G546" s="23" t="s">
        <v>203</v>
      </c>
      <c r="H546" s="23" t="s">
        <v>242</v>
      </c>
      <c r="I546" s="23" t="s">
        <v>364</v>
      </c>
      <c r="J546" s="23" t="s">
        <v>198</v>
      </c>
      <c r="K546" s="23" t="str">
        <f t="shared" si="1"/>
        <v>661681</v>
      </c>
      <c r="L546" s="23"/>
      <c r="M546" s="26"/>
      <c r="N546" s="26"/>
      <c r="O546" s="26"/>
      <c r="P546" s="26"/>
      <c r="Q546" s="26"/>
      <c r="R546" s="26"/>
      <c r="S546" s="26"/>
      <c r="T546" s="26"/>
      <c r="U546" s="26"/>
      <c r="V546" s="26"/>
      <c r="W546" s="26"/>
      <c r="X546" s="26"/>
    </row>
    <row r="547" hidden="1">
      <c r="A547" s="10" t="s">
        <v>190</v>
      </c>
      <c r="B547" s="10" t="s">
        <v>1889</v>
      </c>
      <c r="C547" s="27" t="s">
        <v>1890</v>
      </c>
      <c r="D547" s="10" t="s">
        <v>1891</v>
      </c>
      <c r="E547" s="28" t="s">
        <v>194</v>
      </c>
      <c r="F547" s="23" t="s">
        <v>195</v>
      </c>
      <c r="G547" s="23" t="s">
        <v>203</v>
      </c>
      <c r="H547" s="23" t="s">
        <v>242</v>
      </c>
      <c r="I547" s="23" t="s">
        <v>273</v>
      </c>
      <c r="J547" s="23" t="s">
        <v>198</v>
      </c>
      <c r="K547" s="23" t="str">
        <f t="shared" si="1"/>
        <v>691107</v>
      </c>
      <c r="L547" s="23"/>
      <c r="M547" s="26"/>
      <c r="N547" s="26"/>
      <c r="O547" s="26"/>
      <c r="P547" s="26"/>
      <c r="Q547" s="26"/>
      <c r="R547" s="26"/>
      <c r="S547" s="26"/>
      <c r="T547" s="26"/>
      <c r="U547" s="26"/>
      <c r="V547" s="26"/>
      <c r="W547" s="26"/>
      <c r="X547" s="26"/>
    </row>
    <row r="548" hidden="1">
      <c r="A548" s="10" t="s">
        <v>190</v>
      </c>
      <c r="B548" s="10" t="s">
        <v>1892</v>
      </c>
      <c r="C548" s="27" t="s">
        <v>1893</v>
      </c>
      <c r="D548" s="10" t="s">
        <v>1894</v>
      </c>
      <c r="E548" s="28" t="s">
        <v>194</v>
      </c>
      <c r="F548" s="23" t="s">
        <v>195</v>
      </c>
      <c r="G548" s="23" t="s">
        <v>203</v>
      </c>
      <c r="H548" s="23" t="s">
        <v>242</v>
      </c>
      <c r="I548" s="23" t="s">
        <v>243</v>
      </c>
      <c r="J548" s="23" t="s">
        <v>198</v>
      </c>
      <c r="K548" s="23" t="str">
        <f t="shared" si="1"/>
        <v>685564</v>
      </c>
      <c r="L548" s="23"/>
      <c r="M548" s="26"/>
      <c r="N548" s="26"/>
      <c r="O548" s="26"/>
      <c r="P548" s="26"/>
      <c r="Q548" s="26"/>
      <c r="R548" s="26"/>
      <c r="S548" s="26"/>
      <c r="T548" s="26"/>
      <c r="U548" s="26"/>
      <c r="V548" s="26"/>
      <c r="W548" s="26"/>
      <c r="X548" s="26"/>
    </row>
    <row r="549" hidden="1">
      <c r="A549" s="10" t="s">
        <v>190</v>
      </c>
      <c r="B549" s="10" t="s">
        <v>1895</v>
      </c>
      <c r="C549" s="27" t="s">
        <v>1896</v>
      </c>
      <c r="D549" s="10" t="s">
        <v>1897</v>
      </c>
      <c r="E549" s="28" t="s">
        <v>194</v>
      </c>
      <c r="F549" s="23" t="s">
        <v>195</v>
      </c>
      <c r="G549" s="23" t="s">
        <v>203</v>
      </c>
      <c r="H549" s="23" t="s">
        <v>242</v>
      </c>
      <c r="I549" s="23" t="s">
        <v>364</v>
      </c>
      <c r="J549" s="23" t="s">
        <v>238</v>
      </c>
      <c r="K549" s="23" t="str">
        <f t="shared" si="1"/>
        <v>651446</v>
      </c>
      <c r="L549" s="23"/>
      <c r="M549" s="26"/>
      <c r="N549" s="26"/>
      <c r="O549" s="26"/>
      <c r="P549" s="26"/>
      <c r="Q549" s="26"/>
      <c r="R549" s="26"/>
      <c r="S549" s="26"/>
      <c r="T549" s="26"/>
      <c r="U549" s="26"/>
      <c r="V549" s="26"/>
      <c r="W549" s="26"/>
      <c r="X549" s="26"/>
    </row>
    <row r="550" hidden="1">
      <c r="A550" s="10" t="s">
        <v>190</v>
      </c>
      <c r="B550" s="10" t="s">
        <v>1898</v>
      </c>
      <c r="C550" s="27" t="s">
        <v>1899</v>
      </c>
      <c r="D550" s="10" t="s">
        <v>1900</v>
      </c>
      <c r="E550" s="28" t="s">
        <v>194</v>
      </c>
      <c r="F550" s="23" t="s">
        <v>195</v>
      </c>
      <c r="G550" s="23" t="s">
        <v>203</v>
      </c>
      <c r="H550" s="23" t="s">
        <v>242</v>
      </c>
      <c r="I550" s="23" t="s">
        <v>243</v>
      </c>
      <c r="J550" s="23" t="s">
        <v>198</v>
      </c>
      <c r="K550" s="23" t="str">
        <f t="shared" si="1"/>
        <v>672526</v>
      </c>
      <c r="L550" s="23"/>
      <c r="M550" s="26"/>
      <c r="N550" s="26"/>
      <c r="O550" s="26"/>
      <c r="P550" s="26"/>
      <c r="Q550" s="26"/>
      <c r="R550" s="26"/>
      <c r="S550" s="26"/>
      <c r="T550" s="26"/>
      <c r="U550" s="26"/>
      <c r="V550" s="26"/>
      <c r="W550" s="26"/>
      <c r="X550" s="26"/>
    </row>
    <row r="551" hidden="1">
      <c r="A551" s="10" t="s">
        <v>190</v>
      </c>
      <c r="B551" s="10" t="s">
        <v>1901</v>
      </c>
      <c r="C551" s="27" t="s">
        <v>1902</v>
      </c>
      <c r="D551" s="10" t="s">
        <v>1903</v>
      </c>
      <c r="E551" s="28" t="s">
        <v>194</v>
      </c>
      <c r="F551" s="23" t="s">
        <v>195</v>
      </c>
      <c r="G551" s="23" t="s">
        <v>203</v>
      </c>
      <c r="H551" s="23" t="s">
        <v>242</v>
      </c>
      <c r="I551" s="23" t="s">
        <v>243</v>
      </c>
      <c r="J551" s="23" t="s">
        <v>229</v>
      </c>
      <c r="K551" s="23" t="str">
        <f t="shared" si="1"/>
        <v>663425p</v>
      </c>
      <c r="L551" s="23"/>
      <c r="M551" s="26"/>
      <c r="N551" s="26"/>
      <c r="O551" s="26"/>
      <c r="P551" s="26"/>
      <c r="Q551" s="26"/>
      <c r="R551" s="26"/>
      <c r="S551" s="26"/>
      <c r="T551" s="26"/>
      <c r="U551" s="26"/>
      <c r="V551" s="26"/>
      <c r="W551" s="26"/>
      <c r="X551" s="26"/>
    </row>
    <row r="552" hidden="1">
      <c r="A552" s="10" t="s">
        <v>499</v>
      </c>
      <c r="B552" s="10" t="s">
        <v>1904</v>
      </c>
      <c r="C552" s="27" t="s">
        <v>1905</v>
      </c>
      <c r="D552" s="10" t="s">
        <v>1906</v>
      </c>
      <c r="E552" s="28" t="s">
        <v>194</v>
      </c>
      <c r="F552" s="23" t="s">
        <v>195</v>
      </c>
      <c r="G552" s="23" t="s">
        <v>521</v>
      </c>
      <c r="H552" s="23" t="s">
        <v>242</v>
      </c>
      <c r="I552" s="32"/>
      <c r="J552" s="23" t="s">
        <v>6</v>
      </c>
      <c r="K552" s="23" t="str">
        <f t="shared" si="1"/>
        <v>682822</v>
      </c>
      <c r="L552" s="23"/>
      <c r="M552" s="26"/>
      <c r="N552" s="26"/>
      <c r="O552" s="26"/>
      <c r="P552" s="26"/>
      <c r="Q552" s="26"/>
      <c r="R552" s="26"/>
      <c r="S552" s="26"/>
      <c r="T552" s="26"/>
      <c r="U552" s="26"/>
      <c r="V552" s="26"/>
      <c r="W552" s="26"/>
      <c r="X552" s="26"/>
    </row>
    <row r="553" hidden="1">
      <c r="A553" s="10" t="s">
        <v>499</v>
      </c>
      <c r="B553" s="10" t="s">
        <v>1907</v>
      </c>
      <c r="C553" s="27" t="s">
        <v>1908</v>
      </c>
      <c r="D553" s="10" t="s">
        <v>1909</v>
      </c>
      <c r="E553" s="28" t="s">
        <v>194</v>
      </c>
      <c r="F553" s="23" t="s">
        <v>195</v>
      </c>
      <c r="G553" s="23" t="s">
        <v>203</v>
      </c>
      <c r="H553" s="23" t="s">
        <v>242</v>
      </c>
      <c r="I553" s="23" t="s">
        <v>273</v>
      </c>
      <c r="J553" s="23" t="s">
        <v>6</v>
      </c>
      <c r="K553" s="23" t="str">
        <f t="shared" si="1"/>
        <v>625478</v>
      </c>
      <c r="L553" s="23"/>
      <c r="M553" s="26"/>
      <c r="N553" s="26"/>
      <c r="O553" s="26"/>
      <c r="P553" s="26"/>
      <c r="Q553" s="26"/>
      <c r="R553" s="26"/>
      <c r="S553" s="26"/>
      <c r="T553" s="26"/>
      <c r="U553" s="26"/>
      <c r="V553" s="26"/>
      <c r="W553" s="26"/>
      <c r="X553" s="26"/>
    </row>
    <row r="554" hidden="1">
      <c r="A554" s="10" t="s">
        <v>499</v>
      </c>
      <c r="B554" s="10" t="s">
        <v>1910</v>
      </c>
      <c r="C554" s="27" t="s">
        <v>1911</v>
      </c>
      <c r="D554" s="10" t="s">
        <v>1912</v>
      </c>
      <c r="E554" s="28" t="s">
        <v>194</v>
      </c>
      <c r="F554" s="23" t="s">
        <v>195</v>
      </c>
      <c r="G554" s="23" t="s">
        <v>203</v>
      </c>
      <c r="H554" s="23" t="s">
        <v>242</v>
      </c>
      <c r="I554" s="23" t="s">
        <v>273</v>
      </c>
      <c r="J554" s="23" t="s">
        <v>6</v>
      </c>
      <c r="K554" s="23" t="str">
        <f t="shared" si="1"/>
        <v>625492</v>
      </c>
      <c r="L554" s="23"/>
      <c r="M554" s="26"/>
      <c r="N554" s="26"/>
      <c r="O554" s="26"/>
      <c r="P554" s="26"/>
      <c r="Q554" s="26"/>
      <c r="R554" s="26"/>
      <c r="S554" s="26"/>
      <c r="T554" s="26"/>
      <c r="U554" s="26"/>
      <c r="V554" s="26"/>
      <c r="W554" s="26"/>
      <c r="X554" s="26"/>
    </row>
    <row r="555" hidden="1">
      <c r="A555" s="10" t="s">
        <v>499</v>
      </c>
      <c r="B555" s="10" t="s">
        <v>1913</v>
      </c>
      <c r="C555" s="27" t="s">
        <v>1914</v>
      </c>
      <c r="D555" s="10" t="s">
        <v>1915</v>
      </c>
      <c r="E555" s="28" t="s">
        <v>194</v>
      </c>
      <c r="F555" s="23" t="s">
        <v>195</v>
      </c>
      <c r="G555" s="23" t="s">
        <v>203</v>
      </c>
      <c r="H555" s="23" t="s">
        <v>242</v>
      </c>
      <c r="I555" s="32"/>
      <c r="J555" s="23" t="s">
        <v>6</v>
      </c>
      <c r="K555" s="23" t="str">
        <f t="shared" si="1"/>
        <v>651477</v>
      </c>
      <c r="L555" s="23"/>
      <c r="M555" s="26"/>
      <c r="N555" s="26"/>
      <c r="O555" s="26"/>
      <c r="P555" s="26"/>
      <c r="Q555" s="26"/>
      <c r="R555" s="26"/>
      <c r="S555" s="26"/>
      <c r="T555" s="26"/>
      <c r="U555" s="26"/>
      <c r="V555" s="26"/>
      <c r="W555" s="26"/>
      <c r="X555" s="26"/>
    </row>
    <row r="556" hidden="1">
      <c r="A556" s="10" t="s">
        <v>499</v>
      </c>
      <c r="B556" s="10" t="s">
        <v>1916</v>
      </c>
      <c r="C556" s="27" t="s">
        <v>1917</v>
      </c>
      <c r="D556" s="10" t="s">
        <v>1918</v>
      </c>
      <c r="E556" s="28" t="s">
        <v>194</v>
      </c>
      <c r="F556" s="23" t="s">
        <v>195</v>
      </c>
      <c r="G556" s="23" t="s">
        <v>203</v>
      </c>
      <c r="H556" s="23" t="s">
        <v>242</v>
      </c>
      <c r="I556" s="32"/>
      <c r="J556" s="23" t="s">
        <v>6</v>
      </c>
      <c r="K556" s="23" t="str">
        <f t="shared" si="1"/>
        <v>628912</v>
      </c>
      <c r="L556" s="23"/>
      <c r="M556" s="26"/>
      <c r="N556" s="26"/>
      <c r="O556" s="26"/>
      <c r="P556" s="26"/>
      <c r="Q556" s="26"/>
      <c r="R556" s="26"/>
      <c r="S556" s="26"/>
      <c r="T556" s="26"/>
      <c r="U556" s="26"/>
      <c r="V556" s="26"/>
      <c r="W556" s="26"/>
      <c r="X556" s="26"/>
    </row>
    <row r="557" hidden="1">
      <c r="A557" s="10" t="s">
        <v>499</v>
      </c>
      <c r="B557" s="10" t="s">
        <v>1919</v>
      </c>
      <c r="C557" s="27" t="s">
        <v>1920</v>
      </c>
      <c r="D557" s="10" t="s">
        <v>1921</v>
      </c>
      <c r="E557" s="28" t="s">
        <v>194</v>
      </c>
      <c r="F557" s="23" t="s">
        <v>195</v>
      </c>
      <c r="G557" s="23" t="s">
        <v>203</v>
      </c>
      <c r="H557" s="23" t="s">
        <v>242</v>
      </c>
      <c r="I557" s="32"/>
      <c r="J557" s="23" t="s">
        <v>6</v>
      </c>
      <c r="K557" s="23" t="str">
        <f t="shared" si="1"/>
        <v>619385</v>
      </c>
      <c r="L557" s="23"/>
      <c r="M557" s="26"/>
      <c r="N557" s="26"/>
      <c r="O557" s="26"/>
      <c r="P557" s="26"/>
      <c r="Q557" s="26"/>
      <c r="R557" s="26"/>
      <c r="S557" s="26"/>
      <c r="T557" s="26"/>
      <c r="U557" s="26"/>
      <c r="V557" s="26"/>
      <c r="W557" s="26"/>
      <c r="X557" s="26"/>
    </row>
    <row r="558" hidden="1">
      <c r="A558" s="10" t="s">
        <v>499</v>
      </c>
      <c r="B558" s="10" t="s">
        <v>1922</v>
      </c>
      <c r="C558" s="27" t="s">
        <v>1923</v>
      </c>
      <c r="D558" s="10" t="s">
        <v>1924</v>
      </c>
      <c r="E558" s="28" t="s">
        <v>194</v>
      </c>
      <c r="F558" s="23" t="s">
        <v>195</v>
      </c>
      <c r="G558" s="23" t="s">
        <v>203</v>
      </c>
      <c r="H558" s="23" t="s">
        <v>242</v>
      </c>
      <c r="I558" s="32"/>
      <c r="J558" s="23" t="s">
        <v>6</v>
      </c>
      <c r="K558" s="23" t="str">
        <f t="shared" si="1"/>
        <v>619408</v>
      </c>
      <c r="L558" s="23"/>
      <c r="M558" s="26"/>
      <c r="N558" s="26"/>
      <c r="O558" s="26"/>
      <c r="P558" s="26"/>
      <c r="Q558" s="26"/>
      <c r="R558" s="26"/>
      <c r="S558" s="26"/>
      <c r="T558" s="26"/>
      <c r="U558" s="26"/>
      <c r="V558" s="26"/>
      <c r="W558" s="26"/>
      <c r="X558" s="26"/>
    </row>
    <row r="559" hidden="1">
      <c r="A559" s="10" t="s">
        <v>499</v>
      </c>
      <c r="B559" s="10" t="s">
        <v>1925</v>
      </c>
      <c r="C559" s="27" t="s">
        <v>1926</v>
      </c>
      <c r="D559" s="10" t="s">
        <v>1927</v>
      </c>
      <c r="E559" s="28" t="s">
        <v>194</v>
      </c>
      <c r="F559" s="23" t="s">
        <v>195</v>
      </c>
      <c r="G559" s="23" t="s">
        <v>203</v>
      </c>
      <c r="H559" s="23" t="s">
        <v>242</v>
      </c>
      <c r="I559" s="32"/>
      <c r="J559" s="23" t="s">
        <v>6</v>
      </c>
      <c r="K559" s="23" t="str">
        <f t="shared" si="1"/>
        <v>628905</v>
      </c>
      <c r="L559" s="23"/>
      <c r="M559" s="26"/>
      <c r="N559" s="26"/>
      <c r="O559" s="26"/>
      <c r="P559" s="26"/>
      <c r="Q559" s="26"/>
      <c r="R559" s="26"/>
      <c r="S559" s="26"/>
      <c r="T559" s="26"/>
      <c r="U559" s="26"/>
      <c r="V559" s="26"/>
      <c r="W559" s="26"/>
      <c r="X559" s="26"/>
    </row>
    <row r="560" hidden="1">
      <c r="A560" s="10" t="s">
        <v>499</v>
      </c>
      <c r="B560" s="10" t="s">
        <v>1928</v>
      </c>
      <c r="C560" s="27" t="s">
        <v>1929</v>
      </c>
      <c r="D560" s="10" t="s">
        <v>1930</v>
      </c>
      <c r="E560" s="28" t="s">
        <v>194</v>
      </c>
      <c r="F560" s="23" t="s">
        <v>195</v>
      </c>
      <c r="G560" s="23" t="s">
        <v>203</v>
      </c>
      <c r="H560" s="23" t="s">
        <v>242</v>
      </c>
      <c r="I560" s="32"/>
      <c r="J560" s="23" t="s">
        <v>6</v>
      </c>
      <c r="K560" s="23" t="str">
        <f t="shared" si="1"/>
        <v>633817</v>
      </c>
      <c r="L560" s="23"/>
      <c r="M560" s="26"/>
      <c r="N560" s="26"/>
      <c r="O560" s="26"/>
      <c r="P560" s="26"/>
      <c r="Q560" s="26"/>
      <c r="R560" s="26"/>
      <c r="S560" s="26"/>
      <c r="T560" s="26"/>
      <c r="U560" s="26"/>
      <c r="V560" s="26"/>
      <c r="W560" s="26"/>
      <c r="X560" s="26"/>
    </row>
    <row r="561" hidden="1">
      <c r="A561" s="10" t="s">
        <v>499</v>
      </c>
      <c r="B561" s="10" t="s">
        <v>1931</v>
      </c>
      <c r="C561" s="27" t="s">
        <v>1932</v>
      </c>
      <c r="D561" s="10" t="s">
        <v>1933</v>
      </c>
      <c r="E561" s="28" t="s">
        <v>194</v>
      </c>
      <c r="F561" s="23" t="s">
        <v>195</v>
      </c>
      <c r="G561" s="23" t="s">
        <v>203</v>
      </c>
      <c r="H561" s="23" t="s">
        <v>242</v>
      </c>
      <c r="I561" s="32"/>
      <c r="J561" s="23" t="s">
        <v>6</v>
      </c>
      <c r="K561" s="23" t="str">
        <f t="shared" si="1"/>
        <v>685137</v>
      </c>
      <c r="L561" s="23"/>
      <c r="M561" s="26"/>
      <c r="N561" s="26"/>
      <c r="O561" s="26"/>
      <c r="P561" s="26"/>
      <c r="Q561" s="26"/>
      <c r="R561" s="26"/>
      <c r="S561" s="26"/>
      <c r="T561" s="26"/>
      <c r="U561" s="26"/>
      <c r="V561" s="26"/>
      <c r="W561" s="26"/>
      <c r="X561" s="26"/>
    </row>
    <row r="562" hidden="1">
      <c r="A562" s="10" t="s">
        <v>499</v>
      </c>
      <c r="B562" s="10" t="s">
        <v>1934</v>
      </c>
      <c r="C562" s="27" t="s">
        <v>1935</v>
      </c>
      <c r="D562" s="10" t="s">
        <v>1936</v>
      </c>
      <c r="E562" s="28" t="s">
        <v>194</v>
      </c>
      <c r="F562" s="23" t="s">
        <v>195</v>
      </c>
      <c r="G562" s="23" t="s">
        <v>203</v>
      </c>
      <c r="H562" s="23" t="s">
        <v>242</v>
      </c>
      <c r="I562" s="32"/>
      <c r="J562" s="23" t="s">
        <v>6</v>
      </c>
      <c r="K562" s="23" t="str">
        <f t="shared" si="1"/>
        <v>684444</v>
      </c>
      <c r="L562" s="23"/>
      <c r="M562" s="26"/>
      <c r="N562" s="26"/>
      <c r="O562" s="26"/>
      <c r="P562" s="26"/>
      <c r="Q562" s="26"/>
      <c r="R562" s="26"/>
      <c r="S562" s="26"/>
      <c r="T562" s="26"/>
      <c r="U562" s="26"/>
      <c r="V562" s="26"/>
      <c r="W562" s="26"/>
      <c r="X562" s="26"/>
    </row>
    <row r="563" hidden="1">
      <c r="A563" s="10" t="s">
        <v>499</v>
      </c>
      <c r="B563" s="10" t="s">
        <v>1937</v>
      </c>
      <c r="C563" s="27" t="s">
        <v>1938</v>
      </c>
      <c r="D563" s="10" t="s">
        <v>1939</v>
      </c>
      <c r="E563" s="28" t="s">
        <v>194</v>
      </c>
      <c r="F563" s="23" t="s">
        <v>195</v>
      </c>
      <c r="G563" s="23" t="s">
        <v>521</v>
      </c>
      <c r="H563" s="23" t="s">
        <v>242</v>
      </c>
      <c r="I563" s="32"/>
      <c r="J563" s="23" t="s">
        <v>6</v>
      </c>
      <c r="K563" s="23" t="str">
        <f t="shared" si="1"/>
        <v>672915</v>
      </c>
      <c r="L563" s="23"/>
      <c r="M563" s="26"/>
      <c r="N563" s="26"/>
      <c r="O563" s="26"/>
      <c r="P563" s="26"/>
      <c r="Q563" s="26"/>
      <c r="R563" s="26"/>
      <c r="S563" s="26"/>
      <c r="T563" s="26"/>
      <c r="U563" s="26"/>
      <c r="V563" s="26"/>
      <c r="W563" s="26"/>
      <c r="X563" s="26"/>
    </row>
    <row r="564" hidden="1">
      <c r="A564" s="10" t="s">
        <v>499</v>
      </c>
      <c r="B564" s="10" t="s">
        <v>1940</v>
      </c>
      <c r="C564" s="27" t="s">
        <v>1941</v>
      </c>
      <c r="D564" s="10" t="s">
        <v>1942</v>
      </c>
      <c r="E564" s="28" t="s">
        <v>194</v>
      </c>
      <c r="F564" s="23" t="s">
        <v>195</v>
      </c>
      <c r="G564" s="23" t="s">
        <v>521</v>
      </c>
      <c r="H564" s="23" t="s">
        <v>242</v>
      </c>
      <c r="I564" s="32"/>
      <c r="J564" s="23" t="s">
        <v>6</v>
      </c>
      <c r="K564" s="23" t="str">
        <f t="shared" si="1"/>
        <v>674001</v>
      </c>
      <c r="L564" s="23"/>
      <c r="M564" s="26"/>
      <c r="N564" s="26"/>
      <c r="O564" s="26"/>
      <c r="P564" s="26"/>
      <c r="Q564" s="26"/>
      <c r="R564" s="26"/>
      <c r="S564" s="26"/>
      <c r="T564" s="26"/>
      <c r="U564" s="26"/>
      <c r="V564" s="26"/>
      <c r="W564" s="26"/>
      <c r="X564" s="26"/>
    </row>
    <row r="565" hidden="1">
      <c r="A565" s="10" t="s">
        <v>499</v>
      </c>
      <c r="B565" s="10" t="s">
        <v>1943</v>
      </c>
      <c r="C565" s="27" t="s">
        <v>1944</v>
      </c>
      <c r="D565" s="10" t="s">
        <v>1945</v>
      </c>
      <c r="E565" s="28" t="s">
        <v>194</v>
      </c>
      <c r="F565" s="23" t="s">
        <v>195</v>
      </c>
      <c r="G565" s="23" t="s">
        <v>521</v>
      </c>
      <c r="H565" s="23" t="s">
        <v>242</v>
      </c>
      <c r="I565" s="32"/>
      <c r="J565" s="23" t="s">
        <v>6</v>
      </c>
      <c r="K565" s="23" t="str">
        <f t="shared" si="1"/>
        <v>674162</v>
      </c>
      <c r="L565" s="23"/>
      <c r="M565" s="26"/>
      <c r="N565" s="26"/>
      <c r="O565" s="26"/>
      <c r="P565" s="26"/>
      <c r="Q565" s="26"/>
      <c r="R565" s="26"/>
      <c r="S565" s="26"/>
      <c r="T565" s="26"/>
      <c r="U565" s="26"/>
      <c r="V565" s="26"/>
      <c r="W565" s="26"/>
      <c r="X565" s="26"/>
    </row>
    <row r="566" hidden="1">
      <c r="A566" s="10" t="s">
        <v>499</v>
      </c>
      <c r="B566" s="10" t="s">
        <v>1946</v>
      </c>
      <c r="C566" s="27" t="s">
        <v>1947</v>
      </c>
      <c r="D566" s="10" t="s">
        <v>1948</v>
      </c>
      <c r="E566" s="28" t="s">
        <v>194</v>
      </c>
      <c r="F566" s="23" t="s">
        <v>195</v>
      </c>
      <c r="G566" s="23" t="s">
        <v>521</v>
      </c>
      <c r="H566" s="23" t="s">
        <v>242</v>
      </c>
      <c r="I566" s="32"/>
      <c r="J566" s="23" t="s">
        <v>6</v>
      </c>
      <c r="K566" s="23" t="str">
        <f t="shared" si="1"/>
        <v>673882</v>
      </c>
      <c r="L566" s="23"/>
      <c r="M566" s="26"/>
      <c r="N566" s="26"/>
      <c r="O566" s="26"/>
      <c r="P566" s="26"/>
      <c r="Q566" s="26"/>
      <c r="R566" s="26"/>
      <c r="S566" s="26"/>
      <c r="T566" s="26"/>
      <c r="U566" s="26"/>
      <c r="V566" s="26"/>
      <c r="W566" s="26"/>
      <c r="X566" s="26"/>
    </row>
    <row r="567" hidden="1">
      <c r="A567" s="10" t="s">
        <v>499</v>
      </c>
      <c r="B567" s="10" t="s">
        <v>1949</v>
      </c>
      <c r="C567" s="27" t="s">
        <v>1950</v>
      </c>
      <c r="D567" s="10" t="s">
        <v>1951</v>
      </c>
      <c r="E567" s="28" t="s">
        <v>194</v>
      </c>
      <c r="F567" s="23" t="s">
        <v>195</v>
      </c>
      <c r="G567" s="23" t="s">
        <v>521</v>
      </c>
      <c r="H567" s="23" t="s">
        <v>242</v>
      </c>
      <c r="I567" s="32"/>
      <c r="J567" s="23" t="s">
        <v>6</v>
      </c>
      <c r="K567" s="23" t="str">
        <f t="shared" si="1"/>
        <v>672786</v>
      </c>
      <c r="L567" s="23"/>
      <c r="M567" s="26"/>
      <c r="N567" s="26"/>
      <c r="O567" s="26"/>
      <c r="P567" s="26"/>
      <c r="Q567" s="26"/>
      <c r="R567" s="26"/>
      <c r="S567" s="26"/>
      <c r="T567" s="26"/>
      <c r="U567" s="26"/>
      <c r="V567" s="26"/>
      <c r="W567" s="26"/>
      <c r="X567" s="26"/>
    </row>
    <row r="568" hidden="1">
      <c r="A568" s="10" t="s">
        <v>499</v>
      </c>
      <c r="B568" s="10" t="s">
        <v>1952</v>
      </c>
      <c r="C568" s="27" t="s">
        <v>1953</v>
      </c>
      <c r="D568" s="10" t="s">
        <v>1954</v>
      </c>
      <c r="E568" s="28" t="s">
        <v>194</v>
      </c>
      <c r="F568" s="23" t="s">
        <v>195</v>
      </c>
      <c r="G568" s="23" t="s">
        <v>203</v>
      </c>
      <c r="H568" s="23" t="s">
        <v>242</v>
      </c>
      <c r="I568" s="32"/>
      <c r="J568" s="23" t="s">
        <v>6</v>
      </c>
      <c r="K568" s="23" t="str">
        <f t="shared" si="1"/>
        <v>625539</v>
      </c>
      <c r="L568" s="23"/>
      <c r="M568" s="26"/>
      <c r="N568" s="26"/>
      <c r="O568" s="26"/>
      <c r="P568" s="26"/>
      <c r="Q568" s="26"/>
      <c r="R568" s="26"/>
      <c r="S568" s="26"/>
      <c r="T568" s="26"/>
      <c r="U568" s="26"/>
      <c r="V568" s="26"/>
      <c r="W568" s="26"/>
      <c r="X568" s="26"/>
    </row>
    <row r="569" hidden="1">
      <c r="A569" s="10" t="s">
        <v>499</v>
      </c>
      <c r="B569" s="10" t="s">
        <v>1955</v>
      </c>
      <c r="C569" s="27" t="s">
        <v>1956</v>
      </c>
      <c r="D569" s="10" t="s">
        <v>1957</v>
      </c>
      <c r="E569" s="28" t="s">
        <v>194</v>
      </c>
      <c r="F569" s="23" t="s">
        <v>195</v>
      </c>
      <c r="G569" s="23" t="s">
        <v>203</v>
      </c>
      <c r="H569" s="23" t="s">
        <v>242</v>
      </c>
      <c r="I569" s="32"/>
      <c r="J569" s="23" t="s">
        <v>6</v>
      </c>
      <c r="K569" s="23" t="str">
        <f t="shared" si="1"/>
        <v>684505</v>
      </c>
      <c r="L569" s="23"/>
      <c r="M569" s="26"/>
      <c r="N569" s="26"/>
      <c r="O569" s="26"/>
      <c r="P569" s="26"/>
      <c r="Q569" s="26"/>
      <c r="R569" s="26"/>
      <c r="S569" s="26"/>
      <c r="T569" s="26"/>
      <c r="U569" s="26"/>
      <c r="V569" s="26"/>
      <c r="W569" s="26"/>
      <c r="X569" s="26"/>
    </row>
    <row r="570" hidden="1">
      <c r="A570" s="10" t="s">
        <v>499</v>
      </c>
      <c r="B570" s="10" t="s">
        <v>1958</v>
      </c>
      <c r="C570" s="27" t="s">
        <v>1959</v>
      </c>
      <c r="D570" s="10" t="s">
        <v>1960</v>
      </c>
      <c r="E570" s="28" t="s">
        <v>194</v>
      </c>
      <c r="F570" s="23" t="s">
        <v>195</v>
      </c>
      <c r="G570" s="23" t="s">
        <v>203</v>
      </c>
      <c r="H570" s="23" t="s">
        <v>242</v>
      </c>
      <c r="I570" s="32"/>
      <c r="J570" s="23" t="s">
        <v>6</v>
      </c>
      <c r="K570" s="23" t="str">
        <f t="shared" si="1"/>
        <v>686240</v>
      </c>
      <c r="L570" s="23"/>
      <c r="M570" s="26"/>
      <c r="N570" s="26"/>
      <c r="O570" s="26"/>
      <c r="P570" s="26"/>
      <c r="Q570" s="26"/>
      <c r="R570" s="26"/>
      <c r="S570" s="26"/>
      <c r="T570" s="26"/>
      <c r="U570" s="26"/>
      <c r="V570" s="26"/>
      <c r="W570" s="26"/>
      <c r="X570" s="26"/>
    </row>
    <row r="571" hidden="1">
      <c r="A571" s="10" t="s">
        <v>499</v>
      </c>
      <c r="B571" s="10" t="s">
        <v>1961</v>
      </c>
      <c r="C571" s="27" t="s">
        <v>1962</v>
      </c>
      <c r="D571" s="10" t="s">
        <v>1963</v>
      </c>
      <c r="E571" s="28" t="s">
        <v>194</v>
      </c>
      <c r="F571" s="23" t="s">
        <v>195</v>
      </c>
      <c r="G571" s="23" t="s">
        <v>203</v>
      </c>
      <c r="H571" s="23" t="s">
        <v>242</v>
      </c>
      <c r="I571" s="23" t="s">
        <v>273</v>
      </c>
      <c r="J571" s="23" t="s">
        <v>6</v>
      </c>
      <c r="K571" s="23" t="str">
        <f t="shared" si="1"/>
        <v>630007</v>
      </c>
      <c r="L571" s="23"/>
      <c r="M571" s="26"/>
      <c r="N571" s="26"/>
      <c r="O571" s="26"/>
      <c r="P571" s="26"/>
      <c r="Q571" s="26"/>
      <c r="R571" s="26"/>
      <c r="S571" s="26"/>
      <c r="T571" s="26"/>
      <c r="U571" s="26"/>
      <c r="V571" s="26"/>
      <c r="W571" s="26"/>
      <c r="X571" s="26"/>
    </row>
    <row r="572" hidden="1">
      <c r="A572" s="10" t="s">
        <v>499</v>
      </c>
      <c r="B572" s="10" t="s">
        <v>1964</v>
      </c>
      <c r="C572" s="27" t="s">
        <v>1965</v>
      </c>
      <c r="D572" s="10" t="s">
        <v>1966</v>
      </c>
      <c r="E572" s="28" t="s">
        <v>194</v>
      </c>
      <c r="F572" s="23" t="s">
        <v>195</v>
      </c>
      <c r="G572" s="23" t="s">
        <v>203</v>
      </c>
      <c r="H572" s="23" t="s">
        <v>242</v>
      </c>
      <c r="I572" s="23" t="s">
        <v>273</v>
      </c>
      <c r="J572" s="23" t="s">
        <v>6</v>
      </c>
      <c r="K572" s="23" t="str">
        <f t="shared" si="1"/>
        <v>626062</v>
      </c>
      <c r="L572" s="23"/>
      <c r="M572" s="26"/>
      <c r="N572" s="26"/>
      <c r="O572" s="26"/>
      <c r="P572" s="26"/>
      <c r="Q572" s="26"/>
      <c r="R572" s="26"/>
      <c r="S572" s="26"/>
      <c r="T572" s="26"/>
      <c r="U572" s="26"/>
      <c r="V572" s="26"/>
      <c r="W572" s="26"/>
      <c r="X572" s="26"/>
    </row>
    <row r="573" hidden="1">
      <c r="A573" s="10" t="s">
        <v>499</v>
      </c>
      <c r="B573" s="10" t="s">
        <v>1967</v>
      </c>
      <c r="C573" s="27" t="s">
        <v>1968</v>
      </c>
      <c r="D573" s="10" t="s">
        <v>1969</v>
      </c>
      <c r="E573" s="28" t="s">
        <v>194</v>
      </c>
      <c r="F573" s="23" t="s">
        <v>195</v>
      </c>
      <c r="G573" s="23" t="s">
        <v>203</v>
      </c>
      <c r="H573" s="23" t="s">
        <v>242</v>
      </c>
      <c r="I573" s="23" t="s">
        <v>273</v>
      </c>
      <c r="J573" s="23" t="s">
        <v>6</v>
      </c>
      <c r="K573" s="23" t="str">
        <f t="shared" si="1"/>
        <v>626048</v>
      </c>
      <c r="L573" s="23"/>
      <c r="M573" s="26"/>
      <c r="N573" s="26"/>
      <c r="O573" s="26"/>
      <c r="P573" s="26"/>
      <c r="Q573" s="26"/>
      <c r="R573" s="26"/>
      <c r="S573" s="26"/>
      <c r="T573" s="26"/>
      <c r="U573" s="26"/>
      <c r="V573" s="26"/>
      <c r="W573" s="26"/>
      <c r="X573" s="26"/>
    </row>
    <row r="574" hidden="1">
      <c r="A574" s="10" t="s">
        <v>499</v>
      </c>
      <c r="B574" s="10" t="s">
        <v>1970</v>
      </c>
      <c r="C574" s="27" t="s">
        <v>1971</v>
      </c>
      <c r="D574" s="10" t="s">
        <v>1972</v>
      </c>
      <c r="E574" s="28" t="s">
        <v>194</v>
      </c>
      <c r="F574" s="23" t="s">
        <v>195</v>
      </c>
      <c r="G574" s="23" t="s">
        <v>203</v>
      </c>
      <c r="H574" s="23" t="s">
        <v>242</v>
      </c>
      <c r="I574" s="32"/>
      <c r="J574" s="23" t="s">
        <v>6</v>
      </c>
      <c r="K574" s="23" t="str">
        <f t="shared" si="1"/>
        <v>684734</v>
      </c>
      <c r="L574" s="23"/>
      <c r="M574" s="26"/>
      <c r="N574" s="26"/>
      <c r="O574" s="26"/>
      <c r="P574" s="26"/>
      <c r="Q574" s="26"/>
      <c r="R574" s="26"/>
      <c r="S574" s="26"/>
      <c r="T574" s="26"/>
      <c r="U574" s="26"/>
      <c r="V574" s="26"/>
      <c r="W574" s="26"/>
      <c r="X574" s="26"/>
    </row>
    <row r="575" hidden="1">
      <c r="A575" s="10" t="s">
        <v>499</v>
      </c>
      <c r="B575" s="10" t="s">
        <v>1973</v>
      </c>
      <c r="C575" s="27" t="s">
        <v>1974</v>
      </c>
      <c r="D575" s="10" t="s">
        <v>1975</v>
      </c>
      <c r="E575" s="28" t="s">
        <v>194</v>
      </c>
      <c r="F575" s="23" t="s">
        <v>195</v>
      </c>
      <c r="G575" s="23" t="s">
        <v>203</v>
      </c>
      <c r="H575" s="23" t="s">
        <v>242</v>
      </c>
      <c r="I575" s="32"/>
      <c r="J575" s="23" t="s">
        <v>6</v>
      </c>
      <c r="K575" s="23" t="str">
        <f t="shared" si="1"/>
        <v>685007</v>
      </c>
      <c r="L575" s="23"/>
      <c r="M575" s="26"/>
      <c r="N575" s="26"/>
      <c r="O575" s="26"/>
      <c r="P575" s="26"/>
      <c r="Q575" s="26"/>
      <c r="R575" s="26"/>
      <c r="S575" s="26"/>
      <c r="T575" s="26"/>
      <c r="U575" s="26"/>
      <c r="V575" s="26"/>
      <c r="W575" s="26"/>
      <c r="X575" s="26"/>
    </row>
    <row r="576" hidden="1">
      <c r="A576" s="10" t="s">
        <v>499</v>
      </c>
      <c r="B576" s="10" t="s">
        <v>1976</v>
      </c>
      <c r="C576" s="27" t="s">
        <v>1977</v>
      </c>
      <c r="D576" s="10" t="s">
        <v>1978</v>
      </c>
      <c r="E576" s="28" t="s">
        <v>194</v>
      </c>
      <c r="F576" s="23" t="s">
        <v>195</v>
      </c>
      <c r="G576" s="23" t="s">
        <v>203</v>
      </c>
      <c r="H576" s="23" t="s">
        <v>242</v>
      </c>
      <c r="I576" s="32"/>
      <c r="J576" s="23" t="s">
        <v>6</v>
      </c>
      <c r="K576" s="23" t="str">
        <f t="shared" si="1"/>
        <v>684550</v>
      </c>
      <c r="L576" s="23"/>
      <c r="M576" s="26"/>
      <c r="N576" s="26"/>
      <c r="O576" s="26"/>
      <c r="P576" s="26"/>
      <c r="Q576" s="26"/>
      <c r="R576" s="26"/>
      <c r="S576" s="26"/>
      <c r="T576" s="26"/>
      <c r="U576" s="26"/>
      <c r="V576" s="26"/>
      <c r="W576" s="26"/>
      <c r="X576" s="26"/>
    </row>
    <row r="577" hidden="1">
      <c r="A577" s="10" t="s">
        <v>499</v>
      </c>
      <c r="B577" s="10" t="s">
        <v>1979</v>
      </c>
      <c r="C577" s="27" t="s">
        <v>1980</v>
      </c>
      <c r="D577" s="10" t="s">
        <v>1981</v>
      </c>
      <c r="E577" s="28" t="s">
        <v>194</v>
      </c>
      <c r="F577" s="23" t="s">
        <v>195</v>
      </c>
      <c r="G577" s="23" t="s">
        <v>203</v>
      </c>
      <c r="H577" s="23" t="s">
        <v>242</v>
      </c>
      <c r="I577" s="32"/>
      <c r="J577" s="23" t="s">
        <v>6</v>
      </c>
      <c r="K577" s="23" t="str">
        <f t="shared" si="1"/>
        <v>684994</v>
      </c>
      <c r="L577" s="23"/>
      <c r="M577" s="26"/>
      <c r="N577" s="26"/>
      <c r="O577" s="26"/>
      <c r="P577" s="26"/>
      <c r="Q577" s="26"/>
      <c r="R577" s="26"/>
      <c r="S577" s="26"/>
      <c r="T577" s="26"/>
      <c r="U577" s="26"/>
      <c r="V577" s="26"/>
      <c r="W577" s="26"/>
      <c r="X577" s="26"/>
    </row>
    <row r="578" hidden="1">
      <c r="A578" s="10" t="s">
        <v>499</v>
      </c>
      <c r="B578" s="10" t="s">
        <v>1982</v>
      </c>
      <c r="C578" s="27" t="s">
        <v>1983</v>
      </c>
      <c r="D578" s="10" t="s">
        <v>1984</v>
      </c>
      <c r="E578" s="28" t="s">
        <v>194</v>
      </c>
      <c r="F578" s="23" t="s">
        <v>195</v>
      </c>
      <c r="G578" s="23" t="s">
        <v>203</v>
      </c>
      <c r="H578" s="23" t="s">
        <v>242</v>
      </c>
      <c r="I578" s="32"/>
      <c r="J578" s="23" t="s">
        <v>6</v>
      </c>
      <c r="K578" s="23" t="str">
        <f t="shared" si="1"/>
        <v>684642</v>
      </c>
      <c r="L578" s="23"/>
      <c r="M578" s="26"/>
      <c r="N578" s="26"/>
      <c r="O578" s="26"/>
      <c r="P578" s="26"/>
      <c r="Q578" s="26"/>
      <c r="R578" s="26"/>
      <c r="S578" s="26"/>
      <c r="T578" s="26"/>
      <c r="U578" s="26"/>
      <c r="V578" s="26"/>
      <c r="W578" s="26"/>
      <c r="X578" s="26"/>
    </row>
    <row r="579" hidden="1">
      <c r="A579" s="10" t="s">
        <v>499</v>
      </c>
      <c r="B579" s="10" t="s">
        <v>1985</v>
      </c>
      <c r="C579" s="27" t="s">
        <v>1986</v>
      </c>
      <c r="D579" s="10" t="s">
        <v>1987</v>
      </c>
      <c r="E579" s="28" t="s">
        <v>194</v>
      </c>
      <c r="F579" s="23" t="s">
        <v>195</v>
      </c>
      <c r="G579" s="23" t="s">
        <v>203</v>
      </c>
      <c r="H579" s="23" t="s">
        <v>242</v>
      </c>
      <c r="I579" s="32"/>
      <c r="J579" s="23" t="s">
        <v>6</v>
      </c>
      <c r="K579" s="23" t="str">
        <f t="shared" si="1"/>
        <v>684635</v>
      </c>
      <c r="L579" s="23"/>
      <c r="M579" s="26"/>
      <c r="N579" s="26"/>
      <c r="O579" s="26"/>
      <c r="P579" s="26"/>
      <c r="Q579" s="26"/>
      <c r="R579" s="26"/>
      <c r="S579" s="26"/>
      <c r="T579" s="26"/>
      <c r="U579" s="26"/>
      <c r="V579" s="26"/>
      <c r="W579" s="26"/>
      <c r="X579" s="26"/>
    </row>
    <row r="580" hidden="1">
      <c r="A580" s="10" t="s">
        <v>499</v>
      </c>
      <c r="B580" s="10" t="s">
        <v>1988</v>
      </c>
      <c r="C580" s="27" t="s">
        <v>1989</v>
      </c>
      <c r="D580" s="10" t="s">
        <v>1990</v>
      </c>
      <c r="E580" s="28" t="s">
        <v>194</v>
      </c>
      <c r="F580" s="23" t="s">
        <v>195</v>
      </c>
      <c r="G580" s="23" t="s">
        <v>203</v>
      </c>
      <c r="H580" s="23" t="s">
        <v>242</v>
      </c>
      <c r="I580" s="32"/>
      <c r="J580" s="23" t="s">
        <v>6</v>
      </c>
      <c r="K580" s="23" t="str">
        <f t="shared" si="1"/>
        <v>633534</v>
      </c>
      <c r="L580" s="23"/>
      <c r="M580" s="26"/>
      <c r="N580" s="26"/>
      <c r="O580" s="26"/>
      <c r="P580" s="26"/>
      <c r="Q580" s="26"/>
      <c r="R580" s="26"/>
      <c r="S580" s="26"/>
      <c r="T580" s="26"/>
      <c r="U580" s="26"/>
      <c r="V580" s="26"/>
      <c r="W580" s="26"/>
      <c r="X580" s="26"/>
    </row>
    <row r="581" hidden="1">
      <c r="A581" s="10" t="s">
        <v>499</v>
      </c>
      <c r="B581" s="10" t="s">
        <v>1991</v>
      </c>
      <c r="C581" s="27" t="s">
        <v>1992</v>
      </c>
      <c r="D581" s="10" t="s">
        <v>1993</v>
      </c>
      <c r="E581" s="28" t="s">
        <v>194</v>
      </c>
      <c r="F581" s="23" t="s">
        <v>195</v>
      </c>
      <c r="G581" s="23" t="s">
        <v>203</v>
      </c>
      <c r="H581" s="23" t="s">
        <v>242</v>
      </c>
      <c r="I581" s="32"/>
      <c r="J581" s="23" t="s">
        <v>6</v>
      </c>
      <c r="K581" s="23" t="str">
        <f t="shared" si="1"/>
        <v>633558</v>
      </c>
      <c r="L581" s="23"/>
      <c r="M581" s="26"/>
      <c r="N581" s="26"/>
      <c r="O581" s="26"/>
      <c r="P581" s="26"/>
      <c r="Q581" s="26"/>
      <c r="R581" s="26"/>
      <c r="S581" s="26"/>
      <c r="T581" s="26"/>
      <c r="U581" s="26"/>
      <c r="V581" s="26"/>
      <c r="W581" s="26"/>
      <c r="X581" s="26"/>
    </row>
    <row r="582" hidden="1">
      <c r="A582" s="10" t="s">
        <v>499</v>
      </c>
      <c r="B582" s="10" t="s">
        <v>1994</v>
      </c>
      <c r="C582" s="27" t="s">
        <v>1995</v>
      </c>
      <c r="D582" s="10" t="s">
        <v>1996</v>
      </c>
      <c r="E582" s="28" t="s">
        <v>194</v>
      </c>
      <c r="F582" s="23" t="s">
        <v>195</v>
      </c>
      <c r="G582" s="23" t="s">
        <v>203</v>
      </c>
      <c r="H582" s="23" t="s">
        <v>242</v>
      </c>
      <c r="I582" s="32"/>
      <c r="J582" s="23" t="s">
        <v>6</v>
      </c>
      <c r="K582" s="23" t="str">
        <f t="shared" si="1"/>
        <v>633572</v>
      </c>
      <c r="L582" s="23"/>
      <c r="M582" s="26"/>
      <c r="N582" s="26"/>
      <c r="O582" s="26"/>
      <c r="P582" s="26"/>
      <c r="Q582" s="26"/>
      <c r="R582" s="26"/>
      <c r="S582" s="26"/>
      <c r="T582" s="26"/>
      <c r="U582" s="26"/>
      <c r="V582" s="26"/>
      <c r="W582" s="26"/>
      <c r="X582" s="26"/>
    </row>
    <row r="583" hidden="1">
      <c r="A583" s="10" t="s">
        <v>499</v>
      </c>
      <c r="B583" s="10" t="s">
        <v>1997</v>
      </c>
      <c r="C583" s="27" t="s">
        <v>1998</v>
      </c>
      <c r="D583" s="10" t="s">
        <v>1999</v>
      </c>
      <c r="E583" s="28" t="s">
        <v>194</v>
      </c>
      <c r="F583" s="23" t="s">
        <v>195</v>
      </c>
      <c r="G583" s="23" t="s">
        <v>203</v>
      </c>
      <c r="H583" s="23" t="s">
        <v>242</v>
      </c>
      <c r="I583" s="32"/>
      <c r="J583" s="23" t="s">
        <v>6</v>
      </c>
      <c r="K583" s="23" t="str">
        <f t="shared" si="1"/>
        <v>666464</v>
      </c>
      <c r="L583" s="23"/>
      <c r="M583" s="26"/>
      <c r="N583" s="26"/>
      <c r="O583" s="26"/>
      <c r="P583" s="26"/>
      <c r="Q583" s="26"/>
      <c r="R583" s="26"/>
      <c r="S583" s="26"/>
      <c r="T583" s="26"/>
      <c r="U583" s="26"/>
      <c r="V583" s="26"/>
      <c r="W583" s="26"/>
      <c r="X583" s="26"/>
    </row>
    <row r="584" hidden="1">
      <c r="A584" s="10" t="s">
        <v>499</v>
      </c>
      <c r="B584" s="10" t="s">
        <v>2000</v>
      </c>
      <c r="C584" s="27" t="s">
        <v>2001</v>
      </c>
      <c r="D584" s="10" t="s">
        <v>2002</v>
      </c>
      <c r="E584" s="28" t="s">
        <v>194</v>
      </c>
      <c r="F584" s="23" t="s">
        <v>195</v>
      </c>
      <c r="G584" s="23" t="s">
        <v>203</v>
      </c>
      <c r="H584" s="23" t="s">
        <v>242</v>
      </c>
      <c r="I584" s="32"/>
      <c r="J584" s="23" t="s">
        <v>6</v>
      </c>
      <c r="K584" s="23" t="str">
        <f t="shared" si="1"/>
        <v>666440</v>
      </c>
      <c r="L584" s="23"/>
      <c r="M584" s="26"/>
      <c r="N584" s="26"/>
      <c r="O584" s="26"/>
      <c r="P584" s="26"/>
      <c r="Q584" s="26"/>
      <c r="R584" s="26"/>
      <c r="S584" s="26"/>
      <c r="T584" s="26"/>
      <c r="U584" s="26"/>
      <c r="V584" s="26"/>
      <c r="W584" s="26"/>
      <c r="X584" s="26"/>
    </row>
    <row r="585" hidden="1">
      <c r="A585" s="10" t="s">
        <v>499</v>
      </c>
      <c r="B585" s="10" t="s">
        <v>2003</v>
      </c>
      <c r="C585" s="27" t="s">
        <v>2004</v>
      </c>
      <c r="D585" s="10" t="s">
        <v>2005</v>
      </c>
      <c r="E585" s="28" t="s">
        <v>194</v>
      </c>
      <c r="F585" s="23" t="s">
        <v>195</v>
      </c>
      <c r="G585" s="23" t="s">
        <v>203</v>
      </c>
      <c r="H585" s="23" t="s">
        <v>242</v>
      </c>
      <c r="I585" s="23" t="s">
        <v>243</v>
      </c>
      <c r="J585" s="23" t="s">
        <v>6</v>
      </c>
      <c r="K585" s="23" t="str">
        <f t="shared" si="1"/>
        <v>687544</v>
      </c>
      <c r="L585" s="23"/>
      <c r="M585" s="26"/>
      <c r="N585" s="26"/>
      <c r="O585" s="26"/>
      <c r="P585" s="26"/>
      <c r="Q585" s="26"/>
      <c r="R585" s="26"/>
      <c r="S585" s="26"/>
      <c r="T585" s="26"/>
      <c r="U585" s="26"/>
      <c r="V585" s="26"/>
      <c r="W585" s="26"/>
      <c r="X585" s="26"/>
    </row>
    <row r="586" hidden="1">
      <c r="A586" s="10" t="s">
        <v>499</v>
      </c>
      <c r="B586" s="10" t="s">
        <v>2006</v>
      </c>
      <c r="C586" s="27" t="s">
        <v>2007</v>
      </c>
      <c r="D586" s="10" t="s">
        <v>2008</v>
      </c>
      <c r="E586" s="28" t="s">
        <v>194</v>
      </c>
      <c r="F586" s="23" t="s">
        <v>195</v>
      </c>
      <c r="G586" s="23" t="s">
        <v>203</v>
      </c>
      <c r="H586" s="23" t="s">
        <v>242</v>
      </c>
      <c r="I586" s="32"/>
      <c r="J586" s="23" t="s">
        <v>6</v>
      </c>
      <c r="K586" s="23" t="str">
        <f t="shared" si="1"/>
        <v>686431</v>
      </c>
      <c r="L586" s="23"/>
      <c r="M586" s="26"/>
      <c r="N586" s="26"/>
      <c r="O586" s="26"/>
      <c r="P586" s="26"/>
      <c r="Q586" s="26"/>
      <c r="R586" s="26"/>
      <c r="S586" s="26"/>
      <c r="T586" s="26"/>
      <c r="U586" s="26"/>
      <c r="V586" s="26"/>
      <c r="W586" s="26"/>
      <c r="X586" s="26"/>
    </row>
    <row r="587" hidden="1">
      <c r="A587" s="10" t="s">
        <v>499</v>
      </c>
      <c r="B587" s="10" t="s">
        <v>2009</v>
      </c>
      <c r="C587" s="27" t="s">
        <v>2010</v>
      </c>
      <c r="D587" s="10" t="s">
        <v>2011</v>
      </c>
      <c r="E587" s="28" t="s">
        <v>194</v>
      </c>
      <c r="F587" s="23" t="s">
        <v>195</v>
      </c>
      <c r="G587" s="23" t="s">
        <v>203</v>
      </c>
      <c r="H587" s="23" t="s">
        <v>242</v>
      </c>
      <c r="I587" s="32"/>
      <c r="J587" s="23" t="s">
        <v>6</v>
      </c>
      <c r="K587" s="23" t="str">
        <f t="shared" si="1"/>
        <v>684659</v>
      </c>
      <c r="L587" s="23"/>
      <c r="M587" s="26"/>
      <c r="N587" s="26"/>
      <c r="O587" s="26"/>
      <c r="P587" s="26"/>
      <c r="Q587" s="26"/>
      <c r="R587" s="26"/>
      <c r="S587" s="26"/>
      <c r="T587" s="26"/>
      <c r="U587" s="26"/>
      <c r="V587" s="26"/>
      <c r="W587" s="26"/>
      <c r="X587" s="26"/>
    </row>
    <row r="588" hidden="1">
      <c r="A588" s="10" t="s">
        <v>499</v>
      </c>
      <c r="B588" s="10" t="s">
        <v>2012</v>
      </c>
      <c r="C588" s="27" t="s">
        <v>2013</v>
      </c>
      <c r="D588" s="10" t="s">
        <v>2014</v>
      </c>
      <c r="E588" s="28" t="s">
        <v>194</v>
      </c>
      <c r="F588" s="23" t="s">
        <v>195</v>
      </c>
      <c r="G588" s="23" t="s">
        <v>203</v>
      </c>
      <c r="H588" s="23" t="s">
        <v>242</v>
      </c>
      <c r="I588" s="32"/>
      <c r="J588" s="23" t="s">
        <v>6</v>
      </c>
      <c r="K588" s="23" t="str">
        <f t="shared" si="1"/>
        <v>684666</v>
      </c>
      <c r="L588" s="23"/>
      <c r="M588" s="26"/>
      <c r="N588" s="26"/>
      <c r="O588" s="26"/>
      <c r="P588" s="26"/>
      <c r="Q588" s="26"/>
      <c r="R588" s="26"/>
      <c r="S588" s="26"/>
      <c r="T588" s="26"/>
      <c r="U588" s="26"/>
      <c r="V588" s="26"/>
      <c r="W588" s="26"/>
      <c r="X588" s="26"/>
    </row>
    <row r="589" hidden="1">
      <c r="A589" s="10" t="s">
        <v>499</v>
      </c>
      <c r="B589" s="10" t="s">
        <v>2015</v>
      </c>
      <c r="C589" s="27" t="s">
        <v>2016</v>
      </c>
      <c r="D589" s="10" t="s">
        <v>2017</v>
      </c>
      <c r="E589" s="28" t="s">
        <v>194</v>
      </c>
      <c r="F589" s="23" t="s">
        <v>195</v>
      </c>
      <c r="G589" s="23" t="s">
        <v>203</v>
      </c>
      <c r="H589" s="23" t="s">
        <v>242</v>
      </c>
      <c r="I589" s="32"/>
      <c r="J589" s="23" t="s">
        <v>6</v>
      </c>
      <c r="K589" s="23" t="str">
        <f t="shared" si="1"/>
        <v>623290</v>
      </c>
      <c r="L589" s="23"/>
      <c r="M589" s="26"/>
      <c r="N589" s="26"/>
      <c r="O589" s="26"/>
      <c r="P589" s="26"/>
      <c r="Q589" s="26"/>
      <c r="R589" s="26"/>
      <c r="S589" s="26"/>
      <c r="T589" s="26"/>
      <c r="U589" s="26"/>
      <c r="V589" s="26"/>
      <c r="W589" s="26"/>
      <c r="X589" s="26"/>
    </row>
    <row r="590" hidden="1">
      <c r="A590" s="10" t="s">
        <v>499</v>
      </c>
      <c r="B590" s="10" t="s">
        <v>2018</v>
      </c>
      <c r="C590" s="27" t="s">
        <v>2019</v>
      </c>
      <c r="D590" s="10" t="s">
        <v>2020</v>
      </c>
      <c r="E590" s="28" t="s">
        <v>194</v>
      </c>
      <c r="F590" s="23" t="s">
        <v>195</v>
      </c>
      <c r="G590" s="23" t="s">
        <v>203</v>
      </c>
      <c r="H590" s="23" t="s">
        <v>242</v>
      </c>
      <c r="I590" s="32"/>
      <c r="J590" s="23" t="s">
        <v>6</v>
      </c>
      <c r="K590" s="23" t="str">
        <f t="shared" si="1"/>
        <v>606088</v>
      </c>
      <c r="L590" s="23"/>
      <c r="M590" s="26"/>
      <c r="N590" s="26"/>
      <c r="O590" s="26"/>
      <c r="P590" s="26"/>
      <c r="Q590" s="26"/>
      <c r="R590" s="26"/>
      <c r="S590" s="26"/>
      <c r="T590" s="26"/>
      <c r="U590" s="26"/>
      <c r="V590" s="26"/>
      <c r="W590" s="26"/>
      <c r="X590" s="26"/>
    </row>
    <row r="591" hidden="1">
      <c r="A591" s="10" t="s">
        <v>499</v>
      </c>
      <c r="B591" s="10" t="s">
        <v>2021</v>
      </c>
      <c r="C591" s="27" t="s">
        <v>2022</v>
      </c>
      <c r="D591" s="10" t="s">
        <v>2023</v>
      </c>
      <c r="E591" s="28" t="s">
        <v>194</v>
      </c>
      <c r="F591" s="23" t="s">
        <v>195</v>
      </c>
      <c r="G591" s="23" t="s">
        <v>203</v>
      </c>
      <c r="H591" s="23" t="s">
        <v>242</v>
      </c>
      <c r="I591" s="32"/>
      <c r="J591" s="23" t="s">
        <v>6</v>
      </c>
      <c r="K591" s="23" t="str">
        <f t="shared" si="1"/>
        <v>606101</v>
      </c>
      <c r="L591" s="23"/>
      <c r="M591" s="26"/>
      <c r="N591" s="26"/>
      <c r="O591" s="26"/>
      <c r="P591" s="26"/>
      <c r="Q591" s="26"/>
      <c r="R591" s="26"/>
      <c r="S591" s="26"/>
      <c r="T591" s="26"/>
      <c r="U591" s="26"/>
      <c r="V591" s="26"/>
      <c r="W591" s="26"/>
      <c r="X591" s="26"/>
    </row>
    <row r="592" hidden="1">
      <c r="A592" s="10" t="s">
        <v>499</v>
      </c>
      <c r="B592" s="10" t="s">
        <v>2024</v>
      </c>
      <c r="C592" s="27" t="s">
        <v>2025</v>
      </c>
      <c r="D592" s="10" t="s">
        <v>2026</v>
      </c>
      <c r="E592" s="28" t="s">
        <v>194</v>
      </c>
      <c r="F592" s="23" t="s">
        <v>195</v>
      </c>
      <c r="G592" s="23" t="s">
        <v>203</v>
      </c>
      <c r="H592" s="23" t="s">
        <v>242</v>
      </c>
      <c r="I592" s="32"/>
      <c r="J592" s="23" t="s">
        <v>6</v>
      </c>
      <c r="K592" s="23" t="str">
        <f t="shared" si="1"/>
        <v>606095</v>
      </c>
      <c r="L592" s="23"/>
      <c r="M592" s="26"/>
      <c r="N592" s="26"/>
      <c r="O592" s="26"/>
      <c r="P592" s="26"/>
      <c r="Q592" s="26"/>
      <c r="R592" s="26"/>
      <c r="S592" s="26"/>
      <c r="T592" s="26"/>
      <c r="U592" s="26"/>
      <c r="V592" s="26"/>
      <c r="W592" s="26"/>
      <c r="X592" s="26"/>
    </row>
    <row r="593" hidden="1">
      <c r="A593" s="10" t="s">
        <v>499</v>
      </c>
      <c r="B593" s="10" t="s">
        <v>2027</v>
      </c>
      <c r="C593" s="27" t="s">
        <v>2028</v>
      </c>
      <c r="D593" s="10" t="s">
        <v>2029</v>
      </c>
      <c r="E593" s="28" t="s">
        <v>194</v>
      </c>
      <c r="F593" s="23" t="s">
        <v>195</v>
      </c>
      <c r="G593" s="23" t="s">
        <v>203</v>
      </c>
      <c r="H593" s="23" t="s">
        <v>242</v>
      </c>
      <c r="I593" s="32"/>
      <c r="J593" s="23" t="s">
        <v>6</v>
      </c>
      <c r="K593" s="23" t="str">
        <f t="shared" si="1"/>
        <v>626680</v>
      </c>
      <c r="L593" s="23"/>
      <c r="M593" s="26"/>
      <c r="N593" s="26"/>
      <c r="O593" s="26"/>
      <c r="P593" s="26"/>
      <c r="Q593" s="26"/>
      <c r="R593" s="26"/>
      <c r="S593" s="26"/>
      <c r="T593" s="26"/>
      <c r="U593" s="26"/>
      <c r="V593" s="26"/>
      <c r="W593" s="26"/>
      <c r="X593" s="26"/>
    </row>
    <row r="594" hidden="1">
      <c r="A594" s="10" t="s">
        <v>499</v>
      </c>
      <c r="B594" s="10" t="s">
        <v>2030</v>
      </c>
      <c r="C594" s="27" t="s">
        <v>2031</v>
      </c>
      <c r="D594" s="10" t="s">
        <v>2032</v>
      </c>
      <c r="E594" s="28" t="s">
        <v>194</v>
      </c>
      <c r="F594" s="23" t="s">
        <v>195</v>
      </c>
      <c r="G594" s="23" t="s">
        <v>203</v>
      </c>
      <c r="H594" s="23" t="s">
        <v>242</v>
      </c>
      <c r="I594" s="32"/>
      <c r="J594" s="23" t="s">
        <v>6</v>
      </c>
      <c r="K594" s="23" t="str">
        <f t="shared" si="1"/>
        <v>647272</v>
      </c>
      <c r="L594" s="23"/>
      <c r="M594" s="26"/>
      <c r="N594" s="26"/>
      <c r="O594" s="26"/>
      <c r="P594" s="26"/>
      <c r="Q594" s="26"/>
      <c r="R594" s="26"/>
      <c r="S594" s="26"/>
      <c r="T594" s="26"/>
      <c r="U594" s="26"/>
      <c r="V594" s="26"/>
      <c r="W594" s="26"/>
      <c r="X594" s="26"/>
    </row>
    <row r="595" hidden="1">
      <c r="A595" s="10" t="s">
        <v>499</v>
      </c>
      <c r="B595" s="10" t="s">
        <v>2033</v>
      </c>
      <c r="C595" s="27" t="s">
        <v>2034</v>
      </c>
      <c r="D595" s="10" t="s">
        <v>2035</v>
      </c>
      <c r="E595" s="28" t="s">
        <v>194</v>
      </c>
      <c r="F595" s="23" t="s">
        <v>195</v>
      </c>
      <c r="G595" s="23" t="s">
        <v>203</v>
      </c>
      <c r="H595" s="23" t="s">
        <v>242</v>
      </c>
      <c r="I595" s="32"/>
      <c r="J595" s="23" t="s">
        <v>6</v>
      </c>
      <c r="K595" s="23" t="str">
        <f t="shared" si="1"/>
        <v>623252</v>
      </c>
      <c r="L595" s="23"/>
      <c r="M595" s="26"/>
      <c r="N595" s="26"/>
      <c r="O595" s="26"/>
      <c r="P595" s="26"/>
      <c r="Q595" s="26"/>
      <c r="R595" s="26"/>
      <c r="S595" s="26"/>
      <c r="T595" s="26"/>
      <c r="U595" s="26"/>
      <c r="V595" s="26"/>
      <c r="W595" s="26"/>
      <c r="X595" s="26"/>
    </row>
    <row r="596" hidden="1">
      <c r="A596" s="10" t="s">
        <v>499</v>
      </c>
      <c r="B596" s="10" t="s">
        <v>2036</v>
      </c>
      <c r="C596" s="27" t="s">
        <v>2037</v>
      </c>
      <c r="D596" s="10" t="s">
        <v>2038</v>
      </c>
      <c r="E596" s="28" t="s">
        <v>194</v>
      </c>
      <c r="F596" s="23" t="s">
        <v>195</v>
      </c>
      <c r="G596" s="23" t="s">
        <v>203</v>
      </c>
      <c r="H596" s="23" t="s">
        <v>242</v>
      </c>
      <c r="I596" s="32"/>
      <c r="J596" s="23" t="s">
        <v>6</v>
      </c>
      <c r="K596" s="23" t="str">
        <f t="shared" si="1"/>
        <v>623276</v>
      </c>
      <c r="L596" s="23"/>
      <c r="M596" s="26"/>
      <c r="N596" s="26"/>
      <c r="O596" s="26"/>
      <c r="P596" s="26"/>
      <c r="Q596" s="26"/>
      <c r="R596" s="26"/>
      <c r="S596" s="26"/>
      <c r="T596" s="26"/>
      <c r="U596" s="26"/>
      <c r="V596" s="26"/>
      <c r="W596" s="26"/>
      <c r="X596" s="26"/>
    </row>
    <row r="597" hidden="1">
      <c r="A597" s="10" t="s">
        <v>499</v>
      </c>
      <c r="B597" s="10" t="s">
        <v>2039</v>
      </c>
      <c r="C597" s="27" t="s">
        <v>2040</v>
      </c>
      <c r="D597" s="10" t="s">
        <v>2041</v>
      </c>
      <c r="E597" s="28" t="s">
        <v>194</v>
      </c>
      <c r="F597" s="23" t="s">
        <v>195</v>
      </c>
      <c r="G597" s="23" t="s">
        <v>203</v>
      </c>
      <c r="H597" s="23" t="s">
        <v>242</v>
      </c>
      <c r="I597" s="23" t="s">
        <v>273</v>
      </c>
      <c r="J597" s="23" t="s">
        <v>6</v>
      </c>
      <c r="K597" s="23" t="str">
        <f t="shared" si="1"/>
        <v>626024</v>
      </c>
      <c r="L597" s="23"/>
      <c r="M597" s="26"/>
      <c r="N597" s="26"/>
      <c r="O597" s="26"/>
      <c r="P597" s="26"/>
      <c r="Q597" s="26"/>
      <c r="R597" s="26"/>
      <c r="S597" s="26"/>
      <c r="T597" s="26"/>
      <c r="U597" s="26"/>
      <c r="V597" s="26"/>
      <c r="W597" s="26"/>
      <c r="X597" s="26"/>
    </row>
    <row r="598" hidden="1">
      <c r="A598" s="10" t="s">
        <v>499</v>
      </c>
      <c r="B598" s="10" t="s">
        <v>2042</v>
      </c>
      <c r="C598" s="27" t="s">
        <v>2043</v>
      </c>
      <c r="D598" s="10" t="s">
        <v>2044</v>
      </c>
      <c r="E598" s="28" t="s">
        <v>194</v>
      </c>
      <c r="F598" s="23" t="s">
        <v>195</v>
      </c>
      <c r="G598" s="23" t="s">
        <v>203</v>
      </c>
      <c r="H598" s="23" t="s">
        <v>242</v>
      </c>
      <c r="I598" s="32"/>
      <c r="J598" s="23" t="s">
        <v>6</v>
      </c>
      <c r="K598" s="23" t="str">
        <f t="shared" si="1"/>
        <v>687452</v>
      </c>
      <c r="L598" s="23"/>
      <c r="M598" s="26"/>
      <c r="N598" s="26"/>
      <c r="O598" s="26"/>
      <c r="P598" s="26"/>
      <c r="Q598" s="26"/>
      <c r="R598" s="26"/>
      <c r="S598" s="26"/>
      <c r="T598" s="26"/>
      <c r="U598" s="26"/>
      <c r="V598" s="26"/>
      <c r="W598" s="26"/>
      <c r="X598" s="26"/>
    </row>
    <row r="599" hidden="1">
      <c r="A599" s="10" t="s">
        <v>499</v>
      </c>
      <c r="B599" s="10" t="s">
        <v>2045</v>
      </c>
      <c r="C599" s="27" t="s">
        <v>2046</v>
      </c>
      <c r="D599" s="10" t="s">
        <v>2047</v>
      </c>
      <c r="E599" s="28" t="s">
        <v>194</v>
      </c>
      <c r="F599" s="23" t="s">
        <v>589</v>
      </c>
      <c r="G599" s="23" t="s">
        <v>521</v>
      </c>
      <c r="H599" s="23" t="s">
        <v>242</v>
      </c>
      <c r="I599" s="32"/>
      <c r="J599" s="23" t="s">
        <v>6</v>
      </c>
      <c r="K599" s="23" t="str">
        <f t="shared" si="1"/>
        <v>682846</v>
      </c>
      <c r="L599" s="23"/>
      <c r="M599" s="26"/>
      <c r="N599" s="26"/>
      <c r="O599" s="26"/>
      <c r="P599" s="26"/>
      <c r="Q599" s="26"/>
      <c r="R599" s="26"/>
      <c r="S599" s="26"/>
      <c r="T599" s="26"/>
      <c r="U599" s="26"/>
      <c r="V599" s="26"/>
      <c r="W599" s="26"/>
      <c r="X599" s="26"/>
    </row>
    <row r="600" hidden="1">
      <c r="A600" s="10" t="s">
        <v>499</v>
      </c>
      <c r="B600" s="10" t="s">
        <v>2048</v>
      </c>
      <c r="C600" s="27" t="s">
        <v>2049</v>
      </c>
      <c r="D600" s="10" t="s">
        <v>2050</v>
      </c>
      <c r="E600" s="28" t="s">
        <v>194</v>
      </c>
      <c r="F600" s="23" t="s">
        <v>195</v>
      </c>
      <c r="G600" s="23" t="s">
        <v>203</v>
      </c>
      <c r="H600" s="23" t="s">
        <v>242</v>
      </c>
      <c r="I600" s="23" t="s">
        <v>273</v>
      </c>
      <c r="J600" s="23" t="s">
        <v>6</v>
      </c>
      <c r="K600" s="23" t="str">
        <f t="shared" si="1"/>
        <v>677958</v>
      </c>
      <c r="L600" s="23"/>
      <c r="M600" s="26"/>
      <c r="N600" s="26"/>
      <c r="O600" s="26"/>
      <c r="P600" s="26"/>
      <c r="Q600" s="26"/>
      <c r="R600" s="26"/>
      <c r="S600" s="26"/>
      <c r="T600" s="26"/>
      <c r="U600" s="26"/>
      <c r="V600" s="26"/>
      <c r="W600" s="26"/>
      <c r="X600" s="26"/>
    </row>
    <row r="601" hidden="1">
      <c r="A601" s="10" t="s">
        <v>499</v>
      </c>
      <c r="B601" s="10" t="s">
        <v>2051</v>
      </c>
      <c r="C601" s="27" t="s">
        <v>2052</v>
      </c>
      <c r="D601" s="10" t="s">
        <v>2053</v>
      </c>
      <c r="E601" s="28" t="s">
        <v>194</v>
      </c>
      <c r="F601" s="23" t="s">
        <v>195</v>
      </c>
      <c r="G601" s="23" t="s">
        <v>203</v>
      </c>
      <c r="H601" s="23" t="s">
        <v>242</v>
      </c>
      <c r="I601" s="32"/>
      <c r="J601" s="23" t="s">
        <v>6</v>
      </c>
      <c r="K601" s="23" t="str">
        <f t="shared" si="1"/>
        <v>663630</v>
      </c>
      <c r="L601" s="23"/>
      <c r="M601" s="26"/>
      <c r="N601" s="26"/>
      <c r="O601" s="26"/>
      <c r="P601" s="26"/>
      <c r="Q601" s="26"/>
      <c r="R601" s="26"/>
      <c r="S601" s="26"/>
      <c r="T601" s="26"/>
      <c r="U601" s="26"/>
      <c r="V601" s="26"/>
      <c r="W601" s="26"/>
      <c r="X601" s="26"/>
    </row>
    <row r="602" hidden="1">
      <c r="A602" s="10" t="s">
        <v>427</v>
      </c>
      <c r="B602" s="10" t="s">
        <v>2054</v>
      </c>
      <c r="C602" s="27" t="s">
        <v>2055</v>
      </c>
      <c r="D602" s="10" t="s">
        <v>2056</v>
      </c>
      <c r="E602" s="28" t="s">
        <v>431</v>
      </c>
      <c r="F602" s="23" t="s">
        <v>950</v>
      </c>
      <c r="G602" s="23" t="s">
        <v>521</v>
      </c>
      <c r="H602" s="23" t="s">
        <v>242</v>
      </c>
      <c r="I602" s="32"/>
      <c r="J602" s="23" t="s">
        <v>6</v>
      </c>
      <c r="K602" s="23" t="str">
        <f t="shared" si="1"/>
        <v>638188</v>
      </c>
      <c r="L602" s="23"/>
      <c r="M602" s="26"/>
      <c r="N602" s="26"/>
      <c r="O602" s="26"/>
      <c r="P602" s="26"/>
      <c r="Q602" s="26"/>
      <c r="R602" s="26"/>
      <c r="S602" s="26"/>
      <c r="T602" s="26"/>
      <c r="U602" s="26"/>
      <c r="V602" s="26"/>
      <c r="W602" s="26"/>
      <c r="X602" s="26"/>
    </row>
    <row r="603" hidden="1">
      <c r="A603" s="10" t="s">
        <v>427</v>
      </c>
      <c r="B603" s="10" t="s">
        <v>2057</v>
      </c>
      <c r="C603" s="27" t="s">
        <v>2058</v>
      </c>
      <c r="D603" s="10" t="s">
        <v>2059</v>
      </c>
      <c r="E603" s="28" t="s">
        <v>418</v>
      </c>
      <c r="F603" s="23" t="s">
        <v>419</v>
      </c>
      <c r="G603" s="23" t="s">
        <v>203</v>
      </c>
      <c r="H603" s="23" t="s">
        <v>242</v>
      </c>
      <c r="I603" s="32"/>
      <c r="J603" s="23" t="s">
        <v>6</v>
      </c>
      <c r="K603" s="23" t="str">
        <f t="shared" si="1"/>
        <v>679037</v>
      </c>
      <c r="L603" s="23"/>
      <c r="M603" s="26"/>
      <c r="N603" s="26"/>
      <c r="O603" s="26"/>
      <c r="P603" s="26"/>
      <c r="Q603" s="26"/>
      <c r="R603" s="26"/>
      <c r="S603" s="26"/>
      <c r="T603" s="26"/>
      <c r="U603" s="26"/>
      <c r="V603" s="26"/>
      <c r="W603" s="26"/>
      <c r="X603" s="26"/>
    </row>
    <row r="604" hidden="1">
      <c r="A604" s="10" t="s">
        <v>427</v>
      </c>
      <c r="B604" s="10" t="s">
        <v>2060</v>
      </c>
      <c r="C604" s="27" t="s">
        <v>2061</v>
      </c>
      <c r="D604" s="10" t="s">
        <v>2062</v>
      </c>
      <c r="E604" s="28" t="s">
        <v>534</v>
      </c>
      <c r="F604" s="23" t="s">
        <v>757</v>
      </c>
      <c r="G604" s="23" t="s">
        <v>521</v>
      </c>
      <c r="H604" s="23" t="s">
        <v>242</v>
      </c>
      <c r="I604" s="32"/>
      <c r="J604" s="23" t="s">
        <v>6</v>
      </c>
      <c r="K604" s="23" t="str">
        <f t="shared" si="1"/>
        <v>666747</v>
      </c>
      <c r="L604" s="23"/>
      <c r="M604" s="26"/>
      <c r="N604" s="26"/>
      <c r="O604" s="26"/>
      <c r="P604" s="26"/>
      <c r="Q604" s="26"/>
      <c r="R604" s="26"/>
      <c r="S604" s="26"/>
      <c r="T604" s="26"/>
      <c r="U604" s="26"/>
      <c r="V604" s="26"/>
      <c r="W604" s="26"/>
      <c r="X604" s="26"/>
    </row>
    <row r="605" hidden="1">
      <c r="A605" s="10" t="s">
        <v>427</v>
      </c>
      <c r="B605" s="10" t="s">
        <v>2063</v>
      </c>
      <c r="C605" s="27" t="s">
        <v>2064</v>
      </c>
      <c r="D605" s="10" t="s">
        <v>2065</v>
      </c>
      <c r="E605" s="28" t="s">
        <v>534</v>
      </c>
      <c r="F605" s="23" t="s">
        <v>535</v>
      </c>
      <c r="G605" s="23" t="s">
        <v>521</v>
      </c>
      <c r="H605" s="23" t="s">
        <v>242</v>
      </c>
      <c r="I605" s="32"/>
      <c r="J605" s="23" t="s">
        <v>6</v>
      </c>
      <c r="K605" s="23" t="str">
        <f t="shared" si="1"/>
        <v>667850</v>
      </c>
      <c r="L605" s="23"/>
      <c r="M605" s="26"/>
      <c r="N605" s="26"/>
      <c r="O605" s="26"/>
      <c r="P605" s="26"/>
      <c r="Q605" s="26"/>
      <c r="R605" s="26"/>
      <c r="S605" s="26"/>
      <c r="T605" s="26"/>
      <c r="U605" s="26"/>
      <c r="V605" s="26"/>
      <c r="W605" s="26"/>
      <c r="X605" s="26"/>
    </row>
    <row r="606" hidden="1">
      <c r="A606" s="10" t="s">
        <v>427</v>
      </c>
      <c r="B606" s="10" t="s">
        <v>2066</v>
      </c>
      <c r="C606" s="27" t="s">
        <v>2067</v>
      </c>
      <c r="D606" s="10" t="s">
        <v>2068</v>
      </c>
      <c r="E606" s="28" t="s">
        <v>418</v>
      </c>
      <c r="F606" s="23" t="s">
        <v>419</v>
      </c>
      <c r="G606" s="23" t="s">
        <v>521</v>
      </c>
      <c r="H606" s="23" t="s">
        <v>242</v>
      </c>
      <c r="I606" s="32"/>
      <c r="J606" s="23" t="s">
        <v>6</v>
      </c>
      <c r="K606" s="23" t="str">
        <f t="shared" si="1"/>
        <v>666761</v>
      </c>
      <c r="L606" s="23"/>
      <c r="M606" s="26"/>
      <c r="N606" s="26"/>
      <c r="O606" s="26"/>
      <c r="P606" s="26"/>
      <c r="Q606" s="26"/>
      <c r="R606" s="26"/>
      <c r="S606" s="26"/>
      <c r="T606" s="26"/>
      <c r="U606" s="26"/>
      <c r="V606" s="26"/>
      <c r="W606" s="26"/>
      <c r="X606" s="26"/>
    </row>
    <row r="607" hidden="1">
      <c r="A607" s="10" t="s">
        <v>427</v>
      </c>
      <c r="B607" s="10" t="s">
        <v>2069</v>
      </c>
      <c r="C607" s="27" t="s">
        <v>2070</v>
      </c>
      <c r="D607" s="10" t="s">
        <v>2071</v>
      </c>
      <c r="E607" s="28" t="s">
        <v>418</v>
      </c>
      <c r="F607" s="23" t="s">
        <v>419</v>
      </c>
      <c r="G607" s="23" t="s">
        <v>521</v>
      </c>
      <c r="H607" s="23" t="s">
        <v>242</v>
      </c>
      <c r="I607" s="32"/>
      <c r="J607" s="23" t="s">
        <v>6</v>
      </c>
      <c r="K607" s="23" t="str">
        <f t="shared" si="1"/>
        <v>666808</v>
      </c>
      <c r="L607" s="23"/>
      <c r="M607" s="23"/>
      <c r="N607" s="23"/>
      <c r="O607" s="23"/>
      <c r="P607" s="23"/>
      <c r="Q607" s="23"/>
      <c r="R607" s="23"/>
      <c r="S607" s="23"/>
      <c r="T607" s="23"/>
      <c r="U607" s="23"/>
      <c r="V607" s="23"/>
      <c r="W607" s="23"/>
      <c r="X607" s="23"/>
    </row>
    <row r="608" hidden="1">
      <c r="A608" s="10" t="s">
        <v>427</v>
      </c>
      <c r="B608" s="10" t="s">
        <v>2072</v>
      </c>
      <c r="C608" s="27" t="s">
        <v>2073</v>
      </c>
      <c r="D608" s="10" t="s">
        <v>2074</v>
      </c>
      <c r="E608" s="28" t="s">
        <v>534</v>
      </c>
      <c r="F608" s="23" t="s">
        <v>757</v>
      </c>
      <c r="G608" s="23" t="s">
        <v>521</v>
      </c>
      <c r="H608" s="23" t="s">
        <v>242</v>
      </c>
      <c r="I608" s="32"/>
      <c r="J608" s="23" t="s">
        <v>6</v>
      </c>
      <c r="K608" s="23" t="str">
        <f t="shared" si="1"/>
        <v>666785</v>
      </c>
      <c r="L608" s="23"/>
      <c r="M608" s="26"/>
      <c r="N608" s="26"/>
      <c r="O608" s="26"/>
      <c r="P608" s="26"/>
      <c r="Q608" s="26"/>
      <c r="R608" s="26"/>
      <c r="S608" s="26"/>
      <c r="T608" s="26"/>
      <c r="U608" s="26"/>
      <c r="V608" s="26"/>
      <c r="W608" s="26"/>
      <c r="X608" s="26"/>
    </row>
    <row r="609" hidden="1">
      <c r="A609" s="10" t="s">
        <v>427</v>
      </c>
      <c r="B609" s="10" t="s">
        <v>2075</v>
      </c>
      <c r="C609" s="27" t="s">
        <v>2076</v>
      </c>
      <c r="D609" s="10" t="s">
        <v>2077</v>
      </c>
      <c r="E609" s="28" t="s">
        <v>534</v>
      </c>
      <c r="F609" s="23" t="s">
        <v>535</v>
      </c>
      <c r="G609" s="23" t="s">
        <v>521</v>
      </c>
      <c r="H609" s="23" t="s">
        <v>242</v>
      </c>
      <c r="I609" s="32"/>
      <c r="J609" s="23" t="s">
        <v>6</v>
      </c>
      <c r="K609" s="23" t="str">
        <f t="shared" si="1"/>
        <v>667027</v>
      </c>
      <c r="L609" s="23"/>
      <c r="M609" s="26"/>
      <c r="N609" s="26"/>
      <c r="O609" s="26"/>
      <c r="P609" s="26"/>
      <c r="Q609" s="26"/>
      <c r="R609" s="26"/>
      <c r="S609" s="26"/>
      <c r="T609" s="26"/>
      <c r="U609" s="26"/>
      <c r="V609" s="26"/>
      <c r="W609" s="26"/>
      <c r="X609" s="26"/>
    </row>
    <row r="610" hidden="1">
      <c r="A610" s="10" t="s">
        <v>427</v>
      </c>
      <c r="B610" s="10" t="s">
        <v>2078</v>
      </c>
      <c r="C610" s="27" t="s">
        <v>2079</v>
      </c>
      <c r="D610" s="10" t="s">
        <v>2080</v>
      </c>
      <c r="E610" s="28" t="s">
        <v>534</v>
      </c>
      <c r="F610" s="23" t="s">
        <v>535</v>
      </c>
      <c r="G610" s="23" t="s">
        <v>521</v>
      </c>
      <c r="H610" s="23" t="s">
        <v>242</v>
      </c>
      <c r="I610" s="32"/>
      <c r="J610" s="23" t="s">
        <v>6</v>
      </c>
      <c r="K610" s="23" t="str">
        <f t="shared" si="1"/>
        <v>667034</v>
      </c>
      <c r="L610" s="23"/>
      <c r="M610" s="26"/>
      <c r="N610" s="26"/>
      <c r="O610" s="26"/>
      <c r="P610" s="26"/>
      <c r="Q610" s="26"/>
      <c r="R610" s="26"/>
      <c r="S610" s="26"/>
      <c r="T610" s="26"/>
      <c r="U610" s="26"/>
      <c r="V610" s="26"/>
      <c r="W610" s="26"/>
      <c r="X610" s="26"/>
    </row>
    <row r="611" hidden="1">
      <c r="A611" s="10" t="s">
        <v>427</v>
      </c>
      <c r="B611" s="10" t="s">
        <v>2081</v>
      </c>
      <c r="C611" s="27" t="s">
        <v>2082</v>
      </c>
      <c r="D611" s="10" t="s">
        <v>2083</v>
      </c>
      <c r="E611" s="28" t="s">
        <v>534</v>
      </c>
      <c r="F611" s="23" t="s">
        <v>757</v>
      </c>
      <c r="G611" s="23" t="s">
        <v>521</v>
      </c>
      <c r="H611" s="23" t="s">
        <v>242</v>
      </c>
      <c r="I611" s="32"/>
      <c r="J611" s="23" t="s">
        <v>6</v>
      </c>
      <c r="K611" s="23" t="str">
        <f t="shared" si="1"/>
        <v>672977</v>
      </c>
      <c r="L611" s="23"/>
      <c r="M611" s="26"/>
      <c r="N611" s="26"/>
      <c r="O611" s="26"/>
      <c r="P611" s="26"/>
      <c r="Q611" s="26"/>
      <c r="R611" s="26"/>
      <c r="S611" s="26"/>
      <c r="T611" s="26"/>
      <c r="U611" s="26"/>
      <c r="V611" s="26"/>
      <c r="W611" s="26"/>
      <c r="X611" s="26"/>
    </row>
    <row r="612" hidden="1">
      <c r="A612" s="10" t="s">
        <v>427</v>
      </c>
      <c r="B612" s="10" t="s">
        <v>2084</v>
      </c>
      <c r="C612" s="27" t="s">
        <v>2085</v>
      </c>
      <c r="D612" s="10" t="s">
        <v>2086</v>
      </c>
      <c r="E612" s="28" t="s">
        <v>431</v>
      </c>
      <c r="F612" s="23" t="s">
        <v>946</v>
      </c>
      <c r="G612" s="23" t="s">
        <v>521</v>
      </c>
      <c r="H612" s="23" t="s">
        <v>242</v>
      </c>
      <c r="I612" s="32"/>
      <c r="J612" s="23" t="s">
        <v>6</v>
      </c>
      <c r="K612" s="23" t="str">
        <f t="shared" si="1"/>
        <v>674124</v>
      </c>
      <c r="L612" s="23"/>
      <c r="M612" s="26"/>
      <c r="N612" s="26"/>
      <c r="O612" s="26"/>
      <c r="P612" s="26"/>
      <c r="Q612" s="26"/>
      <c r="R612" s="26"/>
      <c r="S612" s="26"/>
      <c r="T612" s="26"/>
      <c r="U612" s="26"/>
      <c r="V612" s="26"/>
      <c r="W612" s="26"/>
      <c r="X612" s="26"/>
    </row>
    <row r="613" hidden="1">
      <c r="A613" s="10" t="s">
        <v>427</v>
      </c>
      <c r="B613" s="10" t="s">
        <v>2087</v>
      </c>
      <c r="C613" s="27" t="s">
        <v>2088</v>
      </c>
      <c r="D613" s="10" t="s">
        <v>2089</v>
      </c>
      <c r="E613" s="28" t="s">
        <v>418</v>
      </c>
      <c r="F613" s="23" t="s">
        <v>977</v>
      </c>
      <c r="G613" s="23" t="s">
        <v>521</v>
      </c>
      <c r="H613" s="23" t="s">
        <v>242</v>
      </c>
      <c r="I613" s="32"/>
      <c r="J613" s="23" t="s">
        <v>6</v>
      </c>
      <c r="K613" s="23" t="str">
        <f t="shared" si="1"/>
        <v>673066</v>
      </c>
      <c r="L613" s="23"/>
      <c r="M613" s="26"/>
      <c r="N613" s="26"/>
      <c r="O613" s="26"/>
      <c r="P613" s="26"/>
      <c r="Q613" s="26"/>
      <c r="R613" s="26"/>
      <c r="S613" s="26"/>
      <c r="T613" s="26"/>
      <c r="U613" s="26"/>
      <c r="V613" s="26"/>
      <c r="W613" s="26"/>
      <c r="X613" s="26"/>
    </row>
    <row r="614" hidden="1">
      <c r="A614" s="10" t="s">
        <v>427</v>
      </c>
      <c r="B614" s="10" t="s">
        <v>2090</v>
      </c>
      <c r="C614" s="27" t="s">
        <v>2091</v>
      </c>
      <c r="D614" s="10" t="s">
        <v>2092</v>
      </c>
      <c r="E614" s="28" t="s">
        <v>418</v>
      </c>
      <c r="F614" s="23" t="s">
        <v>419</v>
      </c>
      <c r="G614" s="23" t="s">
        <v>521</v>
      </c>
      <c r="H614" s="23" t="s">
        <v>242</v>
      </c>
      <c r="I614" s="32"/>
      <c r="J614" s="23" t="s">
        <v>6</v>
      </c>
      <c r="K614" s="23" t="str">
        <f t="shared" si="1"/>
        <v>673981</v>
      </c>
      <c r="L614" s="23"/>
      <c r="M614" s="26"/>
      <c r="N614" s="26"/>
      <c r="O614" s="26"/>
      <c r="P614" s="26"/>
      <c r="Q614" s="26"/>
      <c r="R614" s="26"/>
      <c r="S614" s="26"/>
      <c r="T614" s="26"/>
      <c r="U614" s="26"/>
      <c r="V614" s="26"/>
      <c r="W614" s="26"/>
      <c r="X614" s="26"/>
    </row>
    <row r="615" hidden="1">
      <c r="A615" s="10" t="s">
        <v>427</v>
      </c>
      <c r="B615" s="10" t="s">
        <v>2093</v>
      </c>
      <c r="C615" s="27" t="s">
        <v>2094</v>
      </c>
      <c r="D615" s="10" t="s">
        <v>2095</v>
      </c>
      <c r="E615" s="28" t="s">
        <v>431</v>
      </c>
      <c r="F615" s="23" t="s">
        <v>950</v>
      </c>
      <c r="G615" s="23" t="s">
        <v>521</v>
      </c>
      <c r="H615" s="23" t="s">
        <v>242</v>
      </c>
      <c r="I615" s="32"/>
      <c r="J615" s="23" t="s">
        <v>6</v>
      </c>
      <c r="K615" s="23" t="str">
        <f t="shared" si="1"/>
        <v>674131</v>
      </c>
      <c r="L615" s="23"/>
      <c r="M615" s="26"/>
      <c r="N615" s="26"/>
      <c r="O615" s="26"/>
      <c r="P615" s="26"/>
      <c r="Q615" s="26"/>
      <c r="R615" s="26"/>
      <c r="S615" s="26"/>
      <c r="T615" s="26"/>
      <c r="U615" s="26"/>
      <c r="V615" s="26"/>
      <c r="W615" s="26"/>
      <c r="X615" s="26"/>
    </row>
    <row r="616" hidden="1">
      <c r="A616" s="10" t="s">
        <v>427</v>
      </c>
      <c r="B616" s="10" t="s">
        <v>2096</v>
      </c>
      <c r="C616" s="27" t="s">
        <v>2097</v>
      </c>
      <c r="D616" s="10" t="s">
        <v>2098</v>
      </c>
      <c r="E616" s="28" t="s">
        <v>529</v>
      </c>
      <c r="F616" s="23" t="s">
        <v>530</v>
      </c>
      <c r="G616" s="23" t="s">
        <v>521</v>
      </c>
      <c r="H616" s="23" t="s">
        <v>242</v>
      </c>
      <c r="I616" s="32"/>
      <c r="J616" s="23" t="s">
        <v>6</v>
      </c>
      <c r="K616" s="23" t="str">
        <f t="shared" si="1"/>
        <v>671406</v>
      </c>
      <c r="L616" s="23"/>
      <c r="M616" s="26"/>
      <c r="N616" s="26"/>
      <c r="O616" s="26"/>
      <c r="P616" s="26"/>
      <c r="Q616" s="26"/>
      <c r="R616" s="26"/>
      <c r="S616" s="26"/>
      <c r="T616" s="26"/>
      <c r="U616" s="26"/>
      <c r="V616" s="26"/>
      <c r="W616" s="26"/>
      <c r="X616" s="26"/>
    </row>
    <row r="617" hidden="1">
      <c r="A617" s="10" t="s">
        <v>427</v>
      </c>
      <c r="B617" s="10" t="s">
        <v>2099</v>
      </c>
      <c r="C617" s="27" t="s">
        <v>2100</v>
      </c>
      <c r="D617" s="10" t="s">
        <v>2101</v>
      </c>
      <c r="E617" s="28" t="s">
        <v>418</v>
      </c>
      <c r="F617" s="23" t="s">
        <v>977</v>
      </c>
      <c r="G617" s="23" t="s">
        <v>521</v>
      </c>
      <c r="H617" s="23" t="s">
        <v>242</v>
      </c>
      <c r="I617" s="32"/>
      <c r="J617" s="23" t="s">
        <v>6</v>
      </c>
      <c r="K617" s="23" t="str">
        <f t="shared" si="1"/>
        <v>672762</v>
      </c>
      <c r="L617" s="23"/>
      <c r="M617" s="26"/>
      <c r="N617" s="26"/>
      <c r="O617" s="26"/>
      <c r="P617" s="26"/>
      <c r="Q617" s="26"/>
      <c r="R617" s="26"/>
      <c r="S617" s="26"/>
      <c r="T617" s="26"/>
      <c r="U617" s="26"/>
      <c r="V617" s="26"/>
      <c r="W617" s="26"/>
      <c r="X617" s="26"/>
    </row>
    <row r="618" hidden="1">
      <c r="A618" s="10" t="s">
        <v>427</v>
      </c>
      <c r="B618" s="10" t="s">
        <v>2102</v>
      </c>
      <c r="C618" s="27" t="s">
        <v>2103</v>
      </c>
      <c r="D618" s="10" t="s">
        <v>2104</v>
      </c>
      <c r="E618" s="28" t="s">
        <v>534</v>
      </c>
      <c r="F618" s="23" t="s">
        <v>757</v>
      </c>
      <c r="G618" s="23" t="s">
        <v>521</v>
      </c>
      <c r="H618" s="23" t="s">
        <v>242</v>
      </c>
      <c r="I618" s="32"/>
      <c r="J618" s="23" t="s">
        <v>6</v>
      </c>
      <c r="K618" s="23" t="str">
        <f t="shared" si="1"/>
        <v>673967</v>
      </c>
      <c r="L618" s="23"/>
      <c r="M618" s="26"/>
      <c r="N618" s="26"/>
      <c r="O618" s="26"/>
      <c r="P618" s="26"/>
      <c r="Q618" s="26"/>
      <c r="R618" s="26"/>
      <c r="S618" s="26"/>
      <c r="T618" s="26"/>
      <c r="U618" s="26"/>
      <c r="V618" s="26"/>
      <c r="W618" s="26"/>
      <c r="X618" s="26"/>
    </row>
    <row r="619" hidden="1">
      <c r="A619" s="10" t="s">
        <v>427</v>
      </c>
      <c r="B619" s="10" t="s">
        <v>2105</v>
      </c>
      <c r="C619" s="27" t="s">
        <v>2106</v>
      </c>
      <c r="D619" s="10" t="s">
        <v>2107</v>
      </c>
      <c r="E619" s="28" t="s">
        <v>431</v>
      </c>
      <c r="F619" s="23" t="s">
        <v>946</v>
      </c>
      <c r="G619" s="23" t="s">
        <v>521</v>
      </c>
      <c r="H619" s="23" t="s">
        <v>242</v>
      </c>
      <c r="I619" s="32"/>
      <c r="J619" s="23" t="s">
        <v>6</v>
      </c>
      <c r="K619" s="23" t="str">
        <f t="shared" si="1"/>
        <v>674117</v>
      </c>
      <c r="L619" s="23"/>
      <c r="M619" s="26"/>
      <c r="N619" s="26"/>
      <c r="O619" s="26"/>
      <c r="P619" s="26"/>
      <c r="Q619" s="26"/>
      <c r="R619" s="26"/>
      <c r="S619" s="26"/>
      <c r="T619" s="26"/>
      <c r="U619" s="26"/>
      <c r="V619" s="26"/>
      <c r="W619" s="26"/>
      <c r="X619" s="26"/>
    </row>
    <row r="620" hidden="1">
      <c r="A620" s="10" t="s">
        <v>427</v>
      </c>
      <c r="B620" s="10" t="s">
        <v>2108</v>
      </c>
      <c r="C620" s="27" t="s">
        <v>2109</v>
      </c>
      <c r="D620" s="10" t="s">
        <v>2110</v>
      </c>
      <c r="E620" s="28" t="s">
        <v>418</v>
      </c>
      <c r="F620" s="23" t="s">
        <v>419</v>
      </c>
      <c r="G620" s="23" t="s">
        <v>521</v>
      </c>
      <c r="H620" s="23" t="s">
        <v>242</v>
      </c>
      <c r="I620" s="32"/>
      <c r="J620" s="23" t="s">
        <v>6</v>
      </c>
      <c r="K620" s="23" t="str">
        <f t="shared" si="1"/>
        <v>673974</v>
      </c>
      <c r="L620" s="23"/>
      <c r="M620" s="26"/>
      <c r="N620" s="26"/>
      <c r="O620" s="26"/>
      <c r="P620" s="26"/>
      <c r="Q620" s="26"/>
      <c r="R620" s="26"/>
      <c r="S620" s="26"/>
      <c r="T620" s="26"/>
      <c r="U620" s="26"/>
      <c r="V620" s="26"/>
      <c r="W620" s="26"/>
      <c r="X620" s="26"/>
    </row>
    <row r="621" hidden="1">
      <c r="A621" s="10" t="s">
        <v>427</v>
      </c>
      <c r="B621" s="10" t="s">
        <v>2111</v>
      </c>
      <c r="C621" s="27" t="s">
        <v>2112</v>
      </c>
      <c r="D621" s="10" t="s">
        <v>2113</v>
      </c>
      <c r="E621" s="28" t="s">
        <v>418</v>
      </c>
      <c r="F621" s="23" t="s">
        <v>977</v>
      </c>
      <c r="G621" s="23" t="s">
        <v>203</v>
      </c>
      <c r="H621" s="23" t="s">
        <v>242</v>
      </c>
      <c r="I621" s="32"/>
      <c r="J621" s="23" t="s">
        <v>6</v>
      </c>
      <c r="K621" s="23" t="str">
        <f t="shared" si="1"/>
        <v>675466</v>
      </c>
      <c r="L621" s="23"/>
      <c r="M621" s="26"/>
      <c r="N621" s="26"/>
      <c r="O621" s="26"/>
      <c r="P621" s="26"/>
      <c r="Q621" s="26"/>
      <c r="R621" s="26"/>
      <c r="S621" s="26"/>
      <c r="T621" s="26"/>
      <c r="U621" s="26"/>
      <c r="V621" s="26"/>
      <c r="W621" s="26"/>
      <c r="X621" s="26"/>
    </row>
    <row r="622" hidden="1">
      <c r="A622" s="10" t="s">
        <v>427</v>
      </c>
      <c r="B622" s="10" t="s">
        <v>2114</v>
      </c>
      <c r="C622" s="27" t="s">
        <v>2115</v>
      </c>
      <c r="D622" s="10" t="s">
        <v>2113</v>
      </c>
      <c r="E622" s="28" t="s">
        <v>418</v>
      </c>
      <c r="F622" s="23" t="s">
        <v>419</v>
      </c>
      <c r="G622" s="23" t="s">
        <v>203</v>
      </c>
      <c r="H622" s="23" t="s">
        <v>242</v>
      </c>
      <c r="I622" s="32"/>
      <c r="J622" s="23" t="s">
        <v>6</v>
      </c>
      <c r="K622" s="23" t="str">
        <f t="shared" si="1"/>
        <v>675558</v>
      </c>
      <c r="L622" s="23"/>
      <c r="M622" s="26"/>
      <c r="N622" s="26"/>
      <c r="O622" s="26"/>
      <c r="P622" s="26"/>
      <c r="Q622" s="26"/>
      <c r="R622" s="26"/>
      <c r="S622" s="26"/>
      <c r="T622" s="26"/>
      <c r="U622" s="26"/>
      <c r="V622" s="26"/>
      <c r="W622" s="26"/>
      <c r="X622" s="26"/>
    </row>
    <row r="623" hidden="1">
      <c r="A623" s="10" t="s">
        <v>427</v>
      </c>
      <c r="B623" s="10" t="s">
        <v>2116</v>
      </c>
      <c r="C623" s="27" t="s">
        <v>2117</v>
      </c>
      <c r="D623" s="10" t="s">
        <v>2118</v>
      </c>
      <c r="E623" s="28" t="s">
        <v>431</v>
      </c>
      <c r="F623" s="23" t="s">
        <v>1788</v>
      </c>
      <c r="G623" s="23" t="s">
        <v>203</v>
      </c>
      <c r="H623" s="23" t="s">
        <v>242</v>
      </c>
      <c r="I623" s="32"/>
      <c r="J623" s="23" t="s">
        <v>6</v>
      </c>
      <c r="K623" s="23" t="str">
        <f t="shared" si="1"/>
        <v>631202</v>
      </c>
      <c r="L623" s="23"/>
      <c r="M623" s="26"/>
      <c r="N623" s="26"/>
      <c r="O623" s="26"/>
      <c r="P623" s="26"/>
      <c r="Q623" s="26"/>
      <c r="R623" s="26"/>
      <c r="S623" s="26"/>
      <c r="T623" s="26"/>
      <c r="U623" s="26"/>
      <c r="V623" s="26"/>
      <c r="W623" s="26"/>
      <c r="X623" s="26"/>
    </row>
    <row r="624" hidden="1">
      <c r="A624" s="10" t="s">
        <v>427</v>
      </c>
      <c r="B624" s="10" t="s">
        <v>2119</v>
      </c>
      <c r="C624" s="27" t="s">
        <v>2120</v>
      </c>
      <c r="D624" s="10" t="s">
        <v>2121</v>
      </c>
      <c r="E624" s="28" t="s">
        <v>431</v>
      </c>
      <c r="F624" s="23" t="s">
        <v>1053</v>
      </c>
      <c r="G624" s="23" t="s">
        <v>203</v>
      </c>
      <c r="H624" s="23" t="s">
        <v>242</v>
      </c>
      <c r="I624" s="32"/>
      <c r="J624" s="23" t="s">
        <v>6</v>
      </c>
      <c r="K624" s="23" t="str">
        <f t="shared" si="1"/>
        <v>670423</v>
      </c>
      <c r="L624" s="23"/>
      <c r="M624" s="26"/>
      <c r="N624" s="26"/>
      <c r="O624" s="26"/>
      <c r="P624" s="26"/>
      <c r="Q624" s="26"/>
      <c r="R624" s="26"/>
      <c r="S624" s="26"/>
      <c r="T624" s="26"/>
      <c r="U624" s="26"/>
      <c r="V624" s="26"/>
      <c r="W624" s="26"/>
      <c r="X624" s="26"/>
    </row>
    <row r="625" hidden="1">
      <c r="A625" s="10" t="s">
        <v>427</v>
      </c>
      <c r="B625" s="10" t="s">
        <v>2122</v>
      </c>
      <c r="C625" s="27" t="s">
        <v>2123</v>
      </c>
      <c r="D625" s="10" t="s">
        <v>2124</v>
      </c>
      <c r="E625" s="28" t="s">
        <v>431</v>
      </c>
      <c r="F625" s="23" t="s">
        <v>946</v>
      </c>
      <c r="G625" s="23" t="s">
        <v>203</v>
      </c>
      <c r="H625" s="23" t="s">
        <v>242</v>
      </c>
      <c r="I625" s="32"/>
      <c r="J625" s="23" t="s">
        <v>6</v>
      </c>
      <c r="K625" s="23" t="str">
        <f t="shared" si="1"/>
        <v>631646</v>
      </c>
      <c r="L625" s="23"/>
      <c r="M625" s="23"/>
      <c r="N625" s="23"/>
      <c r="O625" s="23"/>
      <c r="P625" s="23"/>
      <c r="Q625" s="23"/>
      <c r="R625" s="23"/>
      <c r="S625" s="23"/>
      <c r="T625" s="23"/>
      <c r="U625" s="23"/>
      <c r="V625" s="23"/>
      <c r="W625" s="23"/>
      <c r="X625" s="23"/>
    </row>
    <row r="626" hidden="1">
      <c r="A626" s="10" t="s">
        <v>427</v>
      </c>
      <c r="B626" s="10" t="s">
        <v>2125</v>
      </c>
      <c r="C626" s="27" t="s">
        <v>2126</v>
      </c>
      <c r="D626" s="10" t="s">
        <v>2127</v>
      </c>
      <c r="E626" s="28" t="s">
        <v>431</v>
      </c>
      <c r="F626" s="23" t="s">
        <v>933</v>
      </c>
      <c r="G626" s="23" t="s">
        <v>203</v>
      </c>
      <c r="H626" s="23" t="s">
        <v>242</v>
      </c>
      <c r="I626" s="32"/>
      <c r="J626" s="23" t="s">
        <v>6</v>
      </c>
      <c r="K626" s="23" t="str">
        <f t="shared" si="1"/>
        <v>633190</v>
      </c>
      <c r="L626" s="23"/>
      <c r="M626" s="26"/>
      <c r="N626" s="26"/>
      <c r="O626" s="26"/>
      <c r="P626" s="26"/>
      <c r="Q626" s="26"/>
      <c r="R626" s="26"/>
      <c r="S626" s="26"/>
      <c r="T626" s="26"/>
      <c r="U626" s="26"/>
      <c r="V626" s="26"/>
      <c r="W626" s="26"/>
      <c r="X626" s="26"/>
    </row>
    <row r="627" hidden="1">
      <c r="A627" s="10" t="s">
        <v>427</v>
      </c>
      <c r="B627" s="10" t="s">
        <v>2128</v>
      </c>
      <c r="C627" s="27" t="s">
        <v>2129</v>
      </c>
      <c r="D627" s="10" t="s">
        <v>2130</v>
      </c>
      <c r="E627" s="28" t="s">
        <v>418</v>
      </c>
      <c r="F627" s="23" t="s">
        <v>419</v>
      </c>
      <c r="G627" s="23" t="s">
        <v>203</v>
      </c>
      <c r="H627" s="23" t="s">
        <v>242</v>
      </c>
      <c r="I627" s="32"/>
      <c r="J627" s="23" t="s">
        <v>6</v>
      </c>
      <c r="K627" s="23" t="str">
        <f t="shared" si="1"/>
        <v>644479</v>
      </c>
      <c r="L627" s="23"/>
      <c r="M627" s="26"/>
      <c r="N627" s="26"/>
      <c r="O627" s="26"/>
      <c r="P627" s="26"/>
      <c r="Q627" s="26"/>
      <c r="R627" s="26"/>
      <c r="S627" s="26"/>
      <c r="T627" s="26"/>
      <c r="U627" s="26"/>
      <c r="V627" s="26"/>
      <c r="W627" s="26"/>
      <c r="X627" s="26"/>
    </row>
    <row r="628" hidden="1">
      <c r="A628" s="10" t="s">
        <v>427</v>
      </c>
      <c r="B628" s="10" t="s">
        <v>2131</v>
      </c>
      <c r="C628" s="27" t="s">
        <v>2132</v>
      </c>
      <c r="D628" s="10" t="s">
        <v>2133</v>
      </c>
      <c r="E628" s="28" t="s">
        <v>418</v>
      </c>
      <c r="F628" s="23" t="s">
        <v>419</v>
      </c>
      <c r="G628" s="23" t="s">
        <v>203</v>
      </c>
      <c r="H628" s="23" t="s">
        <v>242</v>
      </c>
      <c r="I628" s="32"/>
      <c r="J628" s="23" t="s">
        <v>6</v>
      </c>
      <c r="K628" s="23" t="str">
        <f t="shared" si="1"/>
        <v>663036</v>
      </c>
      <c r="L628" s="23"/>
      <c r="M628" s="26"/>
      <c r="N628" s="26"/>
      <c r="O628" s="26"/>
      <c r="P628" s="26"/>
      <c r="Q628" s="26"/>
      <c r="R628" s="26"/>
      <c r="S628" s="26"/>
      <c r="T628" s="26"/>
      <c r="U628" s="26"/>
      <c r="V628" s="26"/>
      <c r="W628" s="26"/>
      <c r="X628" s="26"/>
    </row>
    <row r="629" hidden="1">
      <c r="A629" s="10" t="s">
        <v>427</v>
      </c>
      <c r="B629" s="10" t="s">
        <v>2134</v>
      </c>
      <c r="C629" s="27" t="s">
        <v>2135</v>
      </c>
      <c r="D629" s="10" t="s">
        <v>2136</v>
      </c>
      <c r="E629" s="28" t="s">
        <v>431</v>
      </c>
      <c r="F629" s="23" t="s">
        <v>1788</v>
      </c>
      <c r="G629" s="23" t="s">
        <v>203</v>
      </c>
      <c r="H629" s="23" t="s">
        <v>242</v>
      </c>
      <c r="I629" s="32"/>
      <c r="J629" s="23" t="s">
        <v>6</v>
      </c>
      <c r="K629" s="23" t="str">
        <f t="shared" si="1"/>
        <v>631219</v>
      </c>
      <c r="L629" s="23"/>
      <c r="M629" s="26"/>
      <c r="N629" s="26"/>
      <c r="O629" s="26"/>
      <c r="P629" s="26"/>
      <c r="Q629" s="26"/>
      <c r="R629" s="26"/>
      <c r="S629" s="26"/>
      <c r="T629" s="26"/>
      <c r="U629" s="26"/>
      <c r="V629" s="26"/>
      <c r="W629" s="26"/>
      <c r="X629" s="26"/>
    </row>
    <row r="630" hidden="1">
      <c r="A630" s="10" t="s">
        <v>427</v>
      </c>
      <c r="B630" s="10" t="s">
        <v>2137</v>
      </c>
      <c r="C630" s="27" t="s">
        <v>2138</v>
      </c>
      <c r="D630" s="10" t="s">
        <v>2139</v>
      </c>
      <c r="E630" s="28" t="s">
        <v>431</v>
      </c>
      <c r="F630" s="23" t="s">
        <v>946</v>
      </c>
      <c r="G630" s="23" t="s">
        <v>203</v>
      </c>
      <c r="H630" s="23" t="s">
        <v>242</v>
      </c>
      <c r="I630" s="32"/>
      <c r="J630" s="23" t="s">
        <v>6</v>
      </c>
      <c r="K630" s="23" t="str">
        <f t="shared" si="1"/>
        <v>631653</v>
      </c>
      <c r="L630" s="23"/>
      <c r="M630" s="26"/>
      <c r="N630" s="26"/>
      <c r="O630" s="26"/>
      <c r="P630" s="26"/>
      <c r="Q630" s="26"/>
      <c r="R630" s="26"/>
      <c r="S630" s="26"/>
      <c r="T630" s="26"/>
      <c r="U630" s="26"/>
      <c r="V630" s="26"/>
      <c r="W630" s="26"/>
      <c r="X630" s="26"/>
    </row>
    <row r="631" hidden="1">
      <c r="A631" s="10" t="s">
        <v>427</v>
      </c>
      <c r="B631" s="10" t="s">
        <v>2140</v>
      </c>
      <c r="C631" s="27" t="s">
        <v>2141</v>
      </c>
      <c r="D631" s="10" t="s">
        <v>2142</v>
      </c>
      <c r="E631" s="28" t="s">
        <v>431</v>
      </c>
      <c r="F631" s="23" t="s">
        <v>933</v>
      </c>
      <c r="G631" s="23" t="s">
        <v>203</v>
      </c>
      <c r="H631" s="23" t="s">
        <v>242</v>
      </c>
      <c r="I631" s="32"/>
      <c r="J631" s="23" t="s">
        <v>6</v>
      </c>
      <c r="K631" s="23" t="str">
        <f t="shared" si="1"/>
        <v>633206</v>
      </c>
      <c r="L631" s="23"/>
      <c r="M631" s="26"/>
      <c r="N631" s="26"/>
      <c r="O631" s="26"/>
      <c r="P631" s="26"/>
      <c r="Q631" s="26"/>
      <c r="R631" s="26"/>
      <c r="S631" s="26"/>
      <c r="T631" s="26"/>
      <c r="U631" s="26"/>
      <c r="V631" s="26"/>
      <c r="W631" s="26"/>
      <c r="X631" s="26"/>
    </row>
    <row r="632" hidden="1">
      <c r="A632" s="10" t="s">
        <v>427</v>
      </c>
      <c r="B632" s="10" t="s">
        <v>2143</v>
      </c>
      <c r="C632" s="27" t="s">
        <v>2144</v>
      </c>
      <c r="D632" s="10" t="s">
        <v>2145</v>
      </c>
      <c r="E632" s="28" t="s">
        <v>418</v>
      </c>
      <c r="F632" s="23" t="s">
        <v>419</v>
      </c>
      <c r="G632" s="23" t="s">
        <v>203</v>
      </c>
      <c r="H632" s="23" t="s">
        <v>242</v>
      </c>
      <c r="I632" s="32"/>
      <c r="J632" s="23" t="s">
        <v>6</v>
      </c>
      <c r="K632" s="23" t="str">
        <f t="shared" si="1"/>
        <v>644455</v>
      </c>
      <c r="L632" s="23"/>
      <c r="M632" s="26"/>
      <c r="N632" s="26"/>
      <c r="O632" s="26"/>
      <c r="P632" s="26"/>
      <c r="Q632" s="26"/>
      <c r="R632" s="26"/>
      <c r="S632" s="26"/>
      <c r="T632" s="26"/>
      <c r="U632" s="26"/>
      <c r="V632" s="26"/>
      <c r="W632" s="26"/>
      <c r="X632" s="26"/>
    </row>
    <row r="633" hidden="1">
      <c r="A633" s="10" t="s">
        <v>427</v>
      </c>
      <c r="B633" s="10" t="s">
        <v>2146</v>
      </c>
      <c r="C633" s="27" t="s">
        <v>2147</v>
      </c>
      <c r="D633" s="10" t="s">
        <v>2148</v>
      </c>
      <c r="E633" s="28" t="s">
        <v>431</v>
      </c>
      <c r="F633" s="23" t="s">
        <v>950</v>
      </c>
      <c r="G633" s="23" t="s">
        <v>521</v>
      </c>
      <c r="H633" s="23" t="s">
        <v>242</v>
      </c>
      <c r="I633" s="32"/>
      <c r="J633" s="23" t="s">
        <v>6</v>
      </c>
      <c r="K633" s="23" t="str">
        <f t="shared" si="1"/>
        <v>632049</v>
      </c>
      <c r="L633" s="23"/>
      <c r="M633" s="26"/>
      <c r="N633" s="26"/>
      <c r="O633" s="26"/>
      <c r="P633" s="26"/>
      <c r="Q633" s="26"/>
      <c r="R633" s="26"/>
      <c r="S633" s="26"/>
      <c r="T633" s="26"/>
      <c r="U633" s="26"/>
      <c r="V633" s="26"/>
      <c r="W633" s="26"/>
      <c r="X633" s="26"/>
    </row>
    <row r="634" hidden="1">
      <c r="A634" s="10" t="s">
        <v>427</v>
      </c>
      <c r="B634" s="10" t="s">
        <v>2149</v>
      </c>
      <c r="C634" s="27" t="s">
        <v>2150</v>
      </c>
      <c r="D634" s="10" t="s">
        <v>2151</v>
      </c>
      <c r="E634" s="28" t="s">
        <v>431</v>
      </c>
      <c r="F634" s="23" t="s">
        <v>946</v>
      </c>
      <c r="G634" s="23" t="s">
        <v>521</v>
      </c>
      <c r="H634" s="23" t="s">
        <v>242</v>
      </c>
      <c r="I634" s="32"/>
      <c r="J634" s="23" t="s">
        <v>6</v>
      </c>
      <c r="K634" s="23" t="str">
        <f t="shared" si="1"/>
        <v>631684</v>
      </c>
      <c r="L634" s="23"/>
      <c r="M634" s="26"/>
      <c r="N634" s="26"/>
      <c r="O634" s="26"/>
      <c r="P634" s="26"/>
      <c r="Q634" s="26"/>
      <c r="R634" s="26"/>
      <c r="S634" s="26"/>
      <c r="T634" s="26"/>
      <c r="U634" s="26"/>
      <c r="V634" s="26"/>
      <c r="W634" s="26"/>
      <c r="X634" s="26"/>
    </row>
    <row r="635" hidden="1">
      <c r="A635" s="10" t="s">
        <v>427</v>
      </c>
      <c r="B635" s="10" t="s">
        <v>2152</v>
      </c>
      <c r="C635" s="27" t="s">
        <v>2153</v>
      </c>
      <c r="D635" s="10" t="s">
        <v>2154</v>
      </c>
      <c r="E635" s="28" t="s">
        <v>431</v>
      </c>
      <c r="F635" s="23" t="s">
        <v>1231</v>
      </c>
      <c r="G635" s="23" t="s">
        <v>521</v>
      </c>
      <c r="H635" s="23" t="s">
        <v>242</v>
      </c>
      <c r="I635" s="32"/>
      <c r="J635" s="23" t="s">
        <v>6</v>
      </c>
      <c r="K635" s="23" t="str">
        <f t="shared" si="1"/>
        <v>632346</v>
      </c>
      <c r="L635" s="23"/>
      <c r="M635" s="23"/>
      <c r="N635" s="23"/>
      <c r="O635" s="23"/>
      <c r="P635" s="23"/>
      <c r="Q635" s="23"/>
      <c r="R635" s="23"/>
      <c r="S635" s="23"/>
      <c r="T635" s="23"/>
      <c r="U635" s="23"/>
      <c r="V635" s="23"/>
      <c r="W635" s="23"/>
      <c r="X635" s="23"/>
    </row>
    <row r="636" hidden="1">
      <c r="A636" s="10" t="s">
        <v>427</v>
      </c>
      <c r="B636" s="10" t="s">
        <v>2155</v>
      </c>
      <c r="C636" s="27" t="s">
        <v>2156</v>
      </c>
      <c r="D636" s="10" t="s">
        <v>2157</v>
      </c>
      <c r="E636" s="28" t="s">
        <v>431</v>
      </c>
      <c r="F636" s="23" t="s">
        <v>933</v>
      </c>
      <c r="G636" s="23" t="s">
        <v>521</v>
      </c>
      <c r="H636" s="23" t="s">
        <v>242</v>
      </c>
      <c r="I636" s="32"/>
      <c r="J636" s="23" t="s">
        <v>6</v>
      </c>
      <c r="K636" s="23" t="str">
        <f t="shared" si="1"/>
        <v>633237</v>
      </c>
      <c r="L636" s="23"/>
      <c r="M636" s="23"/>
      <c r="N636" s="23"/>
      <c r="O636" s="23"/>
      <c r="P636" s="23"/>
      <c r="Q636" s="23"/>
      <c r="R636" s="23"/>
      <c r="S636" s="23"/>
      <c r="T636" s="23"/>
      <c r="U636" s="23"/>
      <c r="V636" s="23"/>
      <c r="W636" s="23"/>
      <c r="X636" s="23"/>
    </row>
    <row r="637" hidden="1">
      <c r="A637" s="10" t="s">
        <v>427</v>
      </c>
      <c r="B637" s="10" t="s">
        <v>2158</v>
      </c>
      <c r="C637" s="27" t="s">
        <v>2159</v>
      </c>
      <c r="D637" s="10" t="s">
        <v>2160</v>
      </c>
      <c r="E637" s="28" t="s">
        <v>431</v>
      </c>
      <c r="F637" s="23" t="s">
        <v>1867</v>
      </c>
      <c r="G637" s="23" t="s">
        <v>521</v>
      </c>
      <c r="H637" s="23" t="s">
        <v>242</v>
      </c>
      <c r="I637" s="32"/>
      <c r="J637" s="23" t="s">
        <v>6</v>
      </c>
      <c r="K637" s="23" t="str">
        <f t="shared" si="1"/>
        <v>650586</v>
      </c>
      <c r="L637" s="23"/>
      <c r="M637" s="23"/>
      <c r="N637" s="23"/>
      <c r="O637" s="23"/>
      <c r="P637" s="23"/>
      <c r="Q637" s="23"/>
      <c r="R637" s="23"/>
      <c r="S637" s="23"/>
      <c r="T637" s="23"/>
      <c r="U637" s="23"/>
      <c r="V637" s="23"/>
      <c r="W637" s="23"/>
      <c r="X637" s="23"/>
    </row>
    <row r="638" hidden="1">
      <c r="A638" s="10" t="s">
        <v>427</v>
      </c>
      <c r="B638" s="10" t="s">
        <v>2161</v>
      </c>
      <c r="C638" s="27" t="s">
        <v>2162</v>
      </c>
      <c r="D638" s="10" t="s">
        <v>2163</v>
      </c>
      <c r="E638" s="28" t="s">
        <v>431</v>
      </c>
      <c r="F638" s="23" t="s">
        <v>950</v>
      </c>
      <c r="G638" s="23" t="s">
        <v>521</v>
      </c>
      <c r="H638" s="23" t="s">
        <v>242</v>
      </c>
      <c r="I638" s="32"/>
      <c r="J638" s="23" t="s">
        <v>6</v>
      </c>
      <c r="K638" s="23" t="str">
        <f t="shared" si="1"/>
        <v>632056</v>
      </c>
      <c r="L638" s="23"/>
      <c r="M638" s="23"/>
      <c r="N638" s="23"/>
      <c r="O638" s="23"/>
      <c r="P638" s="23"/>
      <c r="Q638" s="23"/>
      <c r="R638" s="23"/>
      <c r="S638" s="23"/>
      <c r="T638" s="23"/>
      <c r="U638" s="23"/>
      <c r="V638" s="23"/>
      <c r="W638" s="23"/>
      <c r="X638" s="23"/>
    </row>
    <row r="639" hidden="1">
      <c r="A639" s="10" t="s">
        <v>427</v>
      </c>
      <c r="B639" s="10" t="s">
        <v>2164</v>
      </c>
      <c r="C639" s="27" t="s">
        <v>2165</v>
      </c>
      <c r="D639" s="10" t="s">
        <v>2166</v>
      </c>
      <c r="E639" s="28" t="s">
        <v>431</v>
      </c>
      <c r="F639" s="23" t="s">
        <v>946</v>
      </c>
      <c r="G639" s="23" t="s">
        <v>521</v>
      </c>
      <c r="H639" s="23" t="s">
        <v>242</v>
      </c>
      <c r="I639" s="32"/>
      <c r="J639" s="23" t="s">
        <v>6</v>
      </c>
      <c r="K639" s="23" t="str">
        <f t="shared" si="1"/>
        <v>631691</v>
      </c>
      <c r="L639" s="23"/>
      <c r="M639" s="26"/>
      <c r="N639" s="26"/>
      <c r="O639" s="26"/>
      <c r="P639" s="26"/>
      <c r="Q639" s="26"/>
      <c r="R639" s="26"/>
      <c r="S639" s="26"/>
      <c r="T639" s="26"/>
      <c r="U639" s="26"/>
      <c r="V639" s="26"/>
      <c r="W639" s="26"/>
      <c r="X639" s="26"/>
    </row>
    <row r="640" hidden="1">
      <c r="A640" s="10" t="s">
        <v>427</v>
      </c>
      <c r="B640" s="10" t="s">
        <v>2167</v>
      </c>
      <c r="C640" s="27" t="s">
        <v>2168</v>
      </c>
      <c r="D640" s="10" t="s">
        <v>2169</v>
      </c>
      <c r="E640" s="28" t="s">
        <v>431</v>
      </c>
      <c r="F640" s="23" t="s">
        <v>933</v>
      </c>
      <c r="G640" s="23" t="s">
        <v>521</v>
      </c>
      <c r="H640" s="23" t="s">
        <v>242</v>
      </c>
      <c r="I640" s="32"/>
      <c r="J640" s="23" t="s">
        <v>6</v>
      </c>
      <c r="K640" s="23" t="str">
        <f t="shared" si="1"/>
        <v>633244</v>
      </c>
      <c r="L640" s="23"/>
      <c r="M640" s="26"/>
      <c r="N640" s="26"/>
      <c r="O640" s="26"/>
      <c r="P640" s="26"/>
      <c r="Q640" s="26"/>
      <c r="R640" s="26"/>
      <c r="S640" s="26"/>
      <c r="T640" s="26"/>
      <c r="U640" s="26"/>
      <c r="V640" s="26"/>
      <c r="W640" s="26"/>
      <c r="X640" s="26"/>
    </row>
    <row r="641" hidden="1">
      <c r="A641" s="10" t="s">
        <v>427</v>
      </c>
      <c r="B641" s="10" t="s">
        <v>2170</v>
      </c>
      <c r="C641" s="27" t="s">
        <v>2171</v>
      </c>
      <c r="D641" s="10" t="s">
        <v>2172</v>
      </c>
      <c r="E641" s="28" t="s">
        <v>431</v>
      </c>
      <c r="F641" s="23" t="s">
        <v>1867</v>
      </c>
      <c r="G641" s="23" t="s">
        <v>521</v>
      </c>
      <c r="H641" s="23" t="s">
        <v>242</v>
      </c>
      <c r="I641" s="32"/>
      <c r="J641" s="23" t="s">
        <v>6</v>
      </c>
      <c r="K641" s="23" t="str">
        <f t="shared" si="1"/>
        <v>650593</v>
      </c>
      <c r="L641" s="23"/>
      <c r="M641" s="26"/>
      <c r="N641" s="26"/>
      <c r="O641" s="26"/>
      <c r="P641" s="26"/>
      <c r="Q641" s="26"/>
      <c r="R641" s="26"/>
      <c r="S641" s="26"/>
      <c r="T641" s="26"/>
      <c r="U641" s="26"/>
      <c r="V641" s="26"/>
      <c r="W641" s="26"/>
      <c r="X641" s="26"/>
    </row>
    <row r="642" hidden="1">
      <c r="A642" s="10" t="s">
        <v>427</v>
      </c>
      <c r="B642" s="10" t="s">
        <v>2173</v>
      </c>
      <c r="C642" s="27" t="s">
        <v>2174</v>
      </c>
      <c r="D642" s="10" t="s">
        <v>2175</v>
      </c>
      <c r="E642" s="28" t="s">
        <v>431</v>
      </c>
      <c r="F642" s="23" t="s">
        <v>946</v>
      </c>
      <c r="G642" s="23" t="s">
        <v>521</v>
      </c>
      <c r="H642" s="23" t="s">
        <v>242</v>
      </c>
      <c r="I642" s="32"/>
      <c r="J642" s="23" t="s">
        <v>6</v>
      </c>
      <c r="K642" s="23" t="str">
        <f t="shared" si="1"/>
        <v>631707</v>
      </c>
      <c r="L642" s="23"/>
      <c r="M642" s="26"/>
      <c r="N642" s="26"/>
      <c r="O642" s="26"/>
      <c r="P642" s="26"/>
      <c r="Q642" s="26"/>
      <c r="R642" s="26"/>
      <c r="S642" s="26"/>
      <c r="T642" s="26"/>
      <c r="U642" s="26"/>
      <c r="V642" s="26"/>
      <c r="W642" s="26"/>
      <c r="X642" s="26"/>
    </row>
    <row r="643" hidden="1">
      <c r="A643" s="10" t="s">
        <v>427</v>
      </c>
      <c r="B643" s="10" t="s">
        <v>2176</v>
      </c>
      <c r="C643" s="27" t="s">
        <v>2177</v>
      </c>
      <c r="D643" s="10" t="s">
        <v>2178</v>
      </c>
      <c r="E643" s="28" t="s">
        <v>431</v>
      </c>
      <c r="F643" s="23" t="s">
        <v>1867</v>
      </c>
      <c r="G643" s="23" t="s">
        <v>203</v>
      </c>
      <c r="H643" s="23" t="s">
        <v>242</v>
      </c>
      <c r="I643" s="32"/>
      <c r="J643" s="23" t="s">
        <v>6</v>
      </c>
      <c r="K643" s="23" t="str">
        <f t="shared" si="1"/>
        <v>637341</v>
      </c>
      <c r="L643" s="23"/>
      <c r="M643" s="26"/>
      <c r="N643" s="26"/>
      <c r="O643" s="26"/>
      <c r="P643" s="26"/>
      <c r="Q643" s="26"/>
      <c r="R643" s="26"/>
      <c r="S643" s="26"/>
      <c r="T643" s="26"/>
      <c r="U643" s="26"/>
      <c r="V643" s="26"/>
      <c r="W643" s="26"/>
      <c r="X643" s="26"/>
    </row>
    <row r="644" hidden="1">
      <c r="A644" s="10" t="s">
        <v>427</v>
      </c>
      <c r="B644" s="10" t="s">
        <v>2179</v>
      </c>
      <c r="C644" s="27" t="s">
        <v>2180</v>
      </c>
      <c r="D644" s="10" t="s">
        <v>2181</v>
      </c>
      <c r="E644" s="28" t="s">
        <v>534</v>
      </c>
      <c r="F644" s="23" t="s">
        <v>1238</v>
      </c>
      <c r="G644" s="23" t="s">
        <v>203</v>
      </c>
      <c r="H644" s="23" t="s">
        <v>242</v>
      </c>
      <c r="I644" s="32"/>
      <c r="J644" s="23" t="s">
        <v>6</v>
      </c>
      <c r="K644" s="23" t="str">
        <f t="shared" si="1"/>
        <v>644035</v>
      </c>
      <c r="L644" s="23"/>
      <c r="M644" s="26"/>
      <c r="N644" s="26"/>
      <c r="O644" s="26"/>
      <c r="P644" s="26"/>
      <c r="Q644" s="26"/>
      <c r="R644" s="26"/>
      <c r="S644" s="26"/>
      <c r="T644" s="26"/>
      <c r="U644" s="26"/>
      <c r="V644" s="26"/>
      <c r="W644" s="26"/>
      <c r="X644" s="26"/>
    </row>
    <row r="645" hidden="1">
      <c r="A645" s="10" t="s">
        <v>427</v>
      </c>
      <c r="B645" s="10" t="s">
        <v>2182</v>
      </c>
      <c r="C645" s="27" t="s">
        <v>2183</v>
      </c>
      <c r="D645" s="10" t="s">
        <v>2184</v>
      </c>
      <c r="E645" s="28" t="s">
        <v>431</v>
      </c>
      <c r="F645" s="23" t="s">
        <v>1788</v>
      </c>
      <c r="G645" s="23" t="s">
        <v>203</v>
      </c>
      <c r="H645" s="23" t="s">
        <v>242</v>
      </c>
      <c r="I645" s="32"/>
      <c r="J645" s="23" t="s">
        <v>6</v>
      </c>
      <c r="K645" s="23" t="str">
        <f t="shared" si="1"/>
        <v>627564</v>
      </c>
      <c r="L645" s="23"/>
      <c r="M645" s="26"/>
      <c r="N645" s="26"/>
      <c r="O645" s="26"/>
      <c r="P645" s="26"/>
      <c r="Q645" s="26"/>
      <c r="R645" s="26"/>
      <c r="S645" s="26"/>
      <c r="T645" s="26"/>
      <c r="U645" s="26"/>
      <c r="V645" s="26"/>
      <c r="W645" s="26"/>
      <c r="X645" s="26"/>
    </row>
    <row r="646" hidden="1">
      <c r="A646" s="10" t="s">
        <v>427</v>
      </c>
      <c r="B646" s="10" t="s">
        <v>2185</v>
      </c>
      <c r="C646" s="27" t="s">
        <v>2186</v>
      </c>
      <c r="D646" s="10" t="s">
        <v>2187</v>
      </c>
      <c r="E646" s="28" t="s">
        <v>431</v>
      </c>
      <c r="F646" s="23" t="s">
        <v>432</v>
      </c>
      <c r="G646" s="23" t="s">
        <v>521</v>
      </c>
      <c r="H646" s="23" t="s">
        <v>242</v>
      </c>
      <c r="I646" s="32"/>
      <c r="J646" s="23" t="s">
        <v>6</v>
      </c>
      <c r="K646" s="23" t="str">
        <f t="shared" si="1"/>
        <v>678153</v>
      </c>
      <c r="L646" s="23"/>
      <c r="M646" s="26"/>
      <c r="N646" s="26"/>
      <c r="O646" s="26"/>
      <c r="P646" s="26"/>
      <c r="Q646" s="26"/>
      <c r="R646" s="26"/>
      <c r="S646" s="26"/>
      <c r="T646" s="26"/>
      <c r="U646" s="26"/>
      <c r="V646" s="26"/>
      <c r="W646" s="26"/>
      <c r="X646" s="26"/>
    </row>
    <row r="647" hidden="1">
      <c r="A647" s="10" t="s">
        <v>427</v>
      </c>
      <c r="B647" s="10" t="s">
        <v>2188</v>
      </c>
      <c r="C647" s="27" t="s">
        <v>2189</v>
      </c>
      <c r="D647" s="10" t="s">
        <v>2190</v>
      </c>
      <c r="E647" s="28" t="s">
        <v>431</v>
      </c>
      <c r="F647" s="23" t="s">
        <v>946</v>
      </c>
      <c r="G647" s="23" t="s">
        <v>203</v>
      </c>
      <c r="H647" s="23" t="s">
        <v>242</v>
      </c>
      <c r="I647" s="32"/>
      <c r="J647" s="23" t="s">
        <v>6</v>
      </c>
      <c r="K647" s="23" t="str">
        <f t="shared" si="1"/>
        <v>631714</v>
      </c>
      <c r="L647" s="23"/>
      <c r="M647" s="26"/>
      <c r="N647" s="26"/>
      <c r="O647" s="26"/>
      <c r="P647" s="26"/>
      <c r="Q647" s="26"/>
      <c r="R647" s="26"/>
      <c r="S647" s="26"/>
      <c r="T647" s="26"/>
      <c r="U647" s="26"/>
      <c r="V647" s="26"/>
      <c r="W647" s="26"/>
      <c r="X647" s="26"/>
    </row>
    <row r="648" hidden="1">
      <c r="A648" s="10" t="s">
        <v>427</v>
      </c>
      <c r="B648" s="10" t="s">
        <v>2191</v>
      </c>
      <c r="C648" s="27" t="s">
        <v>2192</v>
      </c>
      <c r="D648" s="10" t="s">
        <v>2193</v>
      </c>
      <c r="E648" s="28" t="s">
        <v>534</v>
      </c>
      <c r="F648" s="23" t="s">
        <v>757</v>
      </c>
      <c r="G648" s="23" t="s">
        <v>203</v>
      </c>
      <c r="H648" s="23" t="s">
        <v>242</v>
      </c>
      <c r="I648" s="32"/>
      <c r="J648" s="23" t="s">
        <v>6</v>
      </c>
      <c r="K648" s="23" t="str">
        <f t="shared" si="1"/>
        <v>643694</v>
      </c>
      <c r="L648" s="23"/>
      <c r="M648" s="26"/>
      <c r="N648" s="26"/>
      <c r="O648" s="26"/>
      <c r="P648" s="26"/>
      <c r="Q648" s="26"/>
      <c r="R648" s="26"/>
      <c r="S648" s="26"/>
      <c r="T648" s="26"/>
      <c r="U648" s="26"/>
      <c r="V648" s="26"/>
      <c r="W648" s="26"/>
      <c r="X648" s="26"/>
    </row>
    <row r="649" hidden="1">
      <c r="A649" s="10" t="s">
        <v>427</v>
      </c>
      <c r="B649" s="10" t="s">
        <v>2194</v>
      </c>
      <c r="C649" s="27" t="s">
        <v>2195</v>
      </c>
      <c r="D649" s="10" t="s">
        <v>2196</v>
      </c>
      <c r="E649" s="28" t="s">
        <v>431</v>
      </c>
      <c r="F649" s="23" t="s">
        <v>946</v>
      </c>
      <c r="G649" s="23" t="s">
        <v>203</v>
      </c>
      <c r="H649" s="23" t="s">
        <v>242</v>
      </c>
      <c r="I649" s="32"/>
      <c r="J649" s="23" t="s">
        <v>6</v>
      </c>
      <c r="K649" s="23" t="str">
        <f t="shared" si="1"/>
        <v>616834</v>
      </c>
      <c r="L649" s="23"/>
      <c r="M649" s="26"/>
      <c r="N649" s="26"/>
      <c r="O649" s="26"/>
      <c r="P649" s="26"/>
      <c r="Q649" s="26"/>
      <c r="R649" s="26"/>
      <c r="S649" s="26"/>
      <c r="T649" s="26"/>
      <c r="U649" s="26"/>
      <c r="V649" s="26"/>
      <c r="W649" s="26"/>
      <c r="X649" s="26"/>
    </row>
    <row r="650" hidden="1">
      <c r="A650" s="10" t="s">
        <v>427</v>
      </c>
      <c r="B650" s="10" t="s">
        <v>2197</v>
      </c>
      <c r="C650" s="27" t="s">
        <v>2198</v>
      </c>
      <c r="D650" s="10" t="s">
        <v>2199</v>
      </c>
      <c r="E650" s="28" t="s">
        <v>534</v>
      </c>
      <c r="F650" s="23" t="s">
        <v>535</v>
      </c>
      <c r="G650" s="23" t="s">
        <v>203</v>
      </c>
      <c r="H650" s="23" t="s">
        <v>242</v>
      </c>
      <c r="I650" s="32"/>
      <c r="J650" s="23" t="s">
        <v>6</v>
      </c>
      <c r="K650" s="23" t="str">
        <f t="shared" si="1"/>
        <v>668345</v>
      </c>
      <c r="L650" s="23"/>
      <c r="M650" s="26"/>
      <c r="N650" s="26"/>
      <c r="O650" s="26"/>
      <c r="P650" s="26"/>
      <c r="Q650" s="26"/>
      <c r="R650" s="26"/>
      <c r="S650" s="26"/>
      <c r="T650" s="26"/>
      <c r="U650" s="26"/>
      <c r="V650" s="26"/>
      <c r="W650" s="26"/>
      <c r="X650" s="26"/>
    </row>
    <row r="651" hidden="1">
      <c r="A651" s="10" t="s">
        <v>427</v>
      </c>
      <c r="B651" s="10" t="s">
        <v>2200</v>
      </c>
      <c r="C651" s="27" t="s">
        <v>2201</v>
      </c>
      <c r="D651" s="10" t="s">
        <v>2202</v>
      </c>
      <c r="E651" s="28" t="s">
        <v>534</v>
      </c>
      <c r="F651" s="23" t="s">
        <v>1238</v>
      </c>
      <c r="G651" s="23" t="s">
        <v>203</v>
      </c>
      <c r="H651" s="23" t="s">
        <v>242</v>
      </c>
      <c r="I651" s="32"/>
      <c r="J651" s="23" t="s">
        <v>6</v>
      </c>
      <c r="K651" s="23" t="str">
        <f t="shared" si="1"/>
        <v>644042</v>
      </c>
      <c r="L651" s="23"/>
      <c r="M651" s="26"/>
      <c r="N651" s="26"/>
      <c r="O651" s="26"/>
      <c r="P651" s="26"/>
      <c r="Q651" s="26"/>
      <c r="R651" s="26"/>
      <c r="S651" s="26"/>
      <c r="T651" s="26"/>
      <c r="U651" s="26"/>
      <c r="V651" s="26"/>
      <c r="W651" s="26"/>
      <c r="X651" s="26"/>
    </row>
    <row r="652" hidden="1">
      <c r="A652" s="10" t="s">
        <v>427</v>
      </c>
      <c r="B652" s="10" t="s">
        <v>2203</v>
      </c>
      <c r="C652" s="27" t="s">
        <v>2204</v>
      </c>
      <c r="D652" s="10" t="s">
        <v>2205</v>
      </c>
      <c r="E652" s="28" t="s">
        <v>431</v>
      </c>
      <c r="F652" s="23" t="s">
        <v>1788</v>
      </c>
      <c r="G652" s="23" t="s">
        <v>203</v>
      </c>
      <c r="H652" s="23" t="s">
        <v>242</v>
      </c>
      <c r="I652" s="32"/>
      <c r="J652" s="23" t="s">
        <v>6</v>
      </c>
      <c r="K652" s="23" t="str">
        <f t="shared" si="1"/>
        <v>627540</v>
      </c>
      <c r="L652" s="23"/>
      <c r="M652" s="26"/>
      <c r="N652" s="26"/>
      <c r="O652" s="26"/>
      <c r="P652" s="26"/>
      <c r="Q652" s="26"/>
      <c r="R652" s="26"/>
      <c r="S652" s="26"/>
      <c r="T652" s="26"/>
      <c r="U652" s="26"/>
      <c r="V652" s="26"/>
      <c r="W652" s="26"/>
      <c r="X652" s="26"/>
    </row>
    <row r="653" hidden="1">
      <c r="A653" s="10" t="s">
        <v>427</v>
      </c>
      <c r="B653" s="10" t="s">
        <v>2206</v>
      </c>
      <c r="C653" s="27" t="s">
        <v>2207</v>
      </c>
      <c r="D653" s="10" t="s">
        <v>2208</v>
      </c>
      <c r="E653" s="28" t="s">
        <v>431</v>
      </c>
      <c r="F653" s="23" t="s">
        <v>432</v>
      </c>
      <c r="G653" s="23" t="s">
        <v>203</v>
      </c>
      <c r="H653" s="23" t="s">
        <v>242</v>
      </c>
      <c r="I653" s="32"/>
      <c r="J653" s="23" t="s">
        <v>6</v>
      </c>
      <c r="K653" s="23" t="str">
        <f t="shared" si="1"/>
        <v>680316</v>
      </c>
      <c r="L653" s="23"/>
      <c r="M653" s="26"/>
      <c r="N653" s="26"/>
      <c r="O653" s="26"/>
      <c r="P653" s="26"/>
      <c r="Q653" s="26"/>
      <c r="R653" s="26"/>
      <c r="S653" s="26"/>
      <c r="T653" s="26"/>
      <c r="U653" s="26"/>
      <c r="V653" s="26"/>
      <c r="W653" s="26"/>
      <c r="X653" s="26"/>
    </row>
    <row r="654" hidden="1">
      <c r="A654" s="10" t="s">
        <v>427</v>
      </c>
      <c r="B654" s="10" t="s">
        <v>2209</v>
      </c>
      <c r="C654" s="27" t="s">
        <v>2210</v>
      </c>
      <c r="D654" s="10" t="s">
        <v>2211</v>
      </c>
      <c r="E654" s="28" t="s">
        <v>431</v>
      </c>
      <c r="F654" s="23" t="s">
        <v>432</v>
      </c>
      <c r="G654" s="23" t="s">
        <v>521</v>
      </c>
      <c r="H654" s="23" t="s">
        <v>242</v>
      </c>
      <c r="I654" s="32"/>
      <c r="J654" s="23" t="s">
        <v>6</v>
      </c>
      <c r="K654" s="23" t="str">
        <f t="shared" si="1"/>
        <v>678160</v>
      </c>
      <c r="L654" s="23"/>
      <c r="M654" s="26"/>
      <c r="N654" s="26"/>
      <c r="O654" s="26"/>
      <c r="P654" s="26"/>
      <c r="Q654" s="26"/>
      <c r="R654" s="26"/>
      <c r="S654" s="26"/>
      <c r="T654" s="26"/>
      <c r="U654" s="26"/>
      <c r="V654" s="26"/>
      <c r="W654" s="26"/>
      <c r="X654" s="26"/>
    </row>
    <row r="655" hidden="1">
      <c r="A655" s="10" t="s">
        <v>427</v>
      </c>
      <c r="B655" s="10" t="s">
        <v>2212</v>
      </c>
      <c r="C655" s="27" t="s">
        <v>2213</v>
      </c>
      <c r="D655" s="10" t="s">
        <v>2214</v>
      </c>
      <c r="E655" s="28" t="s">
        <v>431</v>
      </c>
      <c r="F655" s="23" t="s">
        <v>946</v>
      </c>
      <c r="G655" s="23" t="s">
        <v>521</v>
      </c>
      <c r="H655" s="23" t="s">
        <v>242</v>
      </c>
      <c r="I655" s="32"/>
      <c r="J655" s="23" t="s">
        <v>6</v>
      </c>
      <c r="K655" s="23" t="str">
        <f t="shared" si="1"/>
        <v>636610</v>
      </c>
      <c r="L655" s="23"/>
      <c r="M655" s="26"/>
      <c r="N655" s="26"/>
      <c r="O655" s="26"/>
      <c r="P655" s="26"/>
      <c r="Q655" s="26"/>
      <c r="R655" s="26"/>
      <c r="S655" s="26"/>
      <c r="T655" s="26"/>
      <c r="U655" s="26"/>
      <c r="V655" s="26"/>
      <c r="W655" s="26"/>
      <c r="X655" s="26"/>
    </row>
    <row r="656" hidden="1">
      <c r="A656" s="10" t="s">
        <v>427</v>
      </c>
      <c r="B656" s="10" t="s">
        <v>2215</v>
      </c>
      <c r="C656" s="27" t="s">
        <v>2216</v>
      </c>
      <c r="D656" s="10" t="s">
        <v>2217</v>
      </c>
      <c r="E656" s="28" t="s">
        <v>431</v>
      </c>
      <c r="F656" s="23" t="s">
        <v>946</v>
      </c>
      <c r="G656" s="23" t="s">
        <v>521</v>
      </c>
      <c r="H656" s="23" t="s">
        <v>242</v>
      </c>
      <c r="I656" s="32"/>
      <c r="J656" s="23" t="s">
        <v>6</v>
      </c>
      <c r="K656" s="23" t="str">
        <f t="shared" si="1"/>
        <v>636603</v>
      </c>
      <c r="L656" s="23"/>
      <c r="M656" s="26"/>
      <c r="N656" s="26"/>
      <c r="O656" s="26"/>
      <c r="P656" s="26"/>
      <c r="Q656" s="26"/>
      <c r="R656" s="26"/>
      <c r="S656" s="26"/>
      <c r="T656" s="26"/>
      <c r="U656" s="26"/>
      <c r="V656" s="26"/>
      <c r="W656" s="26"/>
      <c r="X656" s="26"/>
    </row>
    <row r="657" hidden="1">
      <c r="A657" s="10" t="s">
        <v>427</v>
      </c>
      <c r="B657" s="10" t="s">
        <v>2218</v>
      </c>
      <c r="C657" s="27" t="s">
        <v>2219</v>
      </c>
      <c r="D657" s="10" t="s">
        <v>2220</v>
      </c>
      <c r="E657" s="28" t="s">
        <v>529</v>
      </c>
      <c r="F657" s="23" t="s">
        <v>530</v>
      </c>
      <c r="G657" s="23" t="s">
        <v>203</v>
      </c>
      <c r="H657" s="23" t="s">
        <v>242</v>
      </c>
      <c r="I657" s="32"/>
      <c r="J657" s="23" t="s">
        <v>6</v>
      </c>
      <c r="K657" s="23" t="str">
        <f t="shared" si="1"/>
        <v>671178</v>
      </c>
      <c r="L657" s="23"/>
      <c r="M657" s="26"/>
      <c r="N657" s="26"/>
      <c r="O657" s="26"/>
      <c r="P657" s="26"/>
      <c r="Q657" s="26"/>
      <c r="R657" s="26"/>
      <c r="S657" s="26"/>
      <c r="T657" s="26"/>
      <c r="U657" s="26"/>
      <c r="V657" s="26"/>
      <c r="W657" s="26"/>
      <c r="X657" s="26"/>
    </row>
    <row r="658" hidden="1">
      <c r="A658" s="10" t="s">
        <v>427</v>
      </c>
      <c r="B658" s="10" t="s">
        <v>2221</v>
      </c>
      <c r="C658" s="27" t="s">
        <v>2222</v>
      </c>
      <c r="D658" s="10" t="s">
        <v>2223</v>
      </c>
      <c r="E658" s="28" t="s">
        <v>418</v>
      </c>
      <c r="F658" s="23" t="s">
        <v>977</v>
      </c>
      <c r="G658" s="23" t="s">
        <v>203</v>
      </c>
      <c r="H658" s="23" t="s">
        <v>242</v>
      </c>
      <c r="I658" s="32"/>
      <c r="J658" s="23" t="s">
        <v>6</v>
      </c>
      <c r="K658" s="23" t="str">
        <f t="shared" si="1"/>
        <v>671321</v>
      </c>
      <c r="L658" s="23"/>
      <c r="M658" s="26"/>
      <c r="N658" s="26"/>
      <c r="O658" s="26"/>
      <c r="P658" s="26"/>
      <c r="Q658" s="26"/>
      <c r="R658" s="26"/>
      <c r="S658" s="26"/>
      <c r="T658" s="26"/>
      <c r="U658" s="26"/>
      <c r="V658" s="26"/>
      <c r="W658" s="26"/>
      <c r="X658" s="26"/>
    </row>
    <row r="659" hidden="1">
      <c r="A659" s="10" t="s">
        <v>427</v>
      </c>
      <c r="B659" s="10" t="s">
        <v>2224</v>
      </c>
      <c r="C659" s="27" t="s">
        <v>2225</v>
      </c>
      <c r="D659" s="10" t="s">
        <v>2226</v>
      </c>
      <c r="E659" s="28" t="s">
        <v>431</v>
      </c>
      <c r="F659" s="23" t="s">
        <v>1788</v>
      </c>
      <c r="G659" s="23" t="s">
        <v>203</v>
      </c>
      <c r="H659" s="23" t="s">
        <v>242</v>
      </c>
      <c r="I659" s="32"/>
      <c r="J659" s="23" t="s">
        <v>6</v>
      </c>
      <c r="K659" s="23" t="str">
        <f t="shared" si="1"/>
        <v>682914</v>
      </c>
      <c r="L659" s="23"/>
      <c r="M659" s="26"/>
      <c r="N659" s="26"/>
      <c r="O659" s="26"/>
      <c r="P659" s="26"/>
      <c r="Q659" s="26"/>
      <c r="R659" s="26"/>
      <c r="S659" s="26"/>
      <c r="T659" s="26"/>
      <c r="U659" s="26"/>
      <c r="V659" s="26"/>
      <c r="W659" s="26"/>
      <c r="X659" s="26"/>
    </row>
    <row r="660" hidden="1">
      <c r="A660" s="10" t="s">
        <v>427</v>
      </c>
      <c r="B660" s="10" t="s">
        <v>2227</v>
      </c>
      <c r="C660" s="27" t="s">
        <v>2228</v>
      </c>
      <c r="D660" s="10" t="s">
        <v>2229</v>
      </c>
      <c r="E660" s="28" t="s">
        <v>534</v>
      </c>
      <c r="F660" s="23" t="s">
        <v>757</v>
      </c>
      <c r="G660" s="23" t="s">
        <v>203</v>
      </c>
      <c r="H660" s="23" t="s">
        <v>242</v>
      </c>
      <c r="I660" s="32"/>
      <c r="J660" s="23" t="s">
        <v>6</v>
      </c>
      <c r="K660" s="23" t="str">
        <f t="shared" si="1"/>
        <v>643687</v>
      </c>
      <c r="L660" s="23"/>
      <c r="M660" s="26"/>
      <c r="N660" s="26"/>
      <c r="O660" s="26"/>
      <c r="P660" s="26"/>
      <c r="Q660" s="26"/>
      <c r="R660" s="26"/>
      <c r="S660" s="26"/>
      <c r="T660" s="26"/>
      <c r="U660" s="26"/>
      <c r="V660" s="26"/>
      <c r="W660" s="26"/>
      <c r="X660" s="26"/>
    </row>
    <row r="661" hidden="1">
      <c r="A661" s="10" t="s">
        <v>427</v>
      </c>
      <c r="B661" s="10" t="s">
        <v>2230</v>
      </c>
      <c r="C661" s="27" t="s">
        <v>2231</v>
      </c>
      <c r="D661" s="10" t="s">
        <v>2232</v>
      </c>
      <c r="E661" s="28" t="s">
        <v>431</v>
      </c>
      <c r="F661" s="23" t="s">
        <v>432</v>
      </c>
      <c r="G661" s="23" t="s">
        <v>203</v>
      </c>
      <c r="H661" s="23" t="s">
        <v>242</v>
      </c>
      <c r="I661" s="32"/>
      <c r="J661" s="23" t="s">
        <v>6</v>
      </c>
      <c r="K661" s="23" t="str">
        <f t="shared" si="1"/>
        <v>678924</v>
      </c>
      <c r="L661" s="23"/>
      <c r="M661" s="26"/>
      <c r="N661" s="26"/>
      <c r="O661" s="26"/>
      <c r="P661" s="26"/>
      <c r="Q661" s="26"/>
      <c r="R661" s="26"/>
      <c r="S661" s="26"/>
      <c r="T661" s="26"/>
      <c r="U661" s="26"/>
      <c r="V661" s="26"/>
      <c r="W661" s="26"/>
      <c r="X661" s="26"/>
    </row>
    <row r="662" hidden="1">
      <c r="A662" s="10" t="s">
        <v>427</v>
      </c>
      <c r="B662" s="10" t="s">
        <v>2233</v>
      </c>
      <c r="C662" s="27" t="s">
        <v>2234</v>
      </c>
      <c r="D662" s="10" t="s">
        <v>2235</v>
      </c>
      <c r="E662" s="28" t="s">
        <v>431</v>
      </c>
      <c r="F662" s="23" t="s">
        <v>950</v>
      </c>
      <c r="G662" s="23" t="s">
        <v>203</v>
      </c>
      <c r="H662" s="23" t="s">
        <v>242</v>
      </c>
      <c r="I662" s="32"/>
      <c r="J662" s="23" t="s">
        <v>6</v>
      </c>
      <c r="K662" s="23" t="str">
        <f t="shared" si="1"/>
        <v>627786</v>
      </c>
      <c r="L662" s="23"/>
      <c r="M662" s="26"/>
      <c r="N662" s="26"/>
      <c r="O662" s="26"/>
      <c r="P662" s="26"/>
      <c r="Q662" s="26"/>
      <c r="R662" s="26"/>
      <c r="S662" s="26"/>
      <c r="T662" s="26"/>
      <c r="U662" s="26"/>
      <c r="V662" s="26"/>
      <c r="W662" s="26"/>
      <c r="X662" s="26"/>
    </row>
    <row r="663" hidden="1">
      <c r="A663" s="10" t="s">
        <v>427</v>
      </c>
      <c r="B663" s="10" t="s">
        <v>2236</v>
      </c>
      <c r="C663" s="27" t="s">
        <v>2237</v>
      </c>
      <c r="D663" s="10" t="s">
        <v>2238</v>
      </c>
      <c r="E663" s="28" t="s">
        <v>431</v>
      </c>
      <c r="F663" s="23" t="s">
        <v>946</v>
      </c>
      <c r="G663" s="23" t="s">
        <v>203</v>
      </c>
      <c r="H663" s="23" t="s">
        <v>242</v>
      </c>
      <c r="I663" s="32"/>
      <c r="J663" s="23" t="s">
        <v>6</v>
      </c>
      <c r="K663" s="23" t="str">
        <f t="shared" si="1"/>
        <v>616827</v>
      </c>
      <c r="L663" s="23"/>
      <c r="M663" s="26"/>
      <c r="N663" s="26"/>
      <c r="O663" s="26"/>
      <c r="P663" s="26"/>
      <c r="Q663" s="26"/>
      <c r="R663" s="26"/>
      <c r="S663" s="26"/>
      <c r="T663" s="26"/>
      <c r="U663" s="26"/>
      <c r="V663" s="26"/>
      <c r="W663" s="26"/>
      <c r="X663" s="26"/>
    </row>
    <row r="664" hidden="1">
      <c r="A664" s="10" t="s">
        <v>427</v>
      </c>
      <c r="B664" s="10" t="s">
        <v>2239</v>
      </c>
      <c r="C664" s="27" t="s">
        <v>2240</v>
      </c>
      <c r="D664" s="10" t="s">
        <v>2241</v>
      </c>
      <c r="E664" s="28" t="s">
        <v>431</v>
      </c>
      <c r="F664" s="23" t="s">
        <v>933</v>
      </c>
      <c r="G664" s="23" t="s">
        <v>203</v>
      </c>
      <c r="H664" s="23" t="s">
        <v>242</v>
      </c>
      <c r="I664" s="32"/>
      <c r="J664" s="23" t="s">
        <v>6</v>
      </c>
      <c r="K664" s="23" t="str">
        <f t="shared" si="1"/>
        <v>682907</v>
      </c>
      <c r="L664" s="23"/>
      <c r="M664" s="26"/>
      <c r="N664" s="26"/>
      <c r="O664" s="26"/>
      <c r="P664" s="26"/>
      <c r="Q664" s="26"/>
      <c r="R664" s="26"/>
      <c r="S664" s="26"/>
      <c r="T664" s="26"/>
      <c r="U664" s="26"/>
      <c r="V664" s="26"/>
      <c r="W664" s="26"/>
      <c r="X664" s="26"/>
    </row>
    <row r="665" hidden="1">
      <c r="A665" s="10" t="s">
        <v>427</v>
      </c>
      <c r="B665" s="10" t="s">
        <v>2242</v>
      </c>
      <c r="C665" s="27" t="s">
        <v>2243</v>
      </c>
      <c r="D665" s="10" t="s">
        <v>2244</v>
      </c>
      <c r="E665" s="28" t="s">
        <v>534</v>
      </c>
      <c r="F665" s="23" t="s">
        <v>535</v>
      </c>
      <c r="G665" s="23" t="s">
        <v>203</v>
      </c>
      <c r="H665" s="23" t="s">
        <v>242</v>
      </c>
      <c r="I665" s="32"/>
      <c r="J665" s="23" t="s">
        <v>6</v>
      </c>
      <c r="K665" s="23" t="str">
        <f t="shared" si="1"/>
        <v>668321</v>
      </c>
      <c r="L665" s="23"/>
      <c r="M665" s="26"/>
      <c r="N665" s="26"/>
      <c r="O665" s="26"/>
      <c r="P665" s="26"/>
      <c r="Q665" s="26"/>
      <c r="R665" s="26"/>
      <c r="S665" s="26"/>
      <c r="T665" s="26"/>
      <c r="U665" s="26"/>
      <c r="V665" s="26"/>
      <c r="W665" s="26"/>
      <c r="X665" s="26"/>
    </row>
    <row r="666" hidden="1">
      <c r="A666" s="10" t="s">
        <v>427</v>
      </c>
      <c r="B666" s="10" t="s">
        <v>2245</v>
      </c>
      <c r="C666" s="27" t="s">
        <v>2246</v>
      </c>
      <c r="D666" s="10" t="s">
        <v>2247</v>
      </c>
      <c r="E666" s="28" t="s">
        <v>1047</v>
      </c>
      <c r="F666" s="23" t="s">
        <v>1848</v>
      </c>
      <c r="G666" s="23" t="s">
        <v>203</v>
      </c>
      <c r="H666" s="23" t="s">
        <v>242</v>
      </c>
      <c r="I666" s="32"/>
      <c r="J666" s="23" t="s">
        <v>6</v>
      </c>
      <c r="K666" s="23" t="str">
        <f t="shared" si="1"/>
        <v>690247</v>
      </c>
      <c r="L666" s="23"/>
      <c r="M666" s="26"/>
      <c r="N666" s="26"/>
      <c r="O666" s="26"/>
      <c r="P666" s="26"/>
      <c r="Q666" s="26"/>
      <c r="R666" s="26"/>
      <c r="S666" s="26"/>
      <c r="T666" s="26"/>
      <c r="U666" s="26"/>
      <c r="V666" s="26"/>
      <c r="W666" s="26"/>
      <c r="X666" s="26"/>
    </row>
    <row r="667" hidden="1">
      <c r="A667" s="10" t="s">
        <v>427</v>
      </c>
      <c r="B667" s="10" t="s">
        <v>2248</v>
      </c>
      <c r="C667" s="27" t="s">
        <v>2249</v>
      </c>
      <c r="D667" s="10" t="s">
        <v>2250</v>
      </c>
      <c r="E667" s="28" t="s">
        <v>534</v>
      </c>
      <c r="F667" s="23" t="s">
        <v>1238</v>
      </c>
      <c r="G667" s="23" t="s">
        <v>203</v>
      </c>
      <c r="H667" s="23" t="s">
        <v>242</v>
      </c>
      <c r="I667" s="32"/>
      <c r="J667" s="23" t="s">
        <v>6</v>
      </c>
      <c r="K667" s="23" t="str">
        <f t="shared" si="1"/>
        <v>673264</v>
      </c>
      <c r="L667" s="23"/>
      <c r="M667" s="26"/>
      <c r="N667" s="26"/>
      <c r="O667" s="26"/>
      <c r="P667" s="26"/>
      <c r="Q667" s="26"/>
      <c r="R667" s="26"/>
      <c r="S667" s="26"/>
      <c r="T667" s="26"/>
      <c r="U667" s="26"/>
      <c r="V667" s="26"/>
      <c r="W667" s="26"/>
      <c r="X667" s="26"/>
    </row>
    <row r="668" hidden="1">
      <c r="A668" s="10" t="s">
        <v>427</v>
      </c>
      <c r="B668" s="10" t="s">
        <v>2251</v>
      </c>
      <c r="C668" s="27" t="s">
        <v>2252</v>
      </c>
      <c r="D668" s="10" t="s">
        <v>2253</v>
      </c>
      <c r="E668" s="28" t="s">
        <v>604</v>
      </c>
      <c r="F668" s="23" t="s">
        <v>605</v>
      </c>
      <c r="G668" s="23" t="s">
        <v>203</v>
      </c>
      <c r="H668" s="23" t="s">
        <v>242</v>
      </c>
      <c r="I668" s="32"/>
      <c r="J668" s="23" t="s">
        <v>6</v>
      </c>
      <c r="K668" s="23" t="str">
        <f t="shared" si="1"/>
        <v>677965</v>
      </c>
      <c r="L668" s="23"/>
      <c r="M668" s="26"/>
      <c r="N668" s="26"/>
      <c r="O668" s="26"/>
      <c r="P668" s="26"/>
      <c r="Q668" s="26"/>
      <c r="R668" s="26"/>
      <c r="S668" s="26"/>
      <c r="T668" s="26"/>
      <c r="U668" s="26"/>
      <c r="V668" s="26"/>
      <c r="W668" s="26"/>
      <c r="X668" s="26"/>
    </row>
    <row r="669" hidden="1">
      <c r="A669" s="10" t="s">
        <v>427</v>
      </c>
      <c r="B669" s="10" t="s">
        <v>2254</v>
      </c>
      <c r="C669" s="27" t="s">
        <v>2255</v>
      </c>
      <c r="D669" s="10" t="s">
        <v>2256</v>
      </c>
      <c r="E669" s="28" t="s">
        <v>604</v>
      </c>
      <c r="F669" s="23" t="s">
        <v>605</v>
      </c>
      <c r="G669" s="23" t="s">
        <v>203</v>
      </c>
      <c r="H669" s="23" t="s">
        <v>242</v>
      </c>
      <c r="I669" s="32"/>
      <c r="J669" s="23" t="s">
        <v>6</v>
      </c>
      <c r="K669" s="23" t="str">
        <f t="shared" si="1"/>
        <v>678122</v>
      </c>
      <c r="L669" s="23"/>
      <c r="M669" s="26"/>
      <c r="N669" s="26"/>
      <c r="O669" s="26"/>
      <c r="P669" s="26"/>
      <c r="Q669" s="26"/>
      <c r="R669" s="26"/>
      <c r="S669" s="26"/>
      <c r="T669" s="26"/>
      <c r="U669" s="26"/>
      <c r="V669" s="26"/>
      <c r="W669" s="26"/>
      <c r="X669" s="26"/>
    </row>
    <row r="670" hidden="1">
      <c r="A670" s="10" t="s">
        <v>427</v>
      </c>
      <c r="B670" s="10" t="s">
        <v>2257</v>
      </c>
      <c r="C670" s="27" t="s">
        <v>2258</v>
      </c>
      <c r="D670" s="10" t="s">
        <v>2259</v>
      </c>
      <c r="E670" s="28" t="s">
        <v>418</v>
      </c>
      <c r="F670" s="23" t="s">
        <v>419</v>
      </c>
      <c r="G670" s="23" t="s">
        <v>521</v>
      </c>
      <c r="H670" s="23" t="s">
        <v>242</v>
      </c>
      <c r="I670" s="32"/>
      <c r="J670" s="23" t="s">
        <v>6</v>
      </c>
      <c r="K670" s="23" t="str">
        <f t="shared" si="1"/>
        <v>644523</v>
      </c>
      <c r="L670" s="23"/>
      <c r="M670" s="26"/>
      <c r="N670" s="26"/>
      <c r="O670" s="26"/>
      <c r="P670" s="26"/>
      <c r="Q670" s="26"/>
      <c r="R670" s="26"/>
      <c r="S670" s="26"/>
      <c r="T670" s="26"/>
      <c r="U670" s="26"/>
      <c r="V670" s="26"/>
      <c r="W670" s="26"/>
      <c r="X670" s="26"/>
    </row>
    <row r="671" hidden="1">
      <c r="A671" s="10" t="s">
        <v>427</v>
      </c>
      <c r="B671" s="10" t="s">
        <v>2260</v>
      </c>
      <c r="C671" s="27" t="s">
        <v>2261</v>
      </c>
      <c r="D671" s="10" t="s">
        <v>2262</v>
      </c>
      <c r="E671" s="28" t="s">
        <v>431</v>
      </c>
      <c r="F671" s="23" t="s">
        <v>933</v>
      </c>
      <c r="G671" s="23" t="s">
        <v>521</v>
      </c>
      <c r="H671" s="23" t="s">
        <v>242</v>
      </c>
      <c r="I671" s="32"/>
      <c r="J671" s="23" t="s">
        <v>6</v>
      </c>
      <c r="K671" s="23" t="str">
        <f t="shared" si="1"/>
        <v>638669</v>
      </c>
      <c r="L671" s="23"/>
      <c r="M671" s="26"/>
      <c r="N671" s="26"/>
      <c r="O671" s="26"/>
      <c r="P671" s="26"/>
      <c r="Q671" s="26"/>
      <c r="R671" s="26"/>
      <c r="S671" s="26"/>
      <c r="T671" s="26"/>
      <c r="U671" s="26"/>
      <c r="V671" s="26"/>
      <c r="W671" s="26"/>
      <c r="X671" s="26"/>
    </row>
    <row r="672" hidden="1">
      <c r="A672" s="10" t="s">
        <v>427</v>
      </c>
      <c r="B672" s="10" t="s">
        <v>2263</v>
      </c>
      <c r="C672" s="27" t="s">
        <v>2264</v>
      </c>
      <c r="D672" s="10" t="s">
        <v>2265</v>
      </c>
      <c r="E672" s="28" t="s">
        <v>431</v>
      </c>
      <c r="F672" s="23" t="s">
        <v>946</v>
      </c>
      <c r="G672" s="23" t="s">
        <v>521</v>
      </c>
      <c r="H672" s="23" t="s">
        <v>242</v>
      </c>
      <c r="I672" s="32"/>
      <c r="J672" s="23" t="s">
        <v>6</v>
      </c>
      <c r="K672" s="23" t="str">
        <f t="shared" si="1"/>
        <v>636597</v>
      </c>
      <c r="L672" s="23"/>
      <c r="M672" s="26"/>
      <c r="N672" s="26"/>
      <c r="O672" s="26"/>
      <c r="P672" s="26"/>
      <c r="Q672" s="26"/>
      <c r="R672" s="26"/>
      <c r="S672" s="26"/>
      <c r="T672" s="26"/>
      <c r="U672" s="26"/>
      <c r="V672" s="26"/>
      <c r="W672" s="26"/>
      <c r="X672" s="26"/>
    </row>
    <row r="673" hidden="1">
      <c r="A673" s="10" t="s">
        <v>427</v>
      </c>
      <c r="B673" s="10" t="s">
        <v>2266</v>
      </c>
      <c r="C673" s="27" t="s">
        <v>2267</v>
      </c>
      <c r="D673" s="10" t="s">
        <v>2268</v>
      </c>
      <c r="E673" s="28" t="s">
        <v>431</v>
      </c>
      <c r="F673" s="23" t="s">
        <v>933</v>
      </c>
      <c r="G673" s="23" t="s">
        <v>521</v>
      </c>
      <c r="H673" s="23" t="s">
        <v>242</v>
      </c>
      <c r="I673" s="32"/>
      <c r="J673" s="23" t="s">
        <v>6</v>
      </c>
      <c r="K673" s="23" t="str">
        <f t="shared" si="1"/>
        <v>637013</v>
      </c>
      <c r="L673" s="23"/>
      <c r="M673" s="26"/>
      <c r="N673" s="26"/>
      <c r="O673" s="26"/>
      <c r="P673" s="26"/>
      <c r="Q673" s="26"/>
      <c r="R673" s="26"/>
      <c r="S673" s="26"/>
      <c r="T673" s="26"/>
      <c r="U673" s="26"/>
      <c r="V673" s="26"/>
      <c r="W673" s="26"/>
      <c r="X673" s="26"/>
    </row>
    <row r="674" hidden="1">
      <c r="A674" s="10" t="s">
        <v>427</v>
      </c>
      <c r="B674" s="10" t="s">
        <v>2269</v>
      </c>
      <c r="C674" s="27" t="s">
        <v>2270</v>
      </c>
      <c r="D674" s="10" t="s">
        <v>2271</v>
      </c>
      <c r="E674" s="28" t="s">
        <v>431</v>
      </c>
      <c r="F674" s="23" t="s">
        <v>946</v>
      </c>
      <c r="G674" s="23" t="s">
        <v>521</v>
      </c>
      <c r="H674" s="23" t="s">
        <v>242</v>
      </c>
      <c r="I674" s="32"/>
      <c r="J674" s="23" t="s">
        <v>6</v>
      </c>
      <c r="K674" s="23" t="str">
        <f t="shared" si="1"/>
        <v>636580</v>
      </c>
      <c r="L674" s="23"/>
      <c r="M674" s="26"/>
      <c r="N674" s="26"/>
      <c r="O674" s="26"/>
      <c r="P674" s="26"/>
      <c r="Q674" s="26"/>
      <c r="R674" s="26"/>
      <c r="S674" s="26"/>
      <c r="T674" s="26"/>
      <c r="U674" s="26"/>
      <c r="V674" s="26"/>
      <c r="W674" s="26"/>
      <c r="X674" s="26"/>
    </row>
    <row r="675" hidden="1">
      <c r="A675" s="10" t="s">
        <v>190</v>
      </c>
      <c r="B675" s="10" t="s">
        <v>2272</v>
      </c>
      <c r="C675" s="27" t="s">
        <v>2273</v>
      </c>
      <c r="D675" s="10" t="s">
        <v>2274</v>
      </c>
      <c r="E675" s="28" t="s">
        <v>194</v>
      </c>
      <c r="F675" s="23" t="s">
        <v>195</v>
      </c>
      <c r="G675" s="23" t="s">
        <v>203</v>
      </c>
      <c r="H675" s="23" t="s">
        <v>2275</v>
      </c>
      <c r="I675" s="32"/>
      <c r="J675" s="23" t="s">
        <v>238</v>
      </c>
      <c r="K675" s="23" t="str">
        <f t="shared" si="1"/>
        <v>691893</v>
      </c>
      <c r="L675" s="23"/>
      <c r="M675" s="26"/>
      <c r="N675" s="26"/>
      <c r="O675" s="26"/>
      <c r="P675" s="26"/>
      <c r="Q675" s="26"/>
      <c r="R675" s="26"/>
      <c r="S675" s="26"/>
      <c r="T675" s="26"/>
      <c r="U675" s="26"/>
      <c r="V675" s="26"/>
      <c r="W675" s="26"/>
      <c r="X675" s="26"/>
    </row>
    <row r="676" hidden="1">
      <c r="A676" s="10" t="s">
        <v>499</v>
      </c>
      <c r="B676" s="10" t="s">
        <v>2276</v>
      </c>
      <c r="C676" s="27" t="s">
        <v>2277</v>
      </c>
      <c r="D676" s="10" t="s">
        <v>2278</v>
      </c>
      <c r="E676" s="28" t="s">
        <v>194</v>
      </c>
      <c r="F676" s="23" t="s">
        <v>2279</v>
      </c>
      <c r="G676" s="23" t="s">
        <v>521</v>
      </c>
      <c r="H676" s="23" t="s">
        <v>539</v>
      </c>
      <c r="I676" s="32"/>
      <c r="J676" s="23" t="s">
        <v>6</v>
      </c>
      <c r="K676" s="23" t="str">
        <f t="shared" si="1"/>
        <v>669496</v>
      </c>
      <c r="L676" s="23"/>
      <c r="M676" s="26"/>
      <c r="N676" s="26"/>
      <c r="O676" s="26"/>
      <c r="P676" s="26"/>
      <c r="Q676" s="26"/>
      <c r="R676" s="26"/>
      <c r="S676" s="26"/>
      <c r="T676" s="26"/>
      <c r="U676" s="26"/>
      <c r="V676" s="26"/>
      <c r="W676" s="26"/>
      <c r="X676" s="26"/>
    </row>
    <row r="677" hidden="1">
      <c r="A677" s="10" t="s">
        <v>427</v>
      </c>
      <c r="B677" s="10" t="s">
        <v>2280</v>
      </c>
      <c r="C677" s="27" t="s">
        <v>2281</v>
      </c>
      <c r="D677" s="10" t="s">
        <v>2282</v>
      </c>
      <c r="E677" s="28" t="s">
        <v>431</v>
      </c>
      <c r="F677" s="23" t="s">
        <v>432</v>
      </c>
      <c r="G677" s="23" t="s">
        <v>203</v>
      </c>
      <c r="H677" s="23" t="s">
        <v>539</v>
      </c>
      <c r="I677" s="32"/>
      <c r="J677" s="23" t="s">
        <v>6</v>
      </c>
      <c r="K677" s="23" t="str">
        <f t="shared" si="1"/>
        <v>677934</v>
      </c>
      <c r="L677" s="23"/>
      <c r="M677" s="26"/>
      <c r="N677" s="26"/>
      <c r="O677" s="26"/>
      <c r="P677" s="26"/>
      <c r="Q677" s="26"/>
      <c r="R677" s="26"/>
      <c r="S677" s="26"/>
      <c r="T677" s="26"/>
      <c r="U677" s="26"/>
      <c r="V677" s="26"/>
      <c r="W677" s="26"/>
      <c r="X677" s="26"/>
    </row>
    <row r="678" hidden="1">
      <c r="A678" s="10" t="s">
        <v>427</v>
      </c>
      <c r="B678" s="10" t="s">
        <v>2283</v>
      </c>
      <c r="C678" s="27" t="s">
        <v>2284</v>
      </c>
      <c r="D678" s="10" t="s">
        <v>2285</v>
      </c>
      <c r="E678" s="28" t="s">
        <v>431</v>
      </c>
      <c r="F678" s="23" t="s">
        <v>946</v>
      </c>
      <c r="G678" s="23" t="s">
        <v>203</v>
      </c>
      <c r="H678" s="23" t="s">
        <v>539</v>
      </c>
      <c r="I678" s="32"/>
      <c r="J678" s="23" t="s">
        <v>6</v>
      </c>
      <c r="K678" s="23" t="str">
        <f t="shared" si="1"/>
        <v>674224</v>
      </c>
      <c r="L678" s="23"/>
      <c r="M678" s="26"/>
      <c r="N678" s="26"/>
      <c r="O678" s="26"/>
      <c r="P678" s="26"/>
      <c r="Q678" s="26"/>
      <c r="R678" s="26"/>
      <c r="S678" s="26"/>
      <c r="T678" s="26"/>
      <c r="U678" s="26"/>
      <c r="V678" s="26"/>
      <c r="W678" s="26"/>
      <c r="X678" s="26"/>
    </row>
    <row r="679" hidden="1">
      <c r="A679" s="10" t="s">
        <v>427</v>
      </c>
      <c r="B679" s="10" t="s">
        <v>2286</v>
      </c>
      <c r="C679" s="27" t="s">
        <v>2287</v>
      </c>
      <c r="D679" s="10" t="s">
        <v>2288</v>
      </c>
      <c r="E679" s="28" t="s">
        <v>431</v>
      </c>
      <c r="F679" s="23" t="s">
        <v>933</v>
      </c>
      <c r="G679" s="23" t="s">
        <v>203</v>
      </c>
      <c r="H679" s="23" t="s">
        <v>539</v>
      </c>
      <c r="I679" s="32"/>
      <c r="J679" s="23" t="s">
        <v>6</v>
      </c>
      <c r="K679" s="23" t="str">
        <f t="shared" si="1"/>
        <v>672816</v>
      </c>
      <c r="L679" s="23"/>
      <c r="M679" s="26"/>
      <c r="N679" s="26"/>
      <c r="O679" s="26"/>
      <c r="P679" s="26"/>
      <c r="Q679" s="26"/>
      <c r="R679" s="26"/>
      <c r="S679" s="26"/>
      <c r="T679" s="26"/>
      <c r="U679" s="26"/>
      <c r="V679" s="26"/>
      <c r="W679" s="26"/>
      <c r="X679" s="26"/>
    </row>
    <row r="680" hidden="1">
      <c r="A680" s="10" t="s">
        <v>427</v>
      </c>
      <c r="B680" s="10" t="s">
        <v>2289</v>
      </c>
      <c r="C680" s="27" t="s">
        <v>2290</v>
      </c>
      <c r="D680" s="10" t="s">
        <v>2291</v>
      </c>
      <c r="E680" s="28" t="s">
        <v>418</v>
      </c>
      <c r="F680" s="23" t="s">
        <v>419</v>
      </c>
      <c r="G680" s="23" t="s">
        <v>203</v>
      </c>
      <c r="H680" s="23" t="s">
        <v>539</v>
      </c>
      <c r="I680" s="32"/>
      <c r="J680" s="23" t="s">
        <v>6</v>
      </c>
      <c r="K680" s="23" t="str">
        <f t="shared" si="1"/>
        <v>673622</v>
      </c>
      <c r="L680" s="23"/>
      <c r="M680" s="26"/>
      <c r="N680" s="26"/>
      <c r="O680" s="26"/>
      <c r="P680" s="26"/>
      <c r="Q680" s="26"/>
      <c r="R680" s="26"/>
      <c r="S680" s="26"/>
      <c r="T680" s="26"/>
      <c r="U680" s="26"/>
      <c r="V680" s="26"/>
      <c r="W680" s="26"/>
      <c r="X680" s="26"/>
    </row>
    <row r="681" hidden="1">
      <c r="A681" s="10" t="s">
        <v>190</v>
      </c>
      <c r="B681" s="10" t="s">
        <v>2292</v>
      </c>
      <c r="C681" s="27" t="s">
        <v>2293</v>
      </c>
      <c r="D681" s="10" t="s">
        <v>2294</v>
      </c>
      <c r="E681" s="28" t="s">
        <v>194</v>
      </c>
      <c r="F681" s="23" t="s">
        <v>543</v>
      </c>
      <c r="G681" s="23" t="s">
        <v>1</v>
      </c>
      <c r="H681" s="23" t="s">
        <v>544</v>
      </c>
      <c r="I681" s="32"/>
      <c r="J681" s="23" t="s">
        <v>198</v>
      </c>
      <c r="K681" s="23" t="str">
        <f t="shared" si="1"/>
        <v>673281</v>
      </c>
      <c r="L681" s="23"/>
      <c r="M681" s="26"/>
      <c r="N681" s="26"/>
      <c r="O681" s="26"/>
      <c r="P681" s="26"/>
      <c r="Q681" s="26"/>
      <c r="R681" s="26"/>
      <c r="S681" s="26"/>
      <c r="T681" s="26"/>
      <c r="U681" s="26"/>
      <c r="V681" s="26"/>
      <c r="W681" s="26"/>
      <c r="X681" s="26"/>
    </row>
    <row r="682" hidden="1">
      <c r="A682" s="10" t="s">
        <v>190</v>
      </c>
      <c r="B682" s="10" t="s">
        <v>2292</v>
      </c>
      <c r="C682" s="27" t="s">
        <v>245</v>
      </c>
      <c r="D682" s="10" t="s">
        <v>244</v>
      </c>
      <c r="E682" s="28" t="s">
        <v>194</v>
      </c>
      <c r="F682" s="23" t="s">
        <v>543</v>
      </c>
      <c r="G682" s="23" t="s">
        <v>401</v>
      </c>
      <c r="H682" s="23" t="s">
        <v>544</v>
      </c>
      <c r="I682" s="32"/>
      <c r="J682" s="23" t="s">
        <v>198</v>
      </c>
      <c r="K682" s="23" t="str">
        <f t="shared" si="1"/>
        <v>600703</v>
      </c>
      <c r="L682" s="23"/>
      <c r="M682" s="26"/>
      <c r="N682" s="26"/>
      <c r="O682" s="26"/>
      <c r="P682" s="26"/>
      <c r="Q682" s="26"/>
      <c r="R682" s="26"/>
      <c r="S682" s="26"/>
      <c r="T682" s="26"/>
      <c r="U682" s="26"/>
      <c r="V682" s="26"/>
      <c r="W682" s="26"/>
      <c r="X682" s="26"/>
    </row>
    <row r="683" hidden="1">
      <c r="A683" s="10" t="s">
        <v>190</v>
      </c>
      <c r="B683" s="10" t="s">
        <v>2295</v>
      </c>
      <c r="C683" s="27" t="s">
        <v>2296</v>
      </c>
      <c r="D683" s="10" t="s">
        <v>2297</v>
      </c>
      <c r="E683" s="28" t="s">
        <v>194</v>
      </c>
      <c r="F683" s="23" t="s">
        <v>543</v>
      </c>
      <c r="G683" s="23" t="s">
        <v>1</v>
      </c>
      <c r="H683" s="23" t="s">
        <v>544</v>
      </c>
      <c r="I683" s="32"/>
      <c r="J683" s="23" t="s">
        <v>198</v>
      </c>
      <c r="K683" s="23" t="str">
        <f t="shared" si="1"/>
        <v>691046</v>
      </c>
      <c r="L683" s="23"/>
      <c r="M683" s="26"/>
      <c r="N683" s="26"/>
      <c r="O683" s="26"/>
      <c r="P683" s="26"/>
      <c r="Q683" s="26"/>
      <c r="R683" s="26"/>
      <c r="S683" s="26"/>
      <c r="T683" s="26"/>
      <c r="U683" s="26"/>
      <c r="V683" s="26"/>
      <c r="W683" s="26"/>
      <c r="X683" s="26"/>
    </row>
    <row r="684">
      <c r="A684" s="10" t="s">
        <v>190</v>
      </c>
      <c r="B684" s="10" t="s">
        <v>2298</v>
      </c>
      <c r="C684" s="27" t="s">
        <v>345</v>
      </c>
      <c r="D684" s="10" t="s">
        <v>344</v>
      </c>
      <c r="E684" s="28" t="s">
        <v>194</v>
      </c>
      <c r="F684" s="23" t="s">
        <v>543</v>
      </c>
      <c r="G684" s="23" t="s">
        <v>401</v>
      </c>
      <c r="H684" s="23" t="s">
        <v>544</v>
      </c>
      <c r="I684" s="32"/>
      <c r="J684" s="23" t="s">
        <v>198</v>
      </c>
      <c r="K684" s="23" t="str">
        <f t="shared" si="1"/>
        <v>691084</v>
      </c>
      <c r="L684" s="23"/>
      <c r="M684" s="26"/>
      <c r="N684" s="26"/>
      <c r="O684" s="26"/>
      <c r="P684" s="26"/>
      <c r="Q684" s="26"/>
      <c r="R684" s="26"/>
      <c r="S684" s="26"/>
      <c r="T684" s="26"/>
      <c r="U684" s="26"/>
      <c r="V684" s="26"/>
      <c r="W684" s="26"/>
      <c r="X684" s="26"/>
    </row>
    <row r="685" hidden="1">
      <c r="A685" s="10" t="s">
        <v>190</v>
      </c>
      <c r="B685" s="10" t="s">
        <v>2299</v>
      </c>
      <c r="C685" s="27" t="s">
        <v>351</v>
      </c>
      <c r="D685" s="10" t="s">
        <v>350</v>
      </c>
      <c r="E685" s="28" t="s">
        <v>194</v>
      </c>
      <c r="F685" s="23" t="s">
        <v>543</v>
      </c>
      <c r="G685" s="23" t="s">
        <v>401</v>
      </c>
      <c r="H685" s="23" t="s">
        <v>544</v>
      </c>
      <c r="I685" s="32"/>
      <c r="J685" s="23" t="s">
        <v>198</v>
      </c>
      <c r="K685" s="23" t="str">
        <f t="shared" si="1"/>
        <v>691077</v>
      </c>
      <c r="L685" s="23"/>
      <c r="M685" s="26"/>
      <c r="N685" s="26"/>
      <c r="O685" s="26"/>
      <c r="P685" s="26"/>
      <c r="Q685" s="26"/>
      <c r="R685" s="26"/>
      <c r="S685" s="26"/>
      <c r="T685" s="26"/>
      <c r="U685" s="26"/>
      <c r="V685" s="26"/>
      <c r="W685" s="26"/>
      <c r="X685" s="26"/>
    </row>
    <row r="686" hidden="1">
      <c r="A686" s="10" t="s">
        <v>190</v>
      </c>
      <c r="B686" s="10" t="s">
        <v>2300</v>
      </c>
      <c r="C686" s="27" t="s">
        <v>2301</v>
      </c>
      <c r="D686" s="10" t="s">
        <v>2302</v>
      </c>
      <c r="E686" s="28" t="s">
        <v>194</v>
      </c>
      <c r="F686" s="23" t="s">
        <v>543</v>
      </c>
      <c r="G686" s="23" t="s">
        <v>1</v>
      </c>
      <c r="H686" s="23" t="s">
        <v>544</v>
      </c>
      <c r="I686" s="32"/>
      <c r="J686" s="23" t="s">
        <v>198</v>
      </c>
      <c r="K686" s="23" t="str">
        <f t="shared" si="1"/>
        <v>691992</v>
      </c>
      <c r="L686" s="23"/>
      <c r="M686" s="26"/>
      <c r="N686" s="26"/>
      <c r="O686" s="26"/>
      <c r="P686" s="26"/>
      <c r="Q686" s="26"/>
      <c r="R686" s="26"/>
      <c r="S686" s="26"/>
      <c r="T686" s="26"/>
      <c r="U686" s="26"/>
      <c r="V686" s="26"/>
      <c r="W686" s="26"/>
      <c r="X686" s="26"/>
    </row>
    <row r="687" hidden="1">
      <c r="A687" s="10" t="s">
        <v>190</v>
      </c>
      <c r="B687" s="10" t="s">
        <v>2303</v>
      </c>
      <c r="C687" s="27" t="s">
        <v>213</v>
      </c>
      <c r="D687" s="10" t="s">
        <v>212</v>
      </c>
      <c r="E687" s="28" t="s">
        <v>194</v>
      </c>
      <c r="F687" s="23" t="s">
        <v>543</v>
      </c>
      <c r="G687" s="23" t="s">
        <v>401</v>
      </c>
      <c r="H687" s="23" t="s">
        <v>544</v>
      </c>
      <c r="I687" s="32"/>
      <c r="J687" s="23" t="s">
        <v>198</v>
      </c>
      <c r="K687" s="23" t="str">
        <f t="shared" si="1"/>
        <v>692012</v>
      </c>
      <c r="L687" s="23"/>
      <c r="M687" s="26"/>
      <c r="N687" s="26"/>
      <c r="O687" s="26"/>
      <c r="P687" s="26"/>
      <c r="Q687" s="26"/>
      <c r="R687" s="26"/>
      <c r="S687" s="26"/>
      <c r="T687" s="26"/>
      <c r="U687" s="26"/>
      <c r="V687" s="26"/>
      <c r="W687" s="26"/>
      <c r="X687" s="26"/>
    </row>
    <row r="688" hidden="1">
      <c r="A688" s="10" t="s">
        <v>190</v>
      </c>
      <c r="B688" s="10" t="s">
        <v>2304</v>
      </c>
      <c r="C688" s="27" t="s">
        <v>219</v>
      </c>
      <c r="D688" s="10" t="s">
        <v>218</v>
      </c>
      <c r="E688" s="28" t="s">
        <v>194</v>
      </c>
      <c r="F688" s="23" t="s">
        <v>543</v>
      </c>
      <c r="G688" s="23" t="s">
        <v>401</v>
      </c>
      <c r="H688" s="23" t="s">
        <v>544</v>
      </c>
      <c r="I688" s="32"/>
      <c r="J688" s="23" t="s">
        <v>198</v>
      </c>
      <c r="K688" s="23" t="str">
        <f t="shared" si="1"/>
        <v>692029</v>
      </c>
      <c r="L688" s="23"/>
      <c r="M688" s="26"/>
      <c r="N688" s="26"/>
      <c r="O688" s="26"/>
      <c r="P688" s="26"/>
      <c r="Q688" s="26"/>
      <c r="R688" s="26"/>
      <c r="S688" s="26"/>
      <c r="T688" s="26"/>
      <c r="U688" s="26"/>
      <c r="V688" s="26"/>
      <c r="W688" s="26"/>
      <c r="X688" s="26"/>
    </row>
    <row r="689" hidden="1">
      <c r="A689" s="10" t="s">
        <v>190</v>
      </c>
      <c r="B689" s="10" t="s">
        <v>2305</v>
      </c>
      <c r="C689" s="27" t="s">
        <v>207</v>
      </c>
      <c r="D689" s="10" t="s">
        <v>206</v>
      </c>
      <c r="E689" s="28" t="s">
        <v>194</v>
      </c>
      <c r="F689" s="23" t="s">
        <v>543</v>
      </c>
      <c r="G689" s="23" t="s">
        <v>401</v>
      </c>
      <c r="H689" s="23" t="s">
        <v>544</v>
      </c>
      <c r="I689" s="32"/>
      <c r="J689" s="23" t="s">
        <v>198</v>
      </c>
      <c r="K689" s="23" t="str">
        <f t="shared" si="1"/>
        <v>692036</v>
      </c>
      <c r="L689" s="23"/>
      <c r="M689" s="26"/>
      <c r="N689" s="26"/>
      <c r="O689" s="26"/>
      <c r="P689" s="26"/>
      <c r="Q689" s="26"/>
      <c r="R689" s="26"/>
      <c r="S689" s="26"/>
      <c r="T689" s="26"/>
      <c r="U689" s="26"/>
      <c r="V689" s="26"/>
      <c r="W689" s="26"/>
      <c r="X689" s="26"/>
    </row>
    <row r="690" hidden="1">
      <c r="A690" s="10" t="s">
        <v>190</v>
      </c>
      <c r="B690" s="10" t="s">
        <v>2306</v>
      </c>
      <c r="C690" s="27" t="s">
        <v>225</v>
      </c>
      <c r="D690" s="10" t="s">
        <v>224</v>
      </c>
      <c r="E690" s="28" t="s">
        <v>194</v>
      </c>
      <c r="F690" s="23" t="s">
        <v>543</v>
      </c>
      <c r="G690" s="23" t="s">
        <v>401</v>
      </c>
      <c r="H690" s="23" t="s">
        <v>544</v>
      </c>
      <c r="I690" s="32"/>
      <c r="J690" s="23" t="s">
        <v>198</v>
      </c>
      <c r="K690" s="23" t="str">
        <f t="shared" si="1"/>
        <v>692043</v>
      </c>
      <c r="L690" s="23"/>
      <c r="M690" s="26"/>
      <c r="N690" s="26"/>
      <c r="O690" s="26"/>
      <c r="P690" s="26"/>
      <c r="Q690" s="26"/>
      <c r="R690" s="26"/>
      <c r="S690" s="26"/>
      <c r="T690" s="26"/>
      <c r="U690" s="26"/>
      <c r="V690" s="26"/>
      <c r="W690" s="26"/>
      <c r="X690" s="26"/>
    </row>
    <row r="691" hidden="1">
      <c r="A691" s="10" t="s">
        <v>190</v>
      </c>
      <c r="B691" s="10" t="s">
        <v>2307</v>
      </c>
      <c r="C691" s="27" t="s">
        <v>240</v>
      </c>
      <c r="D691" s="10" t="s">
        <v>239</v>
      </c>
      <c r="E691" s="28" t="s">
        <v>194</v>
      </c>
      <c r="F691" s="23" t="s">
        <v>543</v>
      </c>
      <c r="G691" s="23" t="s">
        <v>401</v>
      </c>
      <c r="H691" s="23" t="s">
        <v>544</v>
      </c>
      <c r="I691" s="32"/>
      <c r="J691" s="23" t="s">
        <v>198</v>
      </c>
      <c r="K691" s="23" t="str">
        <f t="shared" si="1"/>
        <v>692425</v>
      </c>
      <c r="L691" s="23"/>
      <c r="M691" s="26"/>
      <c r="N691" s="26"/>
      <c r="O691" s="26"/>
      <c r="P691" s="26"/>
      <c r="Q691" s="26"/>
      <c r="R691" s="26"/>
      <c r="S691" s="26"/>
      <c r="T691" s="26"/>
      <c r="U691" s="26"/>
      <c r="V691" s="26"/>
      <c r="W691" s="26"/>
      <c r="X691" s="26"/>
    </row>
    <row r="692" hidden="1">
      <c r="A692" s="10" t="s">
        <v>190</v>
      </c>
      <c r="B692" s="10" t="s">
        <v>2308</v>
      </c>
      <c r="C692" s="27" t="s">
        <v>231</v>
      </c>
      <c r="D692" s="10" t="s">
        <v>230</v>
      </c>
      <c r="E692" s="28" t="s">
        <v>194</v>
      </c>
      <c r="F692" s="23" t="s">
        <v>543</v>
      </c>
      <c r="G692" s="23" t="s">
        <v>401</v>
      </c>
      <c r="H692" s="23" t="s">
        <v>544</v>
      </c>
      <c r="I692" s="32"/>
      <c r="J692" s="23" t="s">
        <v>198</v>
      </c>
      <c r="K692" s="23" t="str">
        <f t="shared" si="1"/>
        <v>692432</v>
      </c>
      <c r="L692" s="23"/>
      <c r="M692" s="26"/>
      <c r="N692" s="26"/>
      <c r="O692" s="26"/>
      <c r="P692" s="26"/>
      <c r="Q692" s="26"/>
      <c r="R692" s="26"/>
      <c r="S692" s="26"/>
      <c r="T692" s="26"/>
      <c r="U692" s="26"/>
      <c r="V692" s="26"/>
      <c r="W692" s="26"/>
      <c r="X692" s="26"/>
    </row>
    <row r="693" hidden="1">
      <c r="A693" s="10" t="s">
        <v>190</v>
      </c>
      <c r="B693" s="10" t="s">
        <v>2309</v>
      </c>
      <c r="C693" s="27" t="s">
        <v>200</v>
      </c>
      <c r="D693" s="10" t="s">
        <v>199</v>
      </c>
      <c r="E693" s="28" t="s">
        <v>194</v>
      </c>
      <c r="F693" s="23" t="s">
        <v>543</v>
      </c>
      <c r="G693" s="23" t="s">
        <v>401</v>
      </c>
      <c r="H693" s="23" t="s">
        <v>544</v>
      </c>
      <c r="I693" s="32"/>
      <c r="J693" s="23" t="s">
        <v>198</v>
      </c>
      <c r="K693" s="23" t="str">
        <f t="shared" si="1"/>
        <v>692449</v>
      </c>
      <c r="L693" s="23"/>
      <c r="M693" s="26"/>
      <c r="N693" s="26"/>
      <c r="O693" s="26"/>
      <c r="P693" s="26"/>
      <c r="Q693" s="26"/>
      <c r="R693" s="26"/>
      <c r="S693" s="26"/>
      <c r="T693" s="26"/>
      <c r="U693" s="26"/>
      <c r="V693" s="26"/>
      <c r="W693" s="26"/>
      <c r="X693" s="26"/>
    </row>
    <row r="694" hidden="1">
      <c r="A694" s="10" t="s">
        <v>499</v>
      </c>
      <c r="B694" s="10" t="s">
        <v>2310</v>
      </c>
      <c r="C694" s="27" t="s">
        <v>2311</v>
      </c>
      <c r="D694" s="10" t="s">
        <v>2312</v>
      </c>
      <c r="E694" s="28" t="s">
        <v>194</v>
      </c>
      <c r="F694" s="23" t="s">
        <v>195</v>
      </c>
      <c r="G694" s="23" t="s">
        <v>196</v>
      </c>
      <c r="H694" s="23" t="s">
        <v>566</v>
      </c>
      <c r="I694" s="32"/>
      <c r="J694" s="23" t="s">
        <v>6</v>
      </c>
      <c r="K694" s="23" t="str">
        <f t="shared" si="1"/>
        <v>664781</v>
      </c>
      <c r="L694" s="23"/>
      <c r="M694" s="26"/>
      <c r="N694" s="26"/>
      <c r="O694" s="26"/>
      <c r="P694" s="26"/>
      <c r="Q694" s="26"/>
      <c r="R694" s="26"/>
      <c r="S694" s="26"/>
      <c r="T694" s="26"/>
      <c r="U694" s="26"/>
      <c r="V694" s="26"/>
      <c r="W694" s="26"/>
      <c r="X694" s="26"/>
    </row>
    <row r="695" hidden="1">
      <c r="A695" s="10" t="s">
        <v>499</v>
      </c>
      <c r="B695" s="10" t="s">
        <v>2313</v>
      </c>
      <c r="C695" s="27" t="s">
        <v>2314</v>
      </c>
      <c r="D695" s="10" t="s">
        <v>2315</v>
      </c>
      <c r="E695" s="28" t="s">
        <v>194</v>
      </c>
      <c r="F695" s="23" t="s">
        <v>195</v>
      </c>
      <c r="G695" s="23" t="s">
        <v>196</v>
      </c>
      <c r="H695" s="23" t="s">
        <v>566</v>
      </c>
      <c r="I695" s="32"/>
      <c r="J695" s="23" t="s">
        <v>6</v>
      </c>
      <c r="K695" s="23" t="str">
        <f t="shared" si="1"/>
        <v>626673</v>
      </c>
      <c r="L695" s="23"/>
      <c r="M695" s="26"/>
      <c r="N695" s="26"/>
      <c r="O695" s="26"/>
      <c r="P695" s="26"/>
      <c r="Q695" s="26"/>
      <c r="R695" s="26"/>
      <c r="S695" s="26"/>
      <c r="T695" s="26"/>
      <c r="U695" s="26"/>
      <c r="V695" s="26"/>
      <c r="W695" s="26"/>
      <c r="X695" s="26"/>
    </row>
    <row r="696" hidden="1">
      <c r="A696" s="10" t="s">
        <v>499</v>
      </c>
      <c r="B696" s="10" t="s">
        <v>2316</v>
      </c>
      <c r="C696" s="27" t="s">
        <v>2317</v>
      </c>
      <c r="D696" s="10" t="s">
        <v>2318</v>
      </c>
      <c r="E696" s="28" t="s">
        <v>194</v>
      </c>
      <c r="F696" s="23" t="s">
        <v>1037</v>
      </c>
      <c r="G696" s="23" t="s">
        <v>196</v>
      </c>
      <c r="H696" s="23" t="s">
        <v>566</v>
      </c>
      <c r="I696" s="32"/>
      <c r="J696" s="23" t="s">
        <v>6</v>
      </c>
      <c r="K696" s="23" t="str">
        <f t="shared" si="1"/>
        <v>621395</v>
      </c>
      <c r="L696" s="23"/>
      <c r="M696" s="26"/>
      <c r="N696" s="26"/>
      <c r="O696" s="26"/>
      <c r="P696" s="26"/>
      <c r="Q696" s="26"/>
      <c r="R696" s="26"/>
      <c r="S696" s="26"/>
      <c r="T696" s="26"/>
      <c r="U696" s="26"/>
      <c r="V696" s="26"/>
      <c r="W696" s="26"/>
      <c r="X696" s="26"/>
    </row>
    <row r="697" hidden="1">
      <c r="A697" s="10" t="s">
        <v>499</v>
      </c>
      <c r="B697" s="10" t="s">
        <v>2319</v>
      </c>
      <c r="C697" s="27" t="s">
        <v>2320</v>
      </c>
      <c r="D697" s="10" t="s">
        <v>2321</v>
      </c>
      <c r="E697" s="28" t="s">
        <v>194</v>
      </c>
      <c r="F697" s="23" t="s">
        <v>1037</v>
      </c>
      <c r="G697" s="23" t="s">
        <v>196</v>
      </c>
      <c r="H697" s="23" t="s">
        <v>566</v>
      </c>
      <c r="I697" s="32"/>
      <c r="J697" s="23" t="s">
        <v>6</v>
      </c>
      <c r="K697" s="23" t="str">
        <f t="shared" si="1"/>
        <v>621418</v>
      </c>
      <c r="L697" s="23"/>
      <c r="M697" s="26"/>
      <c r="N697" s="26"/>
      <c r="O697" s="26"/>
      <c r="P697" s="26"/>
      <c r="Q697" s="26"/>
      <c r="R697" s="26"/>
      <c r="S697" s="26"/>
      <c r="T697" s="26"/>
      <c r="U697" s="26"/>
      <c r="V697" s="26"/>
      <c r="W697" s="26"/>
      <c r="X697" s="26"/>
    </row>
    <row r="698" hidden="1">
      <c r="A698" s="10" t="s">
        <v>190</v>
      </c>
      <c r="B698" s="10" t="s">
        <v>2322</v>
      </c>
      <c r="C698" s="27" t="s">
        <v>2323</v>
      </c>
      <c r="D698" s="10" t="s">
        <v>2324</v>
      </c>
      <c r="E698" s="28" t="s">
        <v>194</v>
      </c>
      <c r="F698" s="23" t="s">
        <v>195</v>
      </c>
      <c r="G698" s="23" t="s">
        <v>203</v>
      </c>
      <c r="H698" s="23" t="s">
        <v>1596</v>
      </c>
      <c r="I698" s="23" t="s">
        <v>1115</v>
      </c>
      <c r="J698" s="23" t="s">
        <v>238</v>
      </c>
      <c r="K698" s="23" t="str">
        <f t="shared" si="1"/>
        <v>691596P</v>
      </c>
      <c r="L698" s="23"/>
      <c r="M698" s="26"/>
      <c r="N698" s="26"/>
      <c r="O698" s="26"/>
      <c r="P698" s="26"/>
      <c r="Q698" s="26"/>
      <c r="R698" s="26"/>
      <c r="S698" s="26"/>
      <c r="T698" s="26"/>
      <c r="U698" s="26"/>
      <c r="V698" s="26"/>
      <c r="W698" s="26"/>
      <c r="X698" s="26"/>
    </row>
    <row r="699" hidden="1">
      <c r="A699" s="10" t="s">
        <v>190</v>
      </c>
      <c r="B699" s="10" t="s">
        <v>2325</v>
      </c>
      <c r="C699" s="27" t="s">
        <v>2326</v>
      </c>
      <c r="D699" s="10" t="s">
        <v>2327</v>
      </c>
      <c r="E699" s="28" t="s">
        <v>194</v>
      </c>
      <c r="F699" s="23" t="s">
        <v>195</v>
      </c>
      <c r="G699" s="23" t="s">
        <v>203</v>
      </c>
      <c r="H699" s="23" t="s">
        <v>1596</v>
      </c>
      <c r="I699" s="23" t="s">
        <v>1115</v>
      </c>
      <c r="J699" s="23" t="s">
        <v>238</v>
      </c>
      <c r="K699" s="23" t="str">
        <f t="shared" si="1"/>
        <v>691602</v>
      </c>
      <c r="L699" s="23"/>
      <c r="M699" s="26"/>
      <c r="N699" s="26"/>
      <c r="O699" s="26"/>
      <c r="P699" s="26"/>
      <c r="Q699" s="26"/>
      <c r="R699" s="26"/>
      <c r="S699" s="26"/>
      <c r="T699" s="26"/>
      <c r="U699" s="26"/>
      <c r="V699" s="26"/>
      <c r="W699" s="26"/>
      <c r="X699" s="26"/>
    </row>
    <row r="700" hidden="1">
      <c r="A700" s="10" t="s">
        <v>190</v>
      </c>
      <c r="B700" s="10" t="s">
        <v>2328</v>
      </c>
      <c r="C700" s="27" t="s">
        <v>2329</v>
      </c>
      <c r="D700" s="10" t="s">
        <v>2330</v>
      </c>
      <c r="E700" s="28" t="s">
        <v>194</v>
      </c>
      <c r="F700" s="23" t="s">
        <v>195</v>
      </c>
      <c r="G700" s="23" t="s">
        <v>203</v>
      </c>
      <c r="H700" s="23" t="s">
        <v>1596</v>
      </c>
      <c r="I700" s="23" t="s">
        <v>1115</v>
      </c>
      <c r="J700" s="23" t="s">
        <v>238</v>
      </c>
      <c r="K700" s="23" t="str">
        <f t="shared" si="1"/>
        <v>691619</v>
      </c>
      <c r="L700" s="23"/>
      <c r="M700" s="26"/>
      <c r="N700" s="26"/>
      <c r="O700" s="26"/>
      <c r="P700" s="26"/>
      <c r="Q700" s="26"/>
      <c r="R700" s="26"/>
      <c r="S700" s="26"/>
      <c r="T700" s="26"/>
      <c r="U700" s="26"/>
      <c r="V700" s="26"/>
      <c r="W700" s="26"/>
      <c r="X700" s="26"/>
    </row>
    <row r="701" hidden="1">
      <c r="A701" s="10" t="s">
        <v>190</v>
      </c>
      <c r="B701" s="10" t="s">
        <v>2331</v>
      </c>
      <c r="C701" s="27" t="s">
        <v>249</v>
      </c>
      <c r="D701" s="10" t="s">
        <v>248</v>
      </c>
      <c r="E701" s="28" t="s">
        <v>194</v>
      </c>
      <c r="F701" s="23" t="s">
        <v>195</v>
      </c>
      <c r="G701" s="23" t="s">
        <v>401</v>
      </c>
      <c r="H701" s="23" t="s">
        <v>2332</v>
      </c>
      <c r="I701" s="23" t="s">
        <v>2333</v>
      </c>
      <c r="J701" s="23" t="s">
        <v>198</v>
      </c>
      <c r="K701" s="23" t="str">
        <f t="shared" si="1"/>
        <v>667997</v>
      </c>
      <c r="L701" s="23"/>
      <c r="M701" s="26"/>
      <c r="N701" s="26"/>
      <c r="O701" s="26"/>
      <c r="P701" s="26"/>
      <c r="Q701" s="26"/>
      <c r="R701" s="26"/>
      <c r="S701" s="26"/>
      <c r="T701" s="26"/>
      <c r="U701" s="26"/>
      <c r="V701" s="26"/>
      <c r="W701" s="26"/>
      <c r="X701" s="26"/>
    </row>
    <row r="702" hidden="1">
      <c r="A702" s="10" t="s">
        <v>190</v>
      </c>
      <c r="B702" s="10" t="s">
        <v>2334</v>
      </c>
      <c r="C702" s="27" t="s">
        <v>255</v>
      </c>
      <c r="D702" s="10" t="s">
        <v>254</v>
      </c>
      <c r="E702" s="28" t="s">
        <v>194</v>
      </c>
      <c r="F702" s="23" t="s">
        <v>195</v>
      </c>
      <c r="G702" s="23" t="s">
        <v>401</v>
      </c>
      <c r="H702" s="23" t="s">
        <v>2332</v>
      </c>
      <c r="I702" s="23" t="s">
        <v>2333</v>
      </c>
      <c r="J702" s="23" t="s">
        <v>198</v>
      </c>
      <c r="K702" s="23" t="str">
        <f t="shared" si="1"/>
        <v>667997D</v>
      </c>
      <c r="L702" s="23"/>
      <c r="M702" s="26"/>
      <c r="N702" s="26"/>
      <c r="O702" s="26"/>
      <c r="P702" s="26"/>
      <c r="Q702" s="26"/>
      <c r="R702" s="26"/>
      <c r="S702" s="26"/>
      <c r="T702" s="26"/>
      <c r="U702" s="26"/>
      <c r="V702" s="26"/>
      <c r="W702" s="26"/>
      <c r="X702" s="26"/>
    </row>
    <row r="703" hidden="1">
      <c r="A703" s="10" t="s">
        <v>190</v>
      </c>
      <c r="B703" s="10" t="s">
        <v>2335</v>
      </c>
      <c r="C703" s="27" t="s">
        <v>258</v>
      </c>
      <c r="D703" s="10" t="s">
        <v>257</v>
      </c>
      <c r="E703" s="28" t="s">
        <v>194</v>
      </c>
      <c r="F703" s="23" t="s">
        <v>195</v>
      </c>
      <c r="G703" s="23" t="s">
        <v>401</v>
      </c>
      <c r="H703" s="23" t="s">
        <v>2332</v>
      </c>
      <c r="I703" s="23" t="s">
        <v>2333</v>
      </c>
      <c r="J703" s="23" t="s">
        <v>198</v>
      </c>
      <c r="K703" s="23" t="str">
        <f t="shared" si="1"/>
        <v>690841</v>
      </c>
      <c r="L703" s="23"/>
      <c r="M703" s="26"/>
      <c r="N703" s="26"/>
      <c r="O703" s="26"/>
      <c r="P703" s="26"/>
      <c r="Q703" s="26"/>
      <c r="R703" s="26"/>
      <c r="S703" s="26"/>
      <c r="T703" s="26"/>
      <c r="U703" s="26"/>
      <c r="V703" s="26"/>
      <c r="W703" s="26"/>
      <c r="X703" s="26"/>
    </row>
    <row r="704" hidden="1">
      <c r="A704" s="10" t="s">
        <v>190</v>
      </c>
      <c r="B704" s="10" t="s">
        <v>2336</v>
      </c>
      <c r="C704" s="27" t="s">
        <v>262</v>
      </c>
      <c r="D704" s="10" t="s">
        <v>261</v>
      </c>
      <c r="E704" s="28" t="s">
        <v>194</v>
      </c>
      <c r="F704" s="23" t="s">
        <v>195</v>
      </c>
      <c r="G704" s="23" t="s">
        <v>401</v>
      </c>
      <c r="H704" s="23" t="s">
        <v>2332</v>
      </c>
      <c r="I704" s="23" t="s">
        <v>2337</v>
      </c>
      <c r="J704" s="23" t="s">
        <v>198</v>
      </c>
      <c r="K704" s="23" t="str">
        <f t="shared" si="1"/>
        <v>664965</v>
      </c>
      <c r="L704" s="23"/>
      <c r="M704" s="26"/>
      <c r="N704" s="26"/>
      <c r="O704" s="26"/>
      <c r="P704" s="26"/>
      <c r="Q704" s="26"/>
      <c r="R704" s="26"/>
      <c r="S704" s="26"/>
      <c r="T704" s="26"/>
      <c r="U704" s="26"/>
      <c r="V704" s="26"/>
      <c r="W704" s="26"/>
      <c r="X704" s="26"/>
    </row>
    <row r="705" hidden="1">
      <c r="A705" s="10" t="s">
        <v>190</v>
      </c>
      <c r="B705" s="10" t="s">
        <v>2338</v>
      </c>
      <c r="C705" s="27" t="s">
        <v>265</v>
      </c>
      <c r="D705" s="10" t="s">
        <v>264</v>
      </c>
      <c r="E705" s="28" t="s">
        <v>194</v>
      </c>
      <c r="F705" s="23" t="s">
        <v>195</v>
      </c>
      <c r="G705" s="23" t="s">
        <v>401</v>
      </c>
      <c r="H705" s="23" t="s">
        <v>2332</v>
      </c>
      <c r="I705" s="23" t="s">
        <v>2337</v>
      </c>
      <c r="J705" s="23" t="s">
        <v>238</v>
      </c>
      <c r="K705" s="23" t="str">
        <f t="shared" si="1"/>
        <v>664989</v>
      </c>
      <c r="L705" s="23"/>
      <c r="M705" s="26"/>
      <c r="N705" s="26"/>
      <c r="O705" s="26"/>
      <c r="P705" s="26"/>
      <c r="Q705" s="26"/>
      <c r="R705" s="26"/>
      <c r="S705" s="26"/>
      <c r="T705" s="26"/>
      <c r="U705" s="26"/>
      <c r="V705" s="26"/>
      <c r="W705" s="26"/>
      <c r="X705" s="26"/>
    </row>
    <row r="706" hidden="1">
      <c r="A706" s="10" t="s">
        <v>190</v>
      </c>
      <c r="B706" s="10" t="s">
        <v>2339</v>
      </c>
      <c r="C706" s="27" t="s">
        <v>336</v>
      </c>
      <c r="D706" s="10" t="s">
        <v>335</v>
      </c>
      <c r="E706" s="28" t="s">
        <v>194</v>
      </c>
      <c r="F706" s="23" t="s">
        <v>195</v>
      </c>
      <c r="G706" s="23" t="s">
        <v>401</v>
      </c>
      <c r="H706" s="23" t="s">
        <v>2332</v>
      </c>
      <c r="I706" s="23" t="s">
        <v>2340</v>
      </c>
      <c r="J706" s="23" t="s">
        <v>198</v>
      </c>
      <c r="K706" s="23" t="str">
        <f t="shared" si="1"/>
        <v>601175</v>
      </c>
      <c r="L706" s="23"/>
      <c r="M706" s="26"/>
      <c r="N706" s="26"/>
      <c r="O706" s="26"/>
      <c r="P706" s="26"/>
      <c r="Q706" s="26"/>
      <c r="R706" s="26"/>
      <c r="S706" s="26"/>
      <c r="T706" s="26"/>
      <c r="U706" s="26"/>
      <c r="V706" s="26"/>
      <c r="W706" s="26"/>
      <c r="X706" s="26"/>
    </row>
    <row r="707" hidden="1">
      <c r="A707" s="10" t="s">
        <v>190</v>
      </c>
      <c r="B707" s="10" t="s">
        <v>2341</v>
      </c>
      <c r="C707" s="27" t="s">
        <v>340</v>
      </c>
      <c r="D707" s="10" t="s">
        <v>339</v>
      </c>
      <c r="E707" s="28" t="s">
        <v>194</v>
      </c>
      <c r="F707" s="23" t="s">
        <v>195</v>
      </c>
      <c r="G707" s="23" t="s">
        <v>401</v>
      </c>
      <c r="H707" s="23" t="s">
        <v>2332</v>
      </c>
      <c r="I707" s="23" t="s">
        <v>2340</v>
      </c>
      <c r="J707" s="23" t="s">
        <v>198</v>
      </c>
      <c r="K707" s="23" t="str">
        <f t="shared" si="1"/>
        <v>668017</v>
      </c>
      <c r="L707" s="23"/>
      <c r="M707" s="26"/>
      <c r="N707" s="26"/>
      <c r="O707" s="26"/>
      <c r="P707" s="26"/>
      <c r="Q707" s="26"/>
      <c r="R707" s="26"/>
      <c r="S707" s="26"/>
      <c r="T707" s="26"/>
      <c r="U707" s="26"/>
      <c r="V707" s="26"/>
      <c r="W707" s="26"/>
      <c r="X707" s="26"/>
    </row>
    <row r="708" hidden="1">
      <c r="A708" s="10" t="s">
        <v>499</v>
      </c>
      <c r="B708" s="10" t="s">
        <v>2342</v>
      </c>
      <c r="C708" s="10" t="s">
        <v>2343</v>
      </c>
      <c r="D708" s="10" t="s">
        <v>2344</v>
      </c>
      <c r="E708" s="28" t="s">
        <v>194</v>
      </c>
      <c r="F708" s="23" t="s">
        <v>195</v>
      </c>
      <c r="G708" s="23" t="s">
        <v>745</v>
      </c>
      <c r="H708" s="23" t="s">
        <v>2345</v>
      </c>
      <c r="I708" s="32"/>
      <c r="J708" s="23" t="s">
        <v>6</v>
      </c>
      <c r="K708" s="23" t="str">
        <f t="shared" si="1"/>
        <v>CA0302</v>
      </c>
      <c r="L708" s="23"/>
      <c r="M708" s="26"/>
      <c r="N708" s="26"/>
      <c r="O708" s="26"/>
      <c r="P708" s="26"/>
      <c r="Q708" s="26"/>
      <c r="R708" s="26"/>
      <c r="S708" s="26"/>
      <c r="T708" s="26"/>
      <c r="U708" s="26"/>
      <c r="V708" s="26"/>
      <c r="W708" s="26"/>
      <c r="X708" s="26"/>
    </row>
    <row r="709" hidden="1">
      <c r="A709" s="10" t="s">
        <v>190</v>
      </c>
      <c r="B709" s="10" t="s">
        <v>2346</v>
      </c>
      <c r="C709" s="27" t="s">
        <v>2347</v>
      </c>
      <c r="D709" s="10" t="s">
        <v>2348</v>
      </c>
      <c r="E709" s="28" t="s">
        <v>194</v>
      </c>
      <c r="F709" s="23" t="s">
        <v>195</v>
      </c>
      <c r="G709" s="23" t="s">
        <v>203</v>
      </c>
      <c r="H709" s="23" t="s">
        <v>573</v>
      </c>
      <c r="I709" s="23" t="s">
        <v>672</v>
      </c>
      <c r="J709" s="23" t="s">
        <v>238</v>
      </c>
      <c r="K709" s="23" t="str">
        <f t="shared" si="1"/>
        <v>686936</v>
      </c>
      <c r="L709" s="23"/>
      <c r="M709" s="26"/>
      <c r="N709" s="26"/>
      <c r="O709" s="26"/>
      <c r="P709" s="26"/>
      <c r="Q709" s="26"/>
      <c r="R709" s="26"/>
      <c r="S709" s="26"/>
      <c r="T709" s="26"/>
      <c r="U709" s="26"/>
      <c r="V709" s="26"/>
      <c r="W709" s="26"/>
      <c r="X709" s="26"/>
    </row>
    <row r="710" hidden="1">
      <c r="A710" s="10" t="s">
        <v>190</v>
      </c>
      <c r="B710" s="10" t="s">
        <v>2349</v>
      </c>
      <c r="C710" s="27" t="s">
        <v>2350</v>
      </c>
      <c r="D710" s="10" t="s">
        <v>2351</v>
      </c>
      <c r="E710" s="28" t="s">
        <v>194</v>
      </c>
      <c r="F710" s="23" t="s">
        <v>195</v>
      </c>
      <c r="G710" s="23" t="s">
        <v>203</v>
      </c>
      <c r="H710" s="23" t="s">
        <v>573</v>
      </c>
      <c r="I710" s="23" t="s">
        <v>672</v>
      </c>
      <c r="J710" s="23" t="s">
        <v>238</v>
      </c>
      <c r="K710" s="23" t="str">
        <f t="shared" si="1"/>
        <v>659343</v>
      </c>
      <c r="L710" s="23"/>
      <c r="M710" s="26"/>
      <c r="N710" s="26"/>
      <c r="O710" s="26"/>
      <c r="P710" s="26"/>
      <c r="Q710" s="26"/>
      <c r="R710" s="26"/>
      <c r="S710" s="26"/>
      <c r="T710" s="26"/>
      <c r="U710" s="26"/>
      <c r="V710" s="26"/>
      <c r="W710" s="26"/>
      <c r="X710" s="26"/>
    </row>
    <row r="711" hidden="1">
      <c r="A711" s="10" t="s">
        <v>190</v>
      </c>
      <c r="B711" s="10" t="s">
        <v>2352</v>
      </c>
      <c r="C711" s="27" t="s">
        <v>2353</v>
      </c>
      <c r="D711" s="10" t="s">
        <v>2354</v>
      </c>
      <c r="E711" s="28" t="s">
        <v>194</v>
      </c>
      <c r="F711" s="23" t="s">
        <v>195</v>
      </c>
      <c r="G711" s="23" t="s">
        <v>203</v>
      </c>
      <c r="H711" s="23" t="s">
        <v>573</v>
      </c>
      <c r="I711" s="23" t="s">
        <v>672</v>
      </c>
      <c r="J711" s="23" t="s">
        <v>238</v>
      </c>
      <c r="K711" s="23" t="str">
        <f t="shared" si="1"/>
        <v>686448</v>
      </c>
      <c r="L711" s="23"/>
      <c r="M711" s="26"/>
      <c r="N711" s="26"/>
      <c r="O711" s="26"/>
      <c r="P711" s="26"/>
      <c r="Q711" s="26"/>
      <c r="R711" s="26"/>
      <c r="S711" s="26"/>
      <c r="T711" s="26"/>
      <c r="U711" s="26"/>
      <c r="V711" s="26"/>
      <c r="W711" s="26"/>
      <c r="X711" s="26"/>
    </row>
    <row r="712" hidden="1">
      <c r="A712" s="10" t="s">
        <v>190</v>
      </c>
      <c r="B712" s="10" t="s">
        <v>2355</v>
      </c>
      <c r="C712" s="27" t="s">
        <v>2356</v>
      </c>
      <c r="D712" s="10" t="s">
        <v>2357</v>
      </c>
      <c r="E712" s="28" t="s">
        <v>194</v>
      </c>
      <c r="F712" s="23" t="s">
        <v>195</v>
      </c>
      <c r="G712" s="23" t="s">
        <v>203</v>
      </c>
      <c r="H712" s="23" t="s">
        <v>573</v>
      </c>
      <c r="I712" s="23" t="s">
        <v>672</v>
      </c>
      <c r="J712" s="23" t="s">
        <v>238</v>
      </c>
      <c r="K712" s="23" t="str">
        <f t="shared" si="1"/>
        <v>687001</v>
      </c>
      <c r="L712" s="23"/>
      <c r="M712" s="26"/>
      <c r="N712" s="26"/>
      <c r="O712" s="26"/>
      <c r="P712" s="26"/>
      <c r="Q712" s="26"/>
      <c r="R712" s="26"/>
      <c r="S712" s="26"/>
      <c r="T712" s="26"/>
      <c r="U712" s="26"/>
      <c r="V712" s="26"/>
      <c r="W712" s="26"/>
      <c r="X712" s="26"/>
    </row>
    <row r="713" hidden="1">
      <c r="A713" s="10" t="s">
        <v>190</v>
      </c>
      <c r="B713" s="10" t="s">
        <v>2358</v>
      </c>
      <c r="C713" s="27" t="s">
        <v>2359</v>
      </c>
      <c r="D713" s="10" t="s">
        <v>2360</v>
      </c>
      <c r="E713" s="28" t="s">
        <v>194</v>
      </c>
      <c r="F713" s="23" t="s">
        <v>195</v>
      </c>
      <c r="G713" s="23" t="s">
        <v>203</v>
      </c>
      <c r="H713" s="23" t="s">
        <v>573</v>
      </c>
      <c r="I713" s="23" t="s">
        <v>2361</v>
      </c>
      <c r="J713" s="23" t="s">
        <v>198</v>
      </c>
      <c r="K713" s="23" t="str">
        <f t="shared" si="1"/>
        <v>684338</v>
      </c>
      <c r="L713" s="23"/>
      <c r="M713" s="26"/>
      <c r="N713" s="26"/>
      <c r="O713" s="26"/>
      <c r="P713" s="26"/>
      <c r="Q713" s="26"/>
      <c r="R713" s="26"/>
      <c r="S713" s="26"/>
      <c r="T713" s="26"/>
      <c r="U713" s="26"/>
      <c r="V713" s="26"/>
      <c r="W713" s="26"/>
      <c r="X713" s="26"/>
    </row>
    <row r="714" hidden="1">
      <c r="A714" s="10" t="s">
        <v>499</v>
      </c>
      <c r="B714" s="10" t="s">
        <v>2362</v>
      </c>
      <c r="C714" s="27" t="s">
        <v>2363</v>
      </c>
      <c r="D714" s="10" t="s">
        <v>2364</v>
      </c>
      <c r="E714" s="28" t="s">
        <v>194</v>
      </c>
      <c r="F714" s="23" t="s">
        <v>195</v>
      </c>
      <c r="G714" s="23" t="s">
        <v>203</v>
      </c>
      <c r="H714" s="23" t="s">
        <v>573</v>
      </c>
      <c r="I714" s="32"/>
      <c r="J714" s="23" t="s">
        <v>6</v>
      </c>
      <c r="K714" s="23" t="str">
        <f t="shared" si="1"/>
        <v>644981</v>
      </c>
      <c r="L714" s="23"/>
      <c r="M714" s="26"/>
      <c r="N714" s="26"/>
      <c r="O714" s="26"/>
      <c r="P714" s="26"/>
      <c r="Q714" s="26"/>
      <c r="R714" s="26"/>
      <c r="S714" s="26"/>
      <c r="T714" s="26"/>
      <c r="U714" s="26"/>
      <c r="V714" s="26"/>
      <c r="W714" s="26"/>
      <c r="X714" s="26"/>
    </row>
    <row r="715" hidden="1">
      <c r="A715" s="10" t="s">
        <v>427</v>
      </c>
      <c r="B715" s="10" t="s">
        <v>2365</v>
      </c>
      <c r="C715" s="27" t="s">
        <v>2366</v>
      </c>
      <c r="D715" s="10" t="s">
        <v>2367</v>
      </c>
      <c r="E715" s="28" t="s">
        <v>534</v>
      </c>
      <c r="F715" s="23" t="s">
        <v>757</v>
      </c>
      <c r="G715" s="23" t="s">
        <v>203</v>
      </c>
      <c r="H715" s="23" t="s">
        <v>573</v>
      </c>
      <c r="I715" s="32"/>
      <c r="J715" s="23" t="s">
        <v>6</v>
      </c>
      <c r="K715" s="23" t="str">
        <f t="shared" si="1"/>
        <v>684765</v>
      </c>
      <c r="L715" s="23"/>
      <c r="M715" s="26"/>
      <c r="N715" s="26"/>
      <c r="O715" s="26"/>
      <c r="P715" s="26"/>
      <c r="Q715" s="26"/>
      <c r="R715" s="26"/>
      <c r="S715" s="26"/>
      <c r="T715" s="26"/>
      <c r="U715" s="26"/>
      <c r="V715" s="26"/>
      <c r="W715" s="26"/>
      <c r="X715" s="26"/>
    </row>
    <row r="716" hidden="1">
      <c r="A716" s="10" t="s">
        <v>427</v>
      </c>
      <c r="B716" s="10" t="s">
        <v>2368</v>
      </c>
      <c r="C716" s="27" t="s">
        <v>2369</v>
      </c>
      <c r="D716" s="10" t="s">
        <v>2370</v>
      </c>
      <c r="E716" s="28" t="s">
        <v>534</v>
      </c>
      <c r="F716" s="23" t="s">
        <v>1238</v>
      </c>
      <c r="G716" s="23" t="s">
        <v>203</v>
      </c>
      <c r="H716" s="23" t="s">
        <v>573</v>
      </c>
      <c r="I716" s="32"/>
      <c r="J716" s="23" t="s">
        <v>6</v>
      </c>
      <c r="K716" s="23" t="str">
        <f t="shared" si="1"/>
        <v>685489</v>
      </c>
      <c r="L716" s="23"/>
      <c r="M716" s="26"/>
      <c r="N716" s="26"/>
      <c r="O716" s="26"/>
      <c r="P716" s="26"/>
      <c r="Q716" s="26"/>
      <c r="R716" s="26"/>
      <c r="S716" s="26"/>
      <c r="T716" s="26"/>
      <c r="U716" s="26"/>
      <c r="V716" s="26"/>
      <c r="W716" s="26"/>
      <c r="X716" s="26"/>
    </row>
    <row r="717" hidden="1">
      <c r="A717" s="10" t="s">
        <v>427</v>
      </c>
      <c r="B717" s="10" t="s">
        <v>2371</v>
      </c>
      <c r="C717" s="27" t="s">
        <v>2372</v>
      </c>
      <c r="D717" s="10" t="s">
        <v>2373</v>
      </c>
      <c r="E717" s="28" t="s">
        <v>431</v>
      </c>
      <c r="F717" s="23" t="s">
        <v>1788</v>
      </c>
      <c r="G717" s="23" t="s">
        <v>521</v>
      </c>
      <c r="H717" s="23" t="s">
        <v>573</v>
      </c>
      <c r="I717" s="32"/>
      <c r="J717" s="23" t="s">
        <v>6</v>
      </c>
      <c r="K717" s="23" t="str">
        <f t="shared" si="1"/>
        <v>673257</v>
      </c>
      <c r="L717" s="23"/>
      <c r="M717" s="26"/>
      <c r="N717" s="26"/>
      <c r="O717" s="26"/>
      <c r="P717" s="26"/>
      <c r="Q717" s="26"/>
      <c r="R717" s="26"/>
      <c r="S717" s="26"/>
      <c r="T717" s="26"/>
      <c r="U717" s="26"/>
      <c r="V717" s="26"/>
      <c r="W717" s="26"/>
      <c r="X717" s="26"/>
    </row>
    <row r="718" hidden="1">
      <c r="A718" s="10" t="s">
        <v>427</v>
      </c>
      <c r="B718" s="10" t="s">
        <v>2374</v>
      </c>
      <c r="C718" s="27" t="s">
        <v>2375</v>
      </c>
      <c r="D718" s="10" t="s">
        <v>2376</v>
      </c>
      <c r="E718" s="28" t="s">
        <v>534</v>
      </c>
      <c r="F718" s="23" t="s">
        <v>757</v>
      </c>
      <c r="G718" s="23" t="s">
        <v>521</v>
      </c>
      <c r="H718" s="23" t="s">
        <v>573</v>
      </c>
      <c r="I718" s="32"/>
      <c r="J718" s="23" t="s">
        <v>6</v>
      </c>
      <c r="K718" s="23" t="str">
        <f t="shared" si="1"/>
        <v>682150</v>
      </c>
      <c r="L718" s="23"/>
      <c r="M718" s="26"/>
      <c r="N718" s="26"/>
      <c r="O718" s="26"/>
      <c r="P718" s="26"/>
      <c r="Q718" s="26"/>
      <c r="R718" s="26"/>
      <c r="S718" s="26"/>
      <c r="T718" s="26"/>
      <c r="U718" s="26"/>
      <c r="V718" s="26"/>
      <c r="W718" s="26"/>
      <c r="X718" s="26"/>
    </row>
    <row r="719" hidden="1">
      <c r="A719" s="10" t="s">
        <v>427</v>
      </c>
      <c r="B719" s="10" t="s">
        <v>2377</v>
      </c>
      <c r="C719" s="27" t="s">
        <v>2378</v>
      </c>
      <c r="D719" s="10" t="s">
        <v>2379</v>
      </c>
      <c r="E719" s="28" t="s">
        <v>431</v>
      </c>
      <c r="F719" s="23" t="s">
        <v>432</v>
      </c>
      <c r="G719" s="23" t="s">
        <v>203</v>
      </c>
      <c r="H719" s="23" t="s">
        <v>573</v>
      </c>
      <c r="I719" s="32"/>
      <c r="J719" s="23" t="s">
        <v>6</v>
      </c>
      <c r="K719" s="23" t="str">
        <f t="shared" si="1"/>
        <v>678863</v>
      </c>
      <c r="L719" s="23"/>
      <c r="M719" s="26"/>
      <c r="N719" s="26"/>
      <c r="O719" s="26"/>
      <c r="P719" s="26"/>
      <c r="Q719" s="26"/>
      <c r="R719" s="26"/>
      <c r="S719" s="26"/>
      <c r="T719" s="26"/>
      <c r="U719" s="26"/>
      <c r="V719" s="26"/>
      <c r="W719" s="26"/>
      <c r="X719" s="26"/>
    </row>
    <row r="720" hidden="1">
      <c r="A720" s="10" t="s">
        <v>427</v>
      </c>
      <c r="B720" s="10" t="s">
        <v>2380</v>
      </c>
      <c r="C720" s="27" t="s">
        <v>2381</v>
      </c>
      <c r="D720" s="10" t="s">
        <v>2382</v>
      </c>
      <c r="E720" s="28" t="s">
        <v>431</v>
      </c>
      <c r="F720" s="23" t="s">
        <v>1788</v>
      </c>
      <c r="G720" s="23" t="s">
        <v>521</v>
      </c>
      <c r="H720" s="23" t="s">
        <v>573</v>
      </c>
      <c r="I720" s="32"/>
      <c r="J720" s="23" t="s">
        <v>6</v>
      </c>
      <c r="K720" s="23" t="str">
        <f t="shared" si="1"/>
        <v>675909</v>
      </c>
      <c r="L720" s="23"/>
      <c r="M720" s="26"/>
      <c r="N720" s="26"/>
      <c r="O720" s="26"/>
      <c r="P720" s="26"/>
      <c r="Q720" s="26"/>
      <c r="R720" s="26"/>
      <c r="S720" s="26"/>
      <c r="T720" s="26"/>
      <c r="U720" s="26"/>
      <c r="V720" s="26"/>
      <c r="W720" s="26"/>
      <c r="X720" s="26"/>
    </row>
    <row r="721" hidden="1">
      <c r="A721" s="10" t="s">
        <v>427</v>
      </c>
      <c r="B721" s="10" t="s">
        <v>2383</v>
      </c>
      <c r="C721" s="27" t="s">
        <v>2384</v>
      </c>
      <c r="D721" s="10" t="s">
        <v>2382</v>
      </c>
      <c r="E721" s="28" t="s">
        <v>431</v>
      </c>
      <c r="F721" s="23" t="s">
        <v>933</v>
      </c>
      <c r="G721" s="23" t="s">
        <v>521</v>
      </c>
      <c r="H721" s="23" t="s">
        <v>573</v>
      </c>
      <c r="I721" s="32"/>
      <c r="J721" s="23" t="s">
        <v>6</v>
      </c>
      <c r="K721" s="23" t="str">
        <f t="shared" si="1"/>
        <v>676302</v>
      </c>
      <c r="L721" s="23"/>
      <c r="M721" s="26"/>
      <c r="N721" s="26"/>
      <c r="O721" s="26"/>
      <c r="P721" s="26"/>
      <c r="Q721" s="26"/>
      <c r="R721" s="26"/>
      <c r="S721" s="26"/>
      <c r="T721" s="26"/>
      <c r="U721" s="26"/>
      <c r="V721" s="26"/>
      <c r="W721" s="26"/>
      <c r="X721" s="26"/>
    </row>
    <row r="722" hidden="1">
      <c r="A722" s="10" t="s">
        <v>427</v>
      </c>
      <c r="B722" s="10" t="s">
        <v>2385</v>
      </c>
      <c r="C722" s="27" t="s">
        <v>2386</v>
      </c>
      <c r="D722" s="10" t="s">
        <v>2387</v>
      </c>
      <c r="E722" s="28" t="s">
        <v>534</v>
      </c>
      <c r="F722" s="23" t="s">
        <v>757</v>
      </c>
      <c r="G722" s="23" t="s">
        <v>203</v>
      </c>
      <c r="H722" s="23" t="s">
        <v>573</v>
      </c>
      <c r="I722" s="32"/>
      <c r="J722" s="23" t="s">
        <v>6</v>
      </c>
      <c r="K722" s="23" t="str">
        <f t="shared" si="1"/>
        <v>654010</v>
      </c>
      <c r="L722" s="23"/>
      <c r="M722" s="26"/>
      <c r="N722" s="26"/>
      <c r="O722" s="26"/>
      <c r="P722" s="26"/>
      <c r="Q722" s="26"/>
      <c r="R722" s="26"/>
      <c r="S722" s="26"/>
      <c r="T722" s="26"/>
      <c r="U722" s="26"/>
      <c r="V722" s="26"/>
      <c r="W722" s="26"/>
      <c r="X722" s="26"/>
    </row>
    <row r="723" hidden="1">
      <c r="A723" s="10" t="s">
        <v>427</v>
      </c>
      <c r="B723" s="10" t="s">
        <v>2388</v>
      </c>
      <c r="C723" s="27" t="s">
        <v>2389</v>
      </c>
      <c r="D723" s="10" t="s">
        <v>2390</v>
      </c>
      <c r="E723" s="28" t="s">
        <v>431</v>
      </c>
      <c r="F723" s="23" t="s">
        <v>1788</v>
      </c>
      <c r="G723" s="23" t="s">
        <v>203</v>
      </c>
      <c r="H723" s="23" t="s">
        <v>573</v>
      </c>
      <c r="I723" s="32"/>
      <c r="J723" s="23" t="s">
        <v>6</v>
      </c>
      <c r="K723" s="23" t="str">
        <f t="shared" si="1"/>
        <v>627588</v>
      </c>
      <c r="L723" s="23"/>
      <c r="M723" s="26"/>
      <c r="N723" s="26"/>
      <c r="O723" s="26"/>
      <c r="P723" s="26"/>
      <c r="Q723" s="26"/>
      <c r="R723" s="26"/>
      <c r="S723" s="26"/>
      <c r="T723" s="26"/>
      <c r="U723" s="26"/>
      <c r="V723" s="26"/>
      <c r="W723" s="26"/>
      <c r="X723" s="26"/>
    </row>
    <row r="724" hidden="1">
      <c r="A724" s="10" t="s">
        <v>427</v>
      </c>
      <c r="B724" s="10" t="s">
        <v>2391</v>
      </c>
      <c r="C724" s="27" t="s">
        <v>2392</v>
      </c>
      <c r="D724" s="10" t="s">
        <v>2393</v>
      </c>
      <c r="E724" s="28" t="s">
        <v>534</v>
      </c>
      <c r="F724" s="23" t="s">
        <v>1238</v>
      </c>
      <c r="G724" s="23" t="s">
        <v>203</v>
      </c>
      <c r="H724" s="23" t="s">
        <v>573</v>
      </c>
      <c r="I724" s="32"/>
      <c r="J724" s="23" t="s">
        <v>6</v>
      </c>
      <c r="K724" s="23" t="str">
        <f t="shared" si="1"/>
        <v>654133</v>
      </c>
      <c r="L724" s="23"/>
      <c r="M724" s="26"/>
      <c r="N724" s="26"/>
      <c r="O724" s="26"/>
      <c r="P724" s="26"/>
      <c r="Q724" s="26"/>
      <c r="R724" s="26"/>
      <c r="S724" s="26"/>
      <c r="T724" s="26"/>
      <c r="U724" s="26"/>
      <c r="V724" s="26"/>
      <c r="W724" s="26"/>
      <c r="X724" s="26"/>
    </row>
    <row r="725" hidden="1">
      <c r="A725" s="10" t="s">
        <v>427</v>
      </c>
      <c r="B725" s="10" t="s">
        <v>2394</v>
      </c>
      <c r="C725" s="27" t="s">
        <v>2395</v>
      </c>
      <c r="D725" s="10" t="s">
        <v>2396</v>
      </c>
      <c r="E725" s="28" t="s">
        <v>431</v>
      </c>
      <c r="F725" s="23" t="s">
        <v>946</v>
      </c>
      <c r="G725" s="23" t="s">
        <v>203</v>
      </c>
      <c r="H725" s="23" t="s">
        <v>573</v>
      </c>
      <c r="I725" s="32"/>
      <c r="J725" s="23" t="s">
        <v>6</v>
      </c>
      <c r="K725" s="23" t="str">
        <f t="shared" si="1"/>
        <v>623016</v>
      </c>
      <c r="L725" s="23"/>
      <c r="M725" s="26"/>
      <c r="N725" s="26"/>
      <c r="O725" s="26"/>
      <c r="P725" s="26"/>
      <c r="Q725" s="26"/>
      <c r="R725" s="26"/>
      <c r="S725" s="26"/>
      <c r="T725" s="26"/>
      <c r="U725" s="26"/>
      <c r="V725" s="26"/>
      <c r="W725" s="26"/>
      <c r="X725" s="26"/>
    </row>
    <row r="726" hidden="1">
      <c r="A726" s="10" t="s">
        <v>427</v>
      </c>
      <c r="B726" s="10" t="s">
        <v>2397</v>
      </c>
      <c r="C726" s="27" t="s">
        <v>2398</v>
      </c>
      <c r="D726" s="10" t="s">
        <v>2399</v>
      </c>
      <c r="E726" s="28" t="s">
        <v>431</v>
      </c>
      <c r="F726" s="23" t="s">
        <v>933</v>
      </c>
      <c r="G726" s="23" t="s">
        <v>203</v>
      </c>
      <c r="H726" s="23" t="s">
        <v>573</v>
      </c>
      <c r="I726" s="32"/>
      <c r="J726" s="23" t="s">
        <v>6</v>
      </c>
      <c r="K726" s="23" t="str">
        <f t="shared" si="1"/>
        <v>617220</v>
      </c>
      <c r="L726" s="23"/>
      <c r="M726" s="26"/>
      <c r="N726" s="26"/>
      <c r="O726" s="26"/>
      <c r="P726" s="26"/>
      <c r="Q726" s="26"/>
      <c r="R726" s="26"/>
      <c r="S726" s="26"/>
      <c r="T726" s="26"/>
      <c r="U726" s="26"/>
      <c r="V726" s="26"/>
      <c r="W726" s="26"/>
      <c r="X726" s="26"/>
    </row>
    <row r="727" hidden="1">
      <c r="A727" s="10" t="s">
        <v>427</v>
      </c>
      <c r="B727" s="10" t="s">
        <v>2400</v>
      </c>
      <c r="C727" s="27" t="s">
        <v>2401</v>
      </c>
      <c r="D727" s="10" t="s">
        <v>2402</v>
      </c>
      <c r="E727" s="28" t="s">
        <v>529</v>
      </c>
      <c r="F727" s="23" t="s">
        <v>530</v>
      </c>
      <c r="G727" s="23" t="s">
        <v>203</v>
      </c>
      <c r="H727" s="23" t="s">
        <v>573</v>
      </c>
      <c r="I727" s="32"/>
      <c r="J727" s="23" t="s">
        <v>6</v>
      </c>
      <c r="K727" s="23" t="str">
        <f t="shared" si="1"/>
        <v>671154</v>
      </c>
      <c r="L727" s="23"/>
      <c r="M727" s="26"/>
      <c r="N727" s="26"/>
      <c r="O727" s="26"/>
      <c r="P727" s="26"/>
      <c r="Q727" s="26"/>
      <c r="R727" s="26"/>
      <c r="S727" s="26"/>
      <c r="T727" s="26"/>
      <c r="U727" s="26"/>
      <c r="V727" s="26"/>
      <c r="W727" s="26"/>
      <c r="X727" s="26"/>
    </row>
    <row r="728" hidden="1">
      <c r="A728" s="10" t="s">
        <v>427</v>
      </c>
      <c r="B728" s="10" t="s">
        <v>2403</v>
      </c>
      <c r="C728" s="27" t="s">
        <v>2404</v>
      </c>
      <c r="D728" s="10" t="s">
        <v>2405</v>
      </c>
      <c r="E728" s="28" t="s">
        <v>418</v>
      </c>
      <c r="F728" s="23" t="s">
        <v>977</v>
      </c>
      <c r="G728" s="23" t="s">
        <v>203</v>
      </c>
      <c r="H728" s="23" t="s">
        <v>573</v>
      </c>
      <c r="I728" s="32"/>
      <c r="J728" s="23" t="s">
        <v>6</v>
      </c>
      <c r="K728" s="23" t="str">
        <f t="shared" si="1"/>
        <v>673097</v>
      </c>
      <c r="L728" s="23"/>
      <c r="M728" s="26"/>
      <c r="N728" s="26"/>
      <c r="O728" s="26"/>
      <c r="P728" s="26"/>
      <c r="Q728" s="26"/>
      <c r="R728" s="26"/>
      <c r="S728" s="26"/>
      <c r="T728" s="26"/>
      <c r="U728" s="26"/>
      <c r="V728" s="26"/>
      <c r="W728" s="26"/>
      <c r="X728" s="26"/>
    </row>
    <row r="729" hidden="1">
      <c r="A729" s="10" t="s">
        <v>427</v>
      </c>
      <c r="B729" s="10" t="s">
        <v>2406</v>
      </c>
      <c r="C729" s="27" t="s">
        <v>2407</v>
      </c>
      <c r="D729" s="10" t="s">
        <v>2408</v>
      </c>
      <c r="E729" s="28" t="s">
        <v>534</v>
      </c>
      <c r="F729" s="23" t="s">
        <v>757</v>
      </c>
      <c r="G729" s="23" t="s">
        <v>203</v>
      </c>
      <c r="H729" s="23" t="s">
        <v>573</v>
      </c>
      <c r="I729" s="32"/>
      <c r="J729" s="23" t="s">
        <v>6</v>
      </c>
      <c r="K729" s="23" t="str">
        <f t="shared" si="1"/>
        <v>673004</v>
      </c>
      <c r="L729" s="23"/>
      <c r="M729" s="26"/>
      <c r="N729" s="26"/>
      <c r="O729" s="26"/>
      <c r="P729" s="26"/>
      <c r="Q729" s="26"/>
      <c r="R729" s="26"/>
      <c r="S729" s="26"/>
      <c r="T729" s="26"/>
      <c r="U729" s="26"/>
      <c r="V729" s="26"/>
      <c r="W729" s="26"/>
      <c r="X729" s="26"/>
    </row>
    <row r="730" hidden="1">
      <c r="A730" s="10" t="s">
        <v>427</v>
      </c>
      <c r="B730" s="10" t="s">
        <v>2409</v>
      </c>
      <c r="C730" s="27" t="s">
        <v>2410</v>
      </c>
      <c r="D730" s="10" t="s">
        <v>2411</v>
      </c>
      <c r="E730" s="28" t="s">
        <v>431</v>
      </c>
      <c r="F730" s="23" t="s">
        <v>1788</v>
      </c>
      <c r="G730" s="23" t="s">
        <v>203</v>
      </c>
      <c r="H730" s="23" t="s">
        <v>573</v>
      </c>
      <c r="I730" s="32"/>
      <c r="J730" s="23" t="s">
        <v>6</v>
      </c>
      <c r="K730" s="23" t="str">
        <f t="shared" si="1"/>
        <v>657530</v>
      </c>
      <c r="L730" s="23"/>
      <c r="M730" s="26"/>
      <c r="N730" s="26"/>
      <c r="O730" s="26"/>
      <c r="P730" s="26"/>
      <c r="Q730" s="26"/>
      <c r="R730" s="26"/>
      <c r="S730" s="26"/>
      <c r="T730" s="26"/>
      <c r="U730" s="26"/>
      <c r="V730" s="26"/>
      <c r="W730" s="26"/>
      <c r="X730" s="26"/>
    </row>
    <row r="731" hidden="1">
      <c r="A731" s="10" t="s">
        <v>427</v>
      </c>
      <c r="B731" s="10" t="s">
        <v>2412</v>
      </c>
      <c r="C731" s="27" t="s">
        <v>2413</v>
      </c>
      <c r="D731" s="10" t="s">
        <v>2414</v>
      </c>
      <c r="E731" s="28" t="s">
        <v>431</v>
      </c>
      <c r="F731" s="23" t="s">
        <v>1053</v>
      </c>
      <c r="G731" s="23" t="s">
        <v>203</v>
      </c>
      <c r="H731" s="23" t="s">
        <v>573</v>
      </c>
      <c r="I731" s="32"/>
      <c r="J731" s="23" t="s">
        <v>6</v>
      </c>
      <c r="K731" s="23" t="str">
        <f t="shared" si="1"/>
        <v>670348</v>
      </c>
      <c r="L731" s="23"/>
      <c r="M731" s="26"/>
      <c r="N731" s="26"/>
      <c r="O731" s="26"/>
      <c r="P731" s="26"/>
      <c r="Q731" s="26"/>
      <c r="R731" s="26"/>
      <c r="S731" s="26"/>
      <c r="T731" s="26"/>
      <c r="U731" s="26"/>
      <c r="V731" s="26"/>
      <c r="W731" s="26"/>
      <c r="X731" s="26"/>
    </row>
    <row r="732" hidden="1">
      <c r="A732" s="10" t="s">
        <v>427</v>
      </c>
      <c r="B732" s="10" t="s">
        <v>2415</v>
      </c>
      <c r="C732" s="27" t="s">
        <v>2416</v>
      </c>
      <c r="D732" s="10" t="s">
        <v>2417</v>
      </c>
      <c r="E732" s="28" t="s">
        <v>431</v>
      </c>
      <c r="F732" s="23" t="s">
        <v>946</v>
      </c>
      <c r="G732" s="23" t="s">
        <v>203</v>
      </c>
      <c r="H732" s="23" t="s">
        <v>573</v>
      </c>
      <c r="I732" s="32"/>
      <c r="J732" s="23" t="s">
        <v>6</v>
      </c>
      <c r="K732" s="23" t="str">
        <f t="shared" si="1"/>
        <v>666723</v>
      </c>
      <c r="L732" s="23"/>
      <c r="M732" s="26"/>
      <c r="N732" s="26"/>
      <c r="O732" s="26"/>
      <c r="P732" s="26"/>
      <c r="Q732" s="26"/>
      <c r="R732" s="26"/>
      <c r="S732" s="26"/>
      <c r="T732" s="26"/>
      <c r="U732" s="26"/>
      <c r="V732" s="26"/>
      <c r="W732" s="26"/>
      <c r="X732" s="26"/>
    </row>
    <row r="733" hidden="1">
      <c r="A733" s="10" t="s">
        <v>427</v>
      </c>
      <c r="B733" s="10" t="s">
        <v>2418</v>
      </c>
      <c r="C733" s="27" t="s">
        <v>2419</v>
      </c>
      <c r="D733" s="10" t="s">
        <v>2420</v>
      </c>
      <c r="E733" s="28" t="s">
        <v>431</v>
      </c>
      <c r="F733" s="23" t="s">
        <v>1231</v>
      </c>
      <c r="G733" s="23" t="s">
        <v>203</v>
      </c>
      <c r="H733" s="23" t="s">
        <v>573</v>
      </c>
      <c r="I733" s="32"/>
      <c r="J733" s="23" t="s">
        <v>6</v>
      </c>
      <c r="K733" s="23" t="str">
        <f t="shared" si="1"/>
        <v>657615</v>
      </c>
      <c r="L733" s="23"/>
      <c r="M733" s="26"/>
      <c r="N733" s="26"/>
      <c r="O733" s="26"/>
      <c r="P733" s="26"/>
      <c r="Q733" s="26"/>
      <c r="R733" s="26"/>
      <c r="S733" s="26"/>
      <c r="T733" s="26"/>
      <c r="U733" s="26"/>
      <c r="V733" s="26"/>
      <c r="W733" s="26"/>
      <c r="X733" s="26"/>
    </row>
    <row r="734" hidden="1">
      <c r="A734" s="10" t="s">
        <v>427</v>
      </c>
      <c r="B734" s="10" t="s">
        <v>2421</v>
      </c>
      <c r="C734" s="27" t="s">
        <v>2422</v>
      </c>
      <c r="D734" s="10" t="s">
        <v>2423</v>
      </c>
      <c r="E734" s="28" t="s">
        <v>431</v>
      </c>
      <c r="F734" s="23" t="s">
        <v>1231</v>
      </c>
      <c r="G734" s="23" t="s">
        <v>203</v>
      </c>
      <c r="H734" s="23" t="s">
        <v>573</v>
      </c>
      <c r="I734" s="32"/>
      <c r="J734" s="23" t="s">
        <v>6</v>
      </c>
      <c r="K734" s="23" t="str">
        <f t="shared" si="1"/>
        <v>662596</v>
      </c>
      <c r="L734" s="23"/>
      <c r="M734" s="26"/>
      <c r="N734" s="26"/>
      <c r="O734" s="26"/>
      <c r="P734" s="26"/>
      <c r="Q734" s="26"/>
      <c r="R734" s="26"/>
      <c r="S734" s="26"/>
      <c r="T734" s="26"/>
      <c r="U734" s="26"/>
      <c r="V734" s="26"/>
      <c r="W734" s="26"/>
      <c r="X734" s="26"/>
    </row>
    <row r="735" hidden="1">
      <c r="A735" s="10" t="s">
        <v>427</v>
      </c>
      <c r="B735" s="10" t="s">
        <v>2424</v>
      </c>
      <c r="C735" s="27" t="s">
        <v>2425</v>
      </c>
      <c r="D735" s="10" t="s">
        <v>2426</v>
      </c>
      <c r="E735" s="28" t="s">
        <v>431</v>
      </c>
      <c r="F735" s="23" t="s">
        <v>1235</v>
      </c>
      <c r="G735" s="23" t="s">
        <v>203</v>
      </c>
      <c r="H735" s="23" t="s">
        <v>573</v>
      </c>
      <c r="I735" s="32"/>
      <c r="J735" s="23" t="s">
        <v>6</v>
      </c>
      <c r="K735" s="23" t="str">
        <f t="shared" si="1"/>
        <v>670515</v>
      </c>
      <c r="L735" s="23"/>
      <c r="M735" s="26"/>
      <c r="N735" s="26"/>
      <c r="O735" s="26"/>
      <c r="P735" s="26"/>
      <c r="Q735" s="26"/>
      <c r="R735" s="26"/>
      <c r="S735" s="26"/>
      <c r="T735" s="26"/>
      <c r="U735" s="26"/>
      <c r="V735" s="26"/>
      <c r="W735" s="26"/>
      <c r="X735" s="26"/>
    </row>
    <row r="736" hidden="1">
      <c r="A736" s="10" t="s">
        <v>427</v>
      </c>
      <c r="B736" s="10" t="s">
        <v>2427</v>
      </c>
      <c r="C736" s="27" t="s">
        <v>2428</v>
      </c>
      <c r="D736" s="10" t="s">
        <v>2429</v>
      </c>
      <c r="E736" s="28" t="s">
        <v>431</v>
      </c>
      <c r="F736" s="23" t="s">
        <v>933</v>
      </c>
      <c r="G736" s="23" t="s">
        <v>203</v>
      </c>
      <c r="H736" s="23" t="s">
        <v>573</v>
      </c>
      <c r="I736" s="32"/>
      <c r="J736" s="23" t="s">
        <v>6</v>
      </c>
      <c r="K736" s="23" t="str">
        <f t="shared" si="1"/>
        <v>657554</v>
      </c>
      <c r="L736" s="23"/>
      <c r="M736" s="26"/>
      <c r="N736" s="26"/>
      <c r="O736" s="26"/>
      <c r="P736" s="26"/>
      <c r="Q736" s="26"/>
      <c r="R736" s="26"/>
      <c r="S736" s="26"/>
      <c r="T736" s="26"/>
      <c r="U736" s="26"/>
      <c r="V736" s="26"/>
      <c r="W736" s="26"/>
      <c r="X736" s="26"/>
    </row>
    <row r="737" hidden="1">
      <c r="A737" s="10" t="s">
        <v>427</v>
      </c>
      <c r="B737" s="10" t="s">
        <v>2430</v>
      </c>
      <c r="C737" s="27" t="s">
        <v>2431</v>
      </c>
      <c r="D737" s="10" t="s">
        <v>2432</v>
      </c>
      <c r="E737" s="28" t="s">
        <v>418</v>
      </c>
      <c r="F737" s="23" t="s">
        <v>419</v>
      </c>
      <c r="G737" s="23" t="s">
        <v>203</v>
      </c>
      <c r="H737" s="23" t="s">
        <v>573</v>
      </c>
      <c r="I737" s="32"/>
      <c r="J737" s="23" t="s">
        <v>6</v>
      </c>
      <c r="K737" s="23" t="str">
        <f t="shared" si="1"/>
        <v>668383</v>
      </c>
      <c r="L737" s="23"/>
      <c r="M737" s="26"/>
      <c r="N737" s="26"/>
      <c r="O737" s="26"/>
      <c r="P737" s="26"/>
      <c r="Q737" s="26"/>
      <c r="R737" s="26"/>
      <c r="S737" s="26"/>
      <c r="T737" s="26"/>
      <c r="U737" s="26"/>
      <c r="V737" s="26"/>
      <c r="W737" s="26"/>
      <c r="X737" s="26"/>
    </row>
    <row r="738" hidden="1">
      <c r="A738" s="10" t="s">
        <v>427</v>
      </c>
      <c r="B738" s="10" t="s">
        <v>2433</v>
      </c>
      <c r="C738" s="27" t="s">
        <v>2434</v>
      </c>
      <c r="D738" s="10" t="s">
        <v>2435</v>
      </c>
      <c r="E738" s="28" t="s">
        <v>431</v>
      </c>
      <c r="F738" s="23" t="s">
        <v>1867</v>
      </c>
      <c r="G738" s="23" t="s">
        <v>203</v>
      </c>
      <c r="H738" s="23" t="s">
        <v>573</v>
      </c>
      <c r="I738" s="32"/>
      <c r="J738" s="23" t="s">
        <v>6</v>
      </c>
      <c r="K738" s="23" t="str">
        <f t="shared" si="1"/>
        <v>637440</v>
      </c>
      <c r="L738" s="23"/>
      <c r="M738" s="26"/>
      <c r="N738" s="26"/>
      <c r="O738" s="26"/>
      <c r="P738" s="26"/>
      <c r="Q738" s="26"/>
      <c r="R738" s="26"/>
      <c r="S738" s="26"/>
      <c r="T738" s="26"/>
      <c r="U738" s="26"/>
      <c r="V738" s="26"/>
      <c r="W738" s="26"/>
      <c r="X738" s="26"/>
    </row>
    <row r="739" hidden="1">
      <c r="A739" s="10" t="s">
        <v>427</v>
      </c>
      <c r="B739" s="10" t="s">
        <v>2436</v>
      </c>
      <c r="C739" s="27" t="s">
        <v>2437</v>
      </c>
      <c r="D739" s="10" t="s">
        <v>2438</v>
      </c>
      <c r="E739" s="28" t="s">
        <v>534</v>
      </c>
      <c r="F739" s="23" t="s">
        <v>757</v>
      </c>
      <c r="G739" s="23" t="s">
        <v>203</v>
      </c>
      <c r="H739" s="23" t="s">
        <v>573</v>
      </c>
      <c r="I739" s="32"/>
      <c r="J739" s="23" t="s">
        <v>6</v>
      </c>
      <c r="K739" s="23" t="str">
        <f t="shared" si="1"/>
        <v>648057</v>
      </c>
      <c r="L739" s="23"/>
      <c r="M739" s="26"/>
      <c r="N739" s="26"/>
      <c r="O739" s="26"/>
      <c r="P739" s="26"/>
      <c r="Q739" s="26"/>
      <c r="R739" s="26"/>
      <c r="S739" s="26"/>
      <c r="T739" s="26"/>
      <c r="U739" s="26"/>
      <c r="V739" s="26"/>
      <c r="W739" s="26"/>
      <c r="X739" s="26"/>
    </row>
    <row r="740" hidden="1">
      <c r="A740" s="10" t="s">
        <v>427</v>
      </c>
      <c r="B740" s="10" t="s">
        <v>2439</v>
      </c>
      <c r="C740" s="27" t="s">
        <v>2440</v>
      </c>
      <c r="D740" s="10" t="s">
        <v>2441</v>
      </c>
      <c r="E740" s="28" t="s">
        <v>534</v>
      </c>
      <c r="F740" s="23" t="s">
        <v>757</v>
      </c>
      <c r="G740" s="23" t="s">
        <v>203</v>
      </c>
      <c r="H740" s="23" t="s">
        <v>573</v>
      </c>
      <c r="I740" s="32"/>
      <c r="J740" s="23" t="s">
        <v>6</v>
      </c>
      <c r="K740" s="23" t="str">
        <f t="shared" si="1"/>
        <v>648071</v>
      </c>
      <c r="L740" s="23"/>
      <c r="M740" s="26"/>
      <c r="N740" s="26"/>
      <c r="O740" s="26"/>
      <c r="P740" s="26"/>
      <c r="Q740" s="26"/>
      <c r="R740" s="26"/>
      <c r="S740" s="26"/>
      <c r="T740" s="26"/>
      <c r="U740" s="26"/>
      <c r="V740" s="26"/>
      <c r="W740" s="26"/>
      <c r="X740" s="26"/>
    </row>
    <row r="741" hidden="1">
      <c r="A741" s="10" t="s">
        <v>427</v>
      </c>
      <c r="B741" s="10" t="s">
        <v>2442</v>
      </c>
      <c r="C741" s="27" t="s">
        <v>2443</v>
      </c>
      <c r="D741" s="10" t="s">
        <v>2444</v>
      </c>
      <c r="E741" s="28" t="s">
        <v>431</v>
      </c>
      <c r="F741" s="23" t="s">
        <v>1788</v>
      </c>
      <c r="G741" s="23" t="s">
        <v>203</v>
      </c>
      <c r="H741" s="23" t="s">
        <v>573</v>
      </c>
      <c r="I741" s="32"/>
      <c r="J741" s="23" t="s">
        <v>6</v>
      </c>
      <c r="K741" s="23" t="str">
        <f t="shared" si="1"/>
        <v>644837</v>
      </c>
      <c r="L741" s="23"/>
      <c r="M741" s="26"/>
      <c r="N741" s="26"/>
      <c r="O741" s="26"/>
      <c r="P741" s="26"/>
      <c r="Q741" s="26"/>
      <c r="R741" s="26"/>
      <c r="S741" s="26"/>
      <c r="T741" s="26"/>
      <c r="U741" s="26"/>
      <c r="V741" s="26"/>
      <c r="W741" s="26"/>
      <c r="X741" s="26"/>
    </row>
    <row r="742" hidden="1">
      <c r="A742" s="10" t="s">
        <v>427</v>
      </c>
      <c r="B742" s="10" t="s">
        <v>2445</v>
      </c>
      <c r="C742" s="27" t="s">
        <v>2446</v>
      </c>
      <c r="D742" s="10" t="s">
        <v>2447</v>
      </c>
      <c r="E742" s="28" t="s">
        <v>534</v>
      </c>
      <c r="F742" s="23" t="s">
        <v>1238</v>
      </c>
      <c r="G742" s="23" t="s">
        <v>203</v>
      </c>
      <c r="H742" s="23" t="s">
        <v>573</v>
      </c>
      <c r="I742" s="32"/>
      <c r="J742" s="23" t="s">
        <v>6</v>
      </c>
      <c r="K742" s="23" t="str">
        <f t="shared" si="1"/>
        <v>654072</v>
      </c>
      <c r="L742" s="23"/>
      <c r="M742" s="26"/>
      <c r="N742" s="26"/>
      <c r="O742" s="26"/>
      <c r="P742" s="26"/>
      <c r="Q742" s="26"/>
      <c r="R742" s="26"/>
      <c r="S742" s="26"/>
      <c r="T742" s="26"/>
      <c r="U742" s="26"/>
      <c r="V742" s="26"/>
      <c r="W742" s="26"/>
      <c r="X742" s="26"/>
    </row>
    <row r="743" hidden="1">
      <c r="A743" s="10" t="s">
        <v>427</v>
      </c>
      <c r="B743" s="10" t="s">
        <v>2448</v>
      </c>
      <c r="C743" s="27" t="s">
        <v>2449</v>
      </c>
      <c r="D743" s="10" t="s">
        <v>2450</v>
      </c>
      <c r="E743" s="28" t="s">
        <v>431</v>
      </c>
      <c r="F743" s="23" t="s">
        <v>946</v>
      </c>
      <c r="G743" s="23" t="s">
        <v>203</v>
      </c>
      <c r="H743" s="23" t="s">
        <v>573</v>
      </c>
      <c r="I743" s="32"/>
      <c r="J743" s="23" t="s">
        <v>6</v>
      </c>
      <c r="K743" s="23" t="str">
        <f t="shared" si="1"/>
        <v>647951</v>
      </c>
      <c r="L743" s="23"/>
      <c r="M743" s="26"/>
      <c r="N743" s="26"/>
      <c r="O743" s="26"/>
      <c r="P743" s="26"/>
      <c r="Q743" s="26"/>
      <c r="R743" s="26"/>
      <c r="S743" s="26"/>
      <c r="T743" s="26"/>
      <c r="U743" s="26"/>
      <c r="V743" s="26"/>
      <c r="W743" s="26"/>
      <c r="X743" s="26"/>
    </row>
    <row r="744" hidden="1">
      <c r="A744" s="10" t="s">
        <v>427</v>
      </c>
      <c r="B744" s="10" t="s">
        <v>2451</v>
      </c>
      <c r="C744" s="27" t="s">
        <v>2452</v>
      </c>
      <c r="D744" s="10" t="s">
        <v>2453</v>
      </c>
      <c r="E744" s="28" t="s">
        <v>431</v>
      </c>
      <c r="F744" s="23" t="s">
        <v>1231</v>
      </c>
      <c r="G744" s="23" t="s">
        <v>203</v>
      </c>
      <c r="H744" s="23" t="s">
        <v>573</v>
      </c>
      <c r="I744" s="32"/>
      <c r="J744" s="23" t="s">
        <v>6</v>
      </c>
      <c r="K744" s="23" t="str">
        <f t="shared" si="1"/>
        <v>644790</v>
      </c>
      <c r="L744" s="23"/>
      <c r="M744" s="26"/>
      <c r="N744" s="26"/>
      <c r="O744" s="26"/>
      <c r="P744" s="26"/>
      <c r="Q744" s="26"/>
      <c r="R744" s="26"/>
      <c r="S744" s="26"/>
      <c r="T744" s="26"/>
      <c r="U744" s="26"/>
      <c r="V744" s="26"/>
      <c r="W744" s="26"/>
      <c r="X744" s="26"/>
    </row>
    <row r="745" hidden="1">
      <c r="A745" s="10" t="s">
        <v>427</v>
      </c>
      <c r="B745" s="10" t="s">
        <v>2454</v>
      </c>
      <c r="C745" s="27" t="s">
        <v>2455</v>
      </c>
      <c r="D745" s="10" t="s">
        <v>2456</v>
      </c>
      <c r="E745" s="28" t="s">
        <v>431</v>
      </c>
      <c r="F745" s="23" t="s">
        <v>933</v>
      </c>
      <c r="G745" s="23" t="s">
        <v>203</v>
      </c>
      <c r="H745" s="23" t="s">
        <v>573</v>
      </c>
      <c r="I745" s="32"/>
      <c r="J745" s="23" t="s">
        <v>6</v>
      </c>
      <c r="K745" s="23" t="str">
        <f t="shared" si="1"/>
        <v>644851</v>
      </c>
      <c r="L745" s="23"/>
      <c r="M745" s="26"/>
      <c r="N745" s="26"/>
      <c r="O745" s="26"/>
      <c r="P745" s="26"/>
      <c r="Q745" s="26"/>
      <c r="R745" s="26"/>
      <c r="S745" s="26"/>
      <c r="T745" s="26"/>
      <c r="U745" s="26"/>
      <c r="V745" s="26"/>
      <c r="W745" s="26"/>
      <c r="X745" s="26"/>
    </row>
    <row r="746" hidden="1">
      <c r="A746" s="10" t="s">
        <v>190</v>
      </c>
      <c r="B746" s="10" t="s">
        <v>2457</v>
      </c>
      <c r="C746" s="27" t="s">
        <v>126</v>
      </c>
      <c r="D746" s="10" t="s">
        <v>127</v>
      </c>
      <c r="E746" s="28" t="s">
        <v>194</v>
      </c>
      <c r="F746" s="23" t="s">
        <v>195</v>
      </c>
      <c r="G746" s="23" t="s">
        <v>196</v>
      </c>
      <c r="H746" s="23" t="s">
        <v>1625</v>
      </c>
      <c r="I746" s="23" t="s">
        <v>1626</v>
      </c>
      <c r="J746" s="23" t="s">
        <v>238</v>
      </c>
      <c r="K746" s="23" t="str">
        <f t="shared" si="1"/>
        <v>664729</v>
      </c>
      <c r="L746" s="23"/>
      <c r="M746" s="26"/>
      <c r="N746" s="26"/>
      <c r="O746" s="26"/>
      <c r="P746" s="26"/>
      <c r="Q746" s="26"/>
      <c r="R746" s="26"/>
      <c r="S746" s="26"/>
      <c r="T746" s="26"/>
      <c r="U746" s="26"/>
      <c r="V746" s="26"/>
      <c r="W746" s="26"/>
      <c r="X746" s="26"/>
    </row>
    <row r="747" hidden="1">
      <c r="A747" s="10" t="s">
        <v>190</v>
      </c>
      <c r="B747" s="10" t="s">
        <v>2458</v>
      </c>
      <c r="C747" s="27" t="s">
        <v>2459</v>
      </c>
      <c r="D747" s="10" t="s">
        <v>2460</v>
      </c>
      <c r="E747" s="28" t="s">
        <v>194</v>
      </c>
      <c r="F747" s="23" t="s">
        <v>195</v>
      </c>
      <c r="G747" s="23" t="s">
        <v>196</v>
      </c>
      <c r="H747" s="23" t="s">
        <v>1625</v>
      </c>
      <c r="I747" s="23" t="s">
        <v>1626</v>
      </c>
      <c r="J747" s="23" t="s">
        <v>238</v>
      </c>
      <c r="K747" s="23" t="str">
        <f t="shared" si="1"/>
        <v>667928</v>
      </c>
      <c r="L747" s="23"/>
      <c r="M747" s="26"/>
      <c r="N747" s="26"/>
      <c r="O747" s="26"/>
      <c r="P747" s="26"/>
      <c r="Q747" s="26"/>
      <c r="R747" s="26"/>
      <c r="S747" s="26"/>
      <c r="T747" s="26"/>
      <c r="U747" s="26"/>
      <c r="V747" s="26"/>
      <c r="W747" s="26"/>
      <c r="X747" s="26"/>
    </row>
    <row r="748" hidden="1">
      <c r="A748" s="10" t="s">
        <v>190</v>
      </c>
      <c r="B748" s="10" t="s">
        <v>2461</v>
      </c>
      <c r="C748" s="27" t="s">
        <v>2462</v>
      </c>
      <c r="D748" s="10" t="s">
        <v>2463</v>
      </c>
      <c r="E748" s="28" t="s">
        <v>194</v>
      </c>
      <c r="F748" s="23" t="s">
        <v>195</v>
      </c>
      <c r="G748" s="23" t="s">
        <v>196</v>
      </c>
      <c r="H748" s="23" t="s">
        <v>1625</v>
      </c>
      <c r="I748" s="23" t="s">
        <v>1626</v>
      </c>
      <c r="J748" s="23" t="s">
        <v>198</v>
      </c>
      <c r="K748" s="23" t="str">
        <f t="shared" si="1"/>
        <v>602806</v>
      </c>
      <c r="L748" s="23"/>
      <c r="M748" s="26"/>
      <c r="N748" s="26"/>
      <c r="O748" s="26"/>
      <c r="P748" s="26"/>
      <c r="Q748" s="26"/>
      <c r="R748" s="26"/>
      <c r="S748" s="26"/>
      <c r="T748" s="26"/>
      <c r="U748" s="26"/>
      <c r="V748" s="26"/>
      <c r="W748" s="26"/>
      <c r="X748" s="26"/>
    </row>
    <row r="749" hidden="1">
      <c r="A749" s="10" t="s">
        <v>190</v>
      </c>
      <c r="B749" s="10" t="s">
        <v>2464</v>
      </c>
      <c r="C749" s="27" t="s">
        <v>2465</v>
      </c>
      <c r="D749" s="10" t="s">
        <v>2466</v>
      </c>
      <c r="E749" s="28" t="s">
        <v>194</v>
      </c>
      <c r="F749" s="23" t="s">
        <v>195</v>
      </c>
      <c r="G749" s="23" t="s">
        <v>196</v>
      </c>
      <c r="H749" s="23" t="s">
        <v>1625</v>
      </c>
      <c r="I749" s="23" t="s">
        <v>1626</v>
      </c>
      <c r="J749" s="23" t="s">
        <v>198</v>
      </c>
      <c r="K749" s="23" t="str">
        <f t="shared" si="1"/>
        <v>602820</v>
      </c>
      <c r="L749" s="23"/>
      <c r="M749" s="26"/>
      <c r="N749" s="26"/>
      <c r="O749" s="26"/>
      <c r="P749" s="26"/>
      <c r="Q749" s="26"/>
      <c r="R749" s="26"/>
      <c r="S749" s="26"/>
      <c r="T749" s="26"/>
      <c r="U749" s="26"/>
      <c r="V749" s="26"/>
      <c r="W749" s="26"/>
      <c r="X749" s="26"/>
    </row>
    <row r="750" hidden="1">
      <c r="A750" s="10" t="s">
        <v>190</v>
      </c>
      <c r="B750" s="10" t="s">
        <v>2467</v>
      </c>
      <c r="C750" s="27" t="s">
        <v>2468</v>
      </c>
      <c r="D750" s="10" t="s">
        <v>2469</v>
      </c>
      <c r="E750" s="28" t="s">
        <v>194</v>
      </c>
      <c r="F750" s="23" t="s">
        <v>195</v>
      </c>
      <c r="G750" s="23" t="s">
        <v>203</v>
      </c>
      <c r="H750" s="23" t="s">
        <v>600</v>
      </c>
      <c r="I750" s="23" t="s">
        <v>1579</v>
      </c>
      <c r="J750" s="23" t="s">
        <v>198</v>
      </c>
      <c r="K750" s="23" t="str">
        <f t="shared" si="1"/>
        <v>684062</v>
      </c>
      <c r="L750" s="23"/>
      <c r="M750" s="26"/>
      <c r="N750" s="26"/>
      <c r="O750" s="26"/>
      <c r="P750" s="26"/>
      <c r="Q750" s="26"/>
      <c r="R750" s="26"/>
      <c r="S750" s="26"/>
      <c r="T750" s="26"/>
      <c r="U750" s="26"/>
      <c r="V750" s="26"/>
      <c r="W750" s="26"/>
      <c r="X750" s="26"/>
    </row>
    <row r="751" hidden="1">
      <c r="A751" s="10" t="s">
        <v>190</v>
      </c>
      <c r="B751" s="10" t="s">
        <v>2470</v>
      </c>
      <c r="C751" s="27" t="s">
        <v>2471</v>
      </c>
      <c r="D751" s="10" t="s">
        <v>2472</v>
      </c>
      <c r="E751" s="28" t="s">
        <v>194</v>
      </c>
      <c r="F751" s="23" t="s">
        <v>195</v>
      </c>
      <c r="G751" s="23" t="s">
        <v>203</v>
      </c>
      <c r="H751" s="23" t="s">
        <v>600</v>
      </c>
      <c r="I751" s="23" t="s">
        <v>2473</v>
      </c>
      <c r="J751" s="23" t="s">
        <v>198</v>
      </c>
      <c r="K751" s="23" t="str">
        <f t="shared" si="1"/>
        <v>682327</v>
      </c>
      <c r="L751" s="23"/>
      <c r="M751" s="26"/>
      <c r="N751" s="26"/>
      <c r="O751" s="26"/>
      <c r="P751" s="26"/>
      <c r="Q751" s="26"/>
      <c r="R751" s="26"/>
      <c r="S751" s="26"/>
      <c r="T751" s="26"/>
      <c r="U751" s="26"/>
      <c r="V751" s="26"/>
      <c r="W751" s="26"/>
      <c r="X751" s="26"/>
    </row>
    <row r="752" hidden="1">
      <c r="A752" s="10" t="s">
        <v>190</v>
      </c>
      <c r="B752" s="10" t="s">
        <v>2474</v>
      </c>
      <c r="C752" s="27" t="s">
        <v>2475</v>
      </c>
      <c r="D752" s="10" t="s">
        <v>2476</v>
      </c>
      <c r="E752" s="28" t="s">
        <v>194</v>
      </c>
      <c r="F752" s="23" t="s">
        <v>195</v>
      </c>
      <c r="G752" s="23" t="s">
        <v>203</v>
      </c>
      <c r="H752" s="23" t="s">
        <v>600</v>
      </c>
      <c r="I752" s="23" t="s">
        <v>1664</v>
      </c>
      <c r="J752" s="23" t="s">
        <v>198</v>
      </c>
      <c r="K752" s="23" t="str">
        <f t="shared" si="1"/>
        <v>682037</v>
      </c>
      <c r="L752" s="23"/>
      <c r="M752" s="26"/>
      <c r="N752" s="26"/>
      <c r="O752" s="26"/>
      <c r="P752" s="26"/>
      <c r="Q752" s="26"/>
      <c r="R752" s="26"/>
      <c r="S752" s="26"/>
      <c r="T752" s="26"/>
      <c r="U752" s="26"/>
      <c r="V752" s="26"/>
      <c r="W752" s="26"/>
      <c r="X752" s="26"/>
    </row>
    <row r="753" hidden="1">
      <c r="A753" s="10" t="s">
        <v>190</v>
      </c>
      <c r="B753" s="10" t="s">
        <v>2477</v>
      </c>
      <c r="C753" s="27" t="s">
        <v>2478</v>
      </c>
      <c r="D753" s="10" t="s">
        <v>2479</v>
      </c>
      <c r="E753" s="28" t="s">
        <v>194</v>
      </c>
      <c r="F753" s="23" t="s">
        <v>195</v>
      </c>
      <c r="G753" s="23" t="s">
        <v>203</v>
      </c>
      <c r="H753" s="23" t="s">
        <v>600</v>
      </c>
      <c r="I753" s="23" t="s">
        <v>2480</v>
      </c>
      <c r="J753" s="23" t="s">
        <v>198</v>
      </c>
      <c r="K753" s="23" t="str">
        <f t="shared" si="1"/>
        <v>687841</v>
      </c>
      <c r="L753" s="23"/>
      <c r="M753" s="26"/>
      <c r="N753" s="26"/>
      <c r="O753" s="26"/>
      <c r="P753" s="26"/>
      <c r="Q753" s="26"/>
      <c r="R753" s="26"/>
      <c r="S753" s="26"/>
      <c r="T753" s="26"/>
      <c r="U753" s="26"/>
      <c r="V753" s="26"/>
      <c r="W753" s="26"/>
      <c r="X753" s="26"/>
    </row>
    <row r="754" hidden="1">
      <c r="A754" s="10" t="s">
        <v>190</v>
      </c>
      <c r="B754" s="10" t="s">
        <v>2481</v>
      </c>
      <c r="C754" s="27" t="s">
        <v>2482</v>
      </c>
      <c r="D754" s="10" t="s">
        <v>2483</v>
      </c>
      <c r="E754" s="28" t="s">
        <v>194</v>
      </c>
      <c r="F754" s="23" t="s">
        <v>195</v>
      </c>
      <c r="G754" s="23" t="s">
        <v>203</v>
      </c>
      <c r="H754" s="23" t="s">
        <v>600</v>
      </c>
      <c r="I754" s="23" t="s">
        <v>2484</v>
      </c>
      <c r="J754" s="23" t="s">
        <v>198</v>
      </c>
      <c r="K754" s="23" t="str">
        <f t="shared" si="1"/>
        <v>687735</v>
      </c>
      <c r="L754" s="23"/>
      <c r="M754" s="26"/>
      <c r="N754" s="26"/>
      <c r="O754" s="26"/>
      <c r="P754" s="26"/>
      <c r="Q754" s="26"/>
      <c r="R754" s="26"/>
      <c r="S754" s="26"/>
      <c r="T754" s="26"/>
      <c r="U754" s="26"/>
      <c r="V754" s="26"/>
      <c r="W754" s="26"/>
      <c r="X754" s="26"/>
    </row>
    <row r="755" hidden="1">
      <c r="A755" s="10" t="s">
        <v>190</v>
      </c>
      <c r="B755" s="10" t="s">
        <v>2485</v>
      </c>
      <c r="C755" s="27" t="s">
        <v>2486</v>
      </c>
      <c r="D755" s="10" t="s">
        <v>2487</v>
      </c>
      <c r="E755" s="28" t="s">
        <v>194</v>
      </c>
      <c r="F755" s="23" t="s">
        <v>195</v>
      </c>
      <c r="G755" s="23" t="s">
        <v>203</v>
      </c>
      <c r="H755" s="23" t="s">
        <v>600</v>
      </c>
      <c r="I755" s="23" t="s">
        <v>2488</v>
      </c>
      <c r="J755" s="23" t="s">
        <v>198</v>
      </c>
      <c r="K755" s="23" t="str">
        <f t="shared" si="1"/>
        <v>687711</v>
      </c>
      <c r="L755" s="23"/>
      <c r="M755" s="26"/>
      <c r="N755" s="26"/>
      <c r="O755" s="26"/>
      <c r="P755" s="26"/>
      <c r="Q755" s="26"/>
      <c r="R755" s="26"/>
      <c r="S755" s="26"/>
      <c r="T755" s="26"/>
      <c r="U755" s="26"/>
      <c r="V755" s="26"/>
      <c r="W755" s="26"/>
      <c r="X755" s="26"/>
    </row>
    <row r="756" hidden="1">
      <c r="A756" s="10" t="s">
        <v>190</v>
      </c>
      <c r="B756" s="10" t="s">
        <v>2489</v>
      </c>
      <c r="C756" s="27" t="s">
        <v>2490</v>
      </c>
      <c r="D756" s="10" t="s">
        <v>2491</v>
      </c>
      <c r="E756" s="28" t="s">
        <v>194</v>
      </c>
      <c r="F756" s="23" t="s">
        <v>195</v>
      </c>
      <c r="G756" s="23" t="s">
        <v>203</v>
      </c>
      <c r="H756" s="23" t="s">
        <v>600</v>
      </c>
      <c r="I756" s="23" t="s">
        <v>893</v>
      </c>
      <c r="J756" s="23" t="s">
        <v>198</v>
      </c>
      <c r="K756" s="23" t="str">
        <f t="shared" si="1"/>
        <v>682341</v>
      </c>
      <c r="L756" s="23"/>
      <c r="M756" s="26"/>
      <c r="N756" s="26"/>
      <c r="O756" s="26"/>
      <c r="P756" s="26"/>
      <c r="Q756" s="26"/>
      <c r="R756" s="26"/>
      <c r="S756" s="26"/>
      <c r="T756" s="26"/>
      <c r="U756" s="26"/>
      <c r="V756" s="26"/>
      <c r="W756" s="26"/>
      <c r="X756" s="26"/>
    </row>
    <row r="757" hidden="1">
      <c r="A757" s="10" t="s">
        <v>190</v>
      </c>
      <c r="B757" s="10" t="s">
        <v>2492</v>
      </c>
      <c r="C757" s="27" t="s">
        <v>2493</v>
      </c>
      <c r="D757" s="10" t="s">
        <v>2494</v>
      </c>
      <c r="E757" s="28" t="s">
        <v>194</v>
      </c>
      <c r="F757" s="23" t="s">
        <v>195</v>
      </c>
      <c r="G757" s="23" t="s">
        <v>203</v>
      </c>
      <c r="H757" s="23" t="s">
        <v>600</v>
      </c>
      <c r="I757" s="23" t="s">
        <v>253</v>
      </c>
      <c r="J757" s="23" t="s">
        <v>198</v>
      </c>
      <c r="K757" s="23" t="str">
        <f t="shared" si="1"/>
        <v>682334</v>
      </c>
      <c r="L757" s="23"/>
      <c r="M757" s="26"/>
      <c r="N757" s="26"/>
      <c r="O757" s="26"/>
      <c r="P757" s="26"/>
      <c r="Q757" s="26"/>
      <c r="R757" s="26"/>
      <c r="S757" s="26"/>
      <c r="T757" s="26"/>
      <c r="U757" s="26"/>
      <c r="V757" s="26"/>
      <c r="W757" s="26"/>
      <c r="X757" s="26"/>
    </row>
    <row r="758" hidden="1">
      <c r="A758" s="10" t="s">
        <v>499</v>
      </c>
      <c r="B758" s="10" t="s">
        <v>2495</v>
      </c>
      <c r="C758" s="27" t="s">
        <v>2496</v>
      </c>
      <c r="D758" s="10" t="s">
        <v>2497</v>
      </c>
      <c r="E758" s="28" t="s">
        <v>194</v>
      </c>
      <c r="F758" s="23" t="s">
        <v>2498</v>
      </c>
      <c r="G758" s="23" t="s">
        <v>203</v>
      </c>
      <c r="H758" s="23" t="s">
        <v>600</v>
      </c>
      <c r="I758" s="32"/>
      <c r="J758" s="23" t="s">
        <v>6</v>
      </c>
      <c r="K758" s="23" t="str">
        <f t="shared" si="1"/>
        <v>654348</v>
      </c>
      <c r="L758" s="23"/>
      <c r="M758" s="26"/>
      <c r="N758" s="26"/>
      <c r="O758" s="26"/>
      <c r="P758" s="26"/>
      <c r="Q758" s="26"/>
      <c r="R758" s="26"/>
      <c r="S758" s="26"/>
      <c r="T758" s="26"/>
      <c r="U758" s="26"/>
      <c r="V758" s="26"/>
      <c r="W758" s="26"/>
      <c r="X758" s="26"/>
    </row>
    <row r="759" hidden="1">
      <c r="A759" s="10" t="s">
        <v>499</v>
      </c>
      <c r="B759" s="10" t="s">
        <v>2499</v>
      </c>
      <c r="C759" s="27" t="s">
        <v>2500</v>
      </c>
      <c r="D759" s="10" t="s">
        <v>2501</v>
      </c>
      <c r="E759" s="28" t="s">
        <v>194</v>
      </c>
      <c r="F759" s="23" t="s">
        <v>835</v>
      </c>
      <c r="G759" s="23" t="s">
        <v>203</v>
      </c>
      <c r="H759" s="23" t="s">
        <v>600</v>
      </c>
      <c r="I759" s="32"/>
      <c r="J759" s="23" t="s">
        <v>6</v>
      </c>
      <c r="K759" s="23" t="str">
        <f t="shared" si="1"/>
        <v>683942</v>
      </c>
      <c r="L759" s="23"/>
      <c r="M759" s="26"/>
      <c r="N759" s="26"/>
      <c r="O759" s="26"/>
      <c r="P759" s="26"/>
      <c r="Q759" s="26"/>
      <c r="R759" s="26"/>
      <c r="S759" s="26"/>
      <c r="T759" s="26"/>
      <c r="U759" s="26"/>
      <c r="V759" s="26"/>
      <c r="W759" s="26"/>
      <c r="X759" s="26"/>
    </row>
    <row r="760" hidden="1">
      <c r="A760" s="10" t="s">
        <v>499</v>
      </c>
      <c r="B760" s="10" t="s">
        <v>2502</v>
      </c>
      <c r="C760" s="27" t="s">
        <v>2503</v>
      </c>
      <c r="D760" s="10" t="s">
        <v>2504</v>
      </c>
      <c r="E760" s="28" t="s">
        <v>194</v>
      </c>
      <c r="F760" s="23" t="s">
        <v>195</v>
      </c>
      <c r="G760" s="23" t="s">
        <v>203</v>
      </c>
      <c r="H760" s="23" t="s">
        <v>600</v>
      </c>
      <c r="I760" s="23" t="s">
        <v>1664</v>
      </c>
      <c r="J760" s="23" t="s">
        <v>6</v>
      </c>
      <c r="K760" s="23" t="str">
        <f t="shared" si="1"/>
        <v>635088</v>
      </c>
      <c r="L760" s="23"/>
      <c r="M760" s="26"/>
      <c r="N760" s="26"/>
      <c r="O760" s="26"/>
      <c r="P760" s="26"/>
      <c r="Q760" s="26"/>
      <c r="R760" s="26"/>
      <c r="S760" s="26"/>
      <c r="T760" s="26"/>
      <c r="U760" s="26"/>
      <c r="V760" s="26"/>
      <c r="W760" s="26"/>
      <c r="X760" s="26"/>
    </row>
    <row r="761" hidden="1">
      <c r="A761" s="10" t="s">
        <v>499</v>
      </c>
      <c r="B761" s="10" t="s">
        <v>2505</v>
      </c>
      <c r="C761" s="27" t="s">
        <v>2506</v>
      </c>
      <c r="D761" s="10" t="s">
        <v>2507</v>
      </c>
      <c r="E761" s="28" t="s">
        <v>194</v>
      </c>
      <c r="F761" s="23" t="s">
        <v>195</v>
      </c>
      <c r="G761" s="23" t="s">
        <v>203</v>
      </c>
      <c r="H761" s="23" t="s">
        <v>600</v>
      </c>
      <c r="I761" s="23" t="s">
        <v>1664</v>
      </c>
      <c r="J761" s="23" t="s">
        <v>6</v>
      </c>
      <c r="K761" s="23" t="str">
        <f t="shared" si="1"/>
        <v>636283</v>
      </c>
      <c r="L761" s="23"/>
      <c r="M761" s="26"/>
      <c r="N761" s="26"/>
      <c r="O761" s="26"/>
      <c r="P761" s="26"/>
      <c r="Q761" s="26"/>
      <c r="R761" s="26"/>
      <c r="S761" s="26"/>
      <c r="T761" s="26"/>
      <c r="U761" s="26"/>
      <c r="V761" s="26"/>
      <c r="W761" s="26"/>
      <c r="X761" s="26"/>
    </row>
    <row r="762" hidden="1">
      <c r="A762" s="10" t="s">
        <v>499</v>
      </c>
      <c r="B762" s="10" t="s">
        <v>2508</v>
      </c>
      <c r="C762" s="27" t="s">
        <v>2509</v>
      </c>
      <c r="D762" s="10" t="s">
        <v>2510</v>
      </c>
      <c r="E762" s="28" t="s">
        <v>194</v>
      </c>
      <c r="F762" s="23" t="s">
        <v>195</v>
      </c>
      <c r="G762" s="23" t="s">
        <v>203</v>
      </c>
      <c r="H762" s="23" t="s">
        <v>600</v>
      </c>
      <c r="I762" s="32"/>
      <c r="J762" s="23" t="s">
        <v>6</v>
      </c>
      <c r="K762" s="23" t="str">
        <f t="shared" si="1"/>
        <v>633664</v>
      </c>
      <c r="L762" s="23"/>
      <c r="M762" s="26"/>
      <c r="N762" s="26"/>
      <c r="O762" s="26"/>
      <c r="P762" s="26"/>
      <c r="Q762" s="26"/>
      <c r="R762" s="26"/>
      <c r="S762" s="26"/>
      <c r="T762" s="26"/>
      <c r="U762" s="26"/>
      <c r="V762" s="26"/>
      <c r="W762" s="26"/>
      <c r="X762" s="26"/>
    </row>
    <row r="763" hidden="1">
      <c r="A763" s="10" t="s">
        <v>499</v>
      </c>
      <c r="B763" s="10" t="s">
        <v>2511</v>
      </c>
      <c r="C763" s="27" t="s">
        <v>2512</v>
      </c>
      <c r="D763" s="10" t="s">
        <v>2513</v>
      </c>
      <c r="E763" s="28" t="s">
        <v>194</v>
      </c>
      <c r="F763" s="23" t="s">
        <v>195</v>
      </c>
      <c r="G763" s="23" t="s">
        <v>203</v>
      </c>
      <c r="H763" s="23" t="s">
        <v>600</v>
      </c>
      <c r="I763" s="32"/>
      <c r="J763" s="23" t="s">
        <v>6</v>
      </c>
      <c r="K763" s="23" t="str">
        <f t="shared" si="1"/>
        <v>676227</v>
      </c>
      <c r="L763" s="23"/>
      <c r="M763" s="26"/>
      <c r="N763" s="26"/>
      <c r="O763" s="26"/>
      <c r="P763" s="26"/>
      <c r="Q763" s="26"/>
      <c r="R763" s="26"/>
      <c r="S763" s="26"/>
      <c r="T763" s="26"/>
      <c r="U763" s="26"/>
      <c r="V763" s="26"/>
      <c r="W763" s="26"/>
      <c r="X763" s="26"/>
    </row>
    <row r="764" hidden="1">
      <c r="A764" s="10" t="s">
        <v>499</v>
      </c>
      <c r="B764" s="10" t="s">
        <v>2514</v>
      </c>
      <c r="C764" s="27" t="s">
        <v>2515</v>
      </c>
      <c r="D764" s="10" t="s">
        <v>2516</v>
      </c>
      <c r="E764" s="28" t="s">
        <v>194</v>
      </c>
      <c r="F764" s="23" t="s">
        <v>195</v>
      </c>
      <c r="G764" s="23" t="s">
        <v>203</v>
      </c>
      <c r="H764" s="23" t="s">
        <v>600</v>
      </c>
      <c r="I764" s="32"/>
      <c r="J764" s="23" t="s">
        <v>6</v>
      </c>
      <c r="K764" s="23" t="str">
        <f t="shared" si="1"/>
        <v>635163</v>
      </c>
      <c r="L764" s="23"/>
      <c r="M764" s="26"/>
      <c r="N764" s="26"/>
      <c r="O764" s="26"/>
      <c r="P764" s="26"/>
      <c r="Q764" s="26"/>
      <c r="R764" s="26"/>
      <c r="S764" s="26"/>
      <c r="T764" s="26"/>
      <c r="U764" s="26"/>
      <c r="V764" s="26"/>
      <c r="W764" s="26"/>
      <c r="X764" s="26"/>
    </row>
    <row r="765" hidden="1">
      <c r="A765" s="10" t="s">
        <v>427</v>
      </c>
      <c r="B765" s="10" t="s">
        <v>2517</v>
      </c>
      <c r="C765" s="27" t="s">
        <v>2518</v>
      </c>
      <c r="D765" s="10" t="s">
        <v>2519</v>
      </c>
      <c r="E765" s="28" t="s">
        <v>534</v>
      </c>
      <c r="F765" s="23" t="s">
        <v>1238</v>
      </c>
      <c r="G765" s="23" t="s">
        <v>203</v>
      </c>
      <c r="H765" s="23" t="s">
        <v>600</v>
      </c>
      <c r="I765" s="32"/>
      <c r="J765" s="23" t="s">
        <v>6</v>
      </c>
      <c r="K765" s="23" t="str">
        <f t="shared" si="1"/>
        <v>643915</v>
      </c>
      <c r="L765" s="23"/>
      <c r="M765" s="26"/>
      <c r="N765" s="26"/>
      <c r="O765" s="26"/>
      <c r="P765" s="26"/>
      <c r="Q765" s="26"/>
      <c r="R765" s="26"/>
      <c r="S765" s="26"/>
      <c r="T765" s="26"/>
      <c r="U765" s="26"/>
      <c r="V765" s="26"/>
      <c r="W765" s="26"/>
      <c r="X765" s="26"/>
    </row>
    <row r="766" hidden="1">
      <c r="A766" s="10" t="s">
        <v>427</v>
      </c>
      <c r="B766" s="10" t="s">
        <v>2520</v>
      </c>
      <c r="C766" s="27" t="s">
        <v>2521</v>
      </c>
      <c r="D766" s="10" t="s">
        <v>2522</v>
      </c>
      <c r="E766" s="28" t="s">
        <v>534</v>
      </c>
      <c r="F766" s="23" t="s">
        <v>757</v>
      </c>
      <c r="G766" s="23" t="s">
        <v>203</v>
      </c>
      <c r="H766" s="23" t="s">
        <v>600</v>
      </c>
      <c r="I766" s="32"/>
      <c r="J766" s="23" t="s">
        <v>6</v>
      </c>
      <c r="K766" s="23" t="str">
        <f t="shared" si="1"/>
        <v>643557</v>
      </c>
      <c r="L766" s="23"/>
      <c r="M766" s="26"/>
      <c r="N766" s="26"/>
      <c r="O766" s="26"/>
      <c r="P766" s="26"/>
      <c r="Q766" s="26"/>
      <c r="R766" s="26"/>
      <c r="S766" s="26"/>
      <c r="T766" s="26"/>
      <c r="U766" s="26"/>
      <c r="V766" s="26"/>
      <c r="W766" s="26"/>
      <c r="X766" s="26"/>
    </row>
    <row r="767" hidden="1">
      <c r="A767" s="10" t="s">
        <v>427</v>
      </c>
      <c r="B767" s="10" t="s">
        <v>2523</v>
      </c>
      <c r="C767" s="27" t="s">
        <v>2524</v>
      </c>
      <c r="D767" s="10" t="s">
        <v>2525</v>
      </c>
      <c r="E767" s="28" t="s">
        <v>431</v>
      </c>
      <c r="F767" s="23" t="s">
        <v>432</v>
      </c>
      <c r="G767" s="23" t="s">
        <v>203</v>
      </c>
      <c r="H767" s="23" t="s">
        <v>600</v>
      </c>
      <c r="I767" s="32"/>
      <c r="J767" s="23" t="s">
        <v>6</v>
      </c>
      <c r="K767" s="23" t="str">
        <f t="shared" si="1"/>
        <v>678832</v>
      </c>
      <c r="L767" s="23"/>
      <c r="M767" s="26"/>
      <c r="N767" s="26"/>
      <c r="O767" s="26"/>
      <c r="P767" s="26"/>
      <c r="Q767" s="26"/>
      <c r="R767" s="26"/>
      <c r="S767" s="26"/>
      <c r="T767" s="26"/>
      <c r="U767" s="26"/>
      <c r="V767" s="26"/>
      <c r="W767" s="26"/>
      <c r="X767" s="26"/>
    </row>
    <row r="768" hidden="1">
      <c r="A768" s="10" t="s">
        <v>427</v>
      </c>
      <c r="B768" s="10" t="s">
        <v>2526</v>
      </c>
      <c r="C768" s="27" t="s">
        <v>2527</v>
      </c>
      <c r="D768" s="10" t="s">
        <v>2525</v>
      </c>
      <c r="E768" s="28" t="s">
        <v>431</v>
      </c>
      <c r="F768" s="23" t="s">
        <v>432</v>
      </c>
      <c r="G768" s="23" t="s">
        <v>203</v>
      </c>
      <c r="H768" s="23" t="s">
        <v>600</v>
      </c>
      <c r="I768" s="32"/>
      <c r="J768" s="23" t="s">
        <v>6</v>
      </c>
      <c r="K768" s="23" t="str">
        <f t="shared" si="1"/>
        <v>679143</v>
      </c>
      <c r="L768" s="23"/>
      <c r="M768" s="26"/>
      <c r="N768" s="26"/>
      <c r="O768" s="26"/>
      <c r="P768" s="26"/>
      <c r="Q768" s="26"/>
      <c r="R768" s="26"/>
      <c r="S768" s="26"/>
      <c r="T768" s="26"/>
      <c r="U768" s="26"/>
      <c r="V768" s="26"/>
      <c r="W768" s="26"/>
      <c r="X768" s="26"/>
    </row>
    <row r="769" hidden="1">
      <c r="A769" s="10" t="s">
        <v>427</v>
      </c>
      <c r="B769" s="10" t="s">
        <v>2528</v>
      </c>
      <c r="C769" s="27" t="s">
        <v>2529</v>
      </c>
      <c r="D769" s="10" t="s">
        <v>2530</v>
      </c>
      <c r="E769" s="28" t="s">
        <v>1047</v>
      </c>
      <c r="F769" s="23" t="s">
        <v>1848</v>
      </c>
      <c r="G769" s="23" t="s">
        <v>203</v>
      </c>
      <c r="H769" s="23" t="s">
        <v>600</v>
      </c>
      <c r="I769" s="32"/>
      <c r="J769" s="23" t="s">
        <v>6</v>
      </c>
      <c r="K769" s="23" t="str">
        <f t="shared" si="1"/>
        <v>672809</v>
      </c>
      <c r="L769" s="23"/>
      <c r="M769" s="26"/>
      <c r="N769" s="26"/>
      <c r="O769" s="26"/>
      <c r="P769" s="26"/>
      <c r="Q769" s="26"/>
      <c r="R769" s="26"/>
      <c r="S769" s="26"/>
      <c r="T769" s="26"/>
      <c r="U769" s="26"/>
      <c r="V769" s="26"/>
      <c r="W769" s="26"/>
      <c r="X769" s="26"/>
    </row>
    <row r="770" hidden="1">
      <c r="A770" s="10" t="s">
        <v>427</v>
      </c>
      <c r="B770" s="10" t="s">
        <v>2531</v>
      </c>
      <c r="C770" s="27" t="s">
        <v>2532</v>
      </c>
      <c r="D770" s="10" t="s">
        <v>2533</v>
      </c>
      <c r="E770" s="28" t="s">
        <v>418</v>
      </c>
      <c r="F770" s="23" t="s">
        <v>419</v>
      </c>
      <c r="G770" s="23" t="s">
        <v>203</v>
      </c>
      <c r="H770" s="23" t="s">
        <v>600</v>
      </c>
      <c r="I770" s="32"/>
      <c r="J770" s="23" t="s">
        <v>6</v>
      </c>
      <c r="K770" s="23" t="str">
        <f t="shared" si="1"/>
        <v>644240</v>
      </c>
      <c r="L770" s="23"/>
      <c r="M770" s="26"/>
      <c r="N770" s="26"/>
      <c r="O770" s="26"/>
      <c r="P770" s="26"/>
      <c r="Q770" s="26"/>
      <c r="R770" s="26"/>
      <c r="S770" s="26"/>
      <c r="T770" s="26"/>
      <c r="U770" s="26"/>
      <c r="V770" s="26"/>
      <c r="W770" s="26"/>
      <c r="X770" s="26"/>
    </row>
    <row r="771" hidden="1">
      <c r="A771" s="10" t="s">
        <v>427</v>
      </c>
      <c r="B771" s="10" t="s">
        <v>2534</v>
      </c>
      <c r="C771" s="27" t="s">
        <v>2535</v>
      </c>
      <c r="D771" s="10" t="s">
        <v>2533</v>
      </c>
      <c r="E771" s="28" t="s">
        <v>534</v>
      </c>
      <c r="F771" s="23" t="s">
        <v>757</v>
      </c>
      <c r="G771" s="23" t="s">
        <v>203</v>
      </c>
      <c r="H771" s="23" t="s">
        <v>600</v>
      </c>
      <c r="I771" s="32"/>
      <c r="J771" s="23" t="s">
        <v>6</v>
      </c>
      <c r="K771" s="23" t="str">
        <f t="shared" si="1"/>
        <v>657707</v>
      </c>
      <c r="L771" s="23"/>
      <c r="M771" s="26"/>
      <c r="N771" s="26"/>
      <c r="O771" s="26"/>
      <c r="P771" s="26"/>
      <c r="Q771" s="26"/>
      <c r="R771" s="26"/>
      <c r="S771" s="26"/>
      <c r="T771" s="26"/>
      <c r="U771" s="26"/>
      <c r="V771" s="26"/>
      <c r="W771" s="26"/>
      <c r="X771" s="26"/>
    </row>
    <row r="772" hidden="1">
      <c r="A772" s="10" t="s">
        <v>427</v>
      </c>
      <c r="B772" s="10" t="s">
        <v>2536</v>
      </c>
      <c r="C772" s="27" t="s">
        <v>2537</v>
      </c>
      <c r="D772" s="10" t="s">
        <v>2538</v>
      </c>
      <c r="E772" s="28" t="s">
        <v>431</v>
      </c>
      <c r="F772" s="23" t="s">
        <v>1235</v>
      </c>
      <c r="G772" s="23" t="s">
        <v>203</v>
      </c>
      <c r="H772" s="23" t="s">
        <v>600</v>
      </c>
      <c r="I772" s="32"/>
      <c r="J772" s="23" t="s">
        <v>6</v>
      </c>
      <c r="K772" s="23" t="str">
        <f t="shared" si="1"/>
        <v>670539</v>
      </c>
      <c r="L772" s="23"/>
      <c r="M772" s="26"/>
      <c r="N772" s="26"/>
      <c r="O772" s="26"/>
      <c r="P772" s="26"/>
      <c r="Q772" s="26"/>
      <c r="R772" s="26"/>
      <c r="S772" s="26"/>
      <c r="T772" s="26"/>
      <c r="U772" s="26"/>
      <c r="V772" s="26"/>
      <c r="W772" s="26"/>
      <c r="X772" s="26"/>
    </row>
    <row r="773" hidden="1">
      <c r="A773" s="10" t="s">
        <v>427</v>
      </c>
      <c r="B773" s="10" t="s">
        <v>2539</v>
      </c>
      <c r="C773" s="27" t="s">
        <v>2540</v>
      </c>
      <c r="D773" s="10" t="s">
        <v>2541</v>
      </c>
      <c r="E773" s="28" t="s">
        <v>431</v>
      </c>
      <c r="F773" s="23" t="s">
        <v>1053</v>
      </c>
      <c r="G773" s="23" t="s">
        <v>203</v>
      </c>
      <c r="H773" s="23" t="s">
        <v>600</v>
      </c>
      <c r="I773" s="32"/>
      <c r="J773" s="23" t="s">
        <v>6</v>
      </c>
      <c r="K773" s="23" t="str">
        <f t="shared" si="1"/>
        <v>670287</v>
      </c>
      <c r="L773" s="23"/>
      <c r="M773" s="26"/>
      <c r="N773" s="26"/>
      <c r="O773" s="26"/>
      <c r="P773" s="26"/>
      <c r="Q773" s="26"/>
      <c r="R773" s="26"/>
      <c r="S773" s="26"/>
      <c r="T773" s="26"/>
      <c r="U773" s="26"/>
      <c r="V773" s="26"/>
      <c r="W773" s="26"/>
      <c r="X773" s="26"/>
    </row>
    <row r="774" hidden="1">
      <c r="A774" s="10" t="s">
        <v>427</v>
      </c>
      <c r="B774" s="10" t="s">
        <v>2542</v>
      </c>
      <c r="C774" s="27" t="s">
        <v>2543</v>
      </c>
      <c r="D774" s="10" t="s">
        <v>2544</v>
      </c>
      <c r="E774" s="28" t="s">
        <v>529</v>
      </c>
      <c r="F774" s="23" t="s">
        <v>530</v>
      </c>
      <c r="G774" s="23" t="s">
        <v>203</v>
      </c>
      <c r="H774" s="23" t="s">
        <v>600</v>
      </c>
      <c r="I774" s="32"/>
      <c r="J774" s="23" t="s">
        <v>6</v>
      </c>
      <c r="K774" s="23" t="str">
        <f t="shared" si="1"/>
        <v>670911</v>
      </c>
      <c r="L774" s="23"/>
      <c r="M774" s="26"/>
      <c r="N774" s="26"/>
      <c r="O774" s="26"/>
      <c r="P774" s="26"/>
      <c r="Q774" s="26"/>
      <c r="R774" s="26"/>
      <c r="S774" s="26"/>
      <c r="T774" s="26"/>
      <c r="U774" s="26"/>
      <c r="V774" s="26"/>
      <c r="W774" s="26"/>
      <c r="X774" s="26"/>
    </row>
    <row r="775" hidden="1">
      <c r="A775" s="10" t="s">
        <v>427</v>
      </c>
      <c r="B775" s="10" t="s">
        <v>2545</v>
      </c>
      <c r="C775" s="27" t="s">
        <v>2546</v>
      </c>
      <c r="D775" s="10" t="s">
        <v>2547</v>
      </c>
      <c r="E775" s="28" t="s">
        <v>418</v>
      </c>
      <c r="F775" s="23" t="s">
        <v>977</v>
      </c>
      <c r="G775" s="23" t="s">
        <v>203</v>
      </c>
      <c r="H775" s="23" t="s">
        <v>600</v>
      </c>
      <c r="I775" s="32"/>
      <c r="J775" s="23" t="s">
        <v>6</v>
      </c>
      <c r="K775" s="23" t="str">
        <f t="shared" si="1"/>
        <v>671284</v>
      </c>
      <c r="L775" s="23"/>
      <c r="M775" s="26"/>
      <c r="N775" s="26"/>
      <c r="O775" s="26"/>
      <c r="P775" s="26"/>
      <c r="Q775" s="26"/>
      <c r="R775" s="26"/>
      <c r="S775" s="26"/>
      <c r="T775" s="26"/>
      <c r="U775" s="26"/>
      <c r="V775" s="26"/>
      <c r="W775" s="26"/>
      <c r="X775" s="26"/>
    </row>
    <row r="776" hidden="1">
      <c r="A776" s="10" t="s">
        <v>427</v>
      </c>
      <c r="B776" s="10" t="s">
        <v>2548</v>
      </c>
      <c r="C776" s="27" t="s">
        <v>2549</v>
      </c>
      <c r="D776" s="10" t="s">
        <v>2550</v>
      </c>
      <c r="E776" s="28" t="s">
        <v>534</v>
      </c>
      <c r="F776" s="23" t="s">
        <v>757</v>
      </c>
      <c r="G776" s="23" t="s">
        <v>203</v>
      </c>
      <c r="H776" s="23" t="s">
        <v>600</v>
      </c>
      <c r="I776" s="32"/>
      <c r="J776" s="23" t="s">
        <v>6</v>
      </c>
      <c r="K776" s="23" t="str">
        <f t="shared" si="1"/>
        <v>675848</v>
      </c>
      <c r="L776" s="23"/>
      <c r="M776" s="26"/>
      <c r="N776" s="26"/>
      <c r="O776" s="26"/>
      <c r="P776" s="26"/>
      <c r="Q776" s="26"/>
      <c r="R776" s="26"/>
      <c r="S776" s="26"/>
      <c r="T776" s="26"/>
      <c r="U776" s="26"/>
      <c r="V776" s="26"/>
      <c r="W776" s="26"/>
      <c r="X776" s="26"/>
    </row>
    <row r="777" hidden="1">
      <c r="A777" s="10" t="s">
        <v>427</v>
      </c>
      <c r="B777" s="10" t="s">
        <v>2551</v>
      </c>
      <c r="C777" s="27" t="s">
        <v>2552</v>
      </c>
      <c r="D777" s="10" t="s">
        <v>2553</v>
      </c>
      <c r="E777" s="28" t="s">
        <v>431</v>
      </c>
      <c r="F777" s="23" t="s">
        <v>1788</v>
      </c>
      <c r="G777" s="23" t="s">
        <v>203</v>
      </c>
      <c r="H777" s="23" t="s">
        <v>600</v>
      </c>
      <c r="I777" s="32"/>
      <c r="J777" s="23" t="s">
        <v>6</v>
      </c>
      <c r="K777" s="23" t="str">
        <f t="shared" si="1"/>
        <v>627601</v>
      </c>
      <c r="L777" s="23"/>
      <c r="M777" s="26"/>
      <c r="N777" s="26"/>
      <c r="O777" s="26"/>
      <c r="P777" s="26"/>
      <c r="Q777" s="26"/>
      <c r="R777" s="26"/>
      <c r="S777" s="26"/>
      <c r="T777" s="26"/>
      <c r="U777" s="26"/>
      <c r="V777" s="26"/>
      <c r="W777" s="26"/>
      <c r="X777" s="26"/>
    </row>
    <row r="778" hidden="1">
      <c r="A778" s="10" t="s">
        <v>427</v>
      </c>
      <c r="B778" s="10" t="s">
        <v>2554</v>
      </c>
      <c r="C778" s="27" t="s">
        <v>2555</v>
      </c>
      <c r="D778" s="10" t="s">
        <v>2556</v>
      </c>
      <c r="E778" s="28" t="s">
        <v>534</v>
      </c>
      <c r="F778" s="23" t="s">
        <v>954</v>
      </c>
      <c r="G778" s="23" t="s">
        <v>203</v>
      </c>
      <c r="H778" s="23" t="s">
        <v>600</v>
      </c>
      <c r="I778" s="32"/>
      <c r="J778" s="23" t="s">
        <v>6</v>
      </c>
      <c r="K778" s="23" t="str">
        <f t="shared" si="1"/>
        <v>645353</v>
      </c>
      <c r="L778" s="23"/>
      <c r="M778" s="26"/>
      <c r="N778" s="26"/>
      <c r="O778" s="26"/>
      <c r="P778" s="26"/>
      <c r="Q778" s="26"/>
      <c r="R778" s="26"/>
      <c r="S778" s="26"/>
      <c r="T778" s="26"/>
      <c r="U778" s="26"/>
      <c r="V778" s="26"/>
      <c r="W778" s="26"/>
      <c r="X778" s="26"/>
    </row>
    <row r="779" hidden="1">
      <c r="A779" s="10" t="s">
        <v>427</v>
      </c>
      <c r="B779" s="10" t="s">
        <v>2557</v>
      </c>
      <c r="C779" s="27" t="s">
        <v>2558</v>
      </c>
      <c r="D779" s="10" t="s">
        <v>2559</v>
      </c>
      <c r="E779" s="28" t="s">
        <v>431</v>
      </c>
      <c r="F779" s="23" t="s">
        <v>950</v>
      </c>
      <c r="G779" s="23" t="s">
        <v>203</v>
      </c>
      <c r="H779" s="23" t="s">
        <v>600</v>
      </c>
      <c r="I779" s="32"/>
      <c r="J779" s="23" t="s">
        <v>6</v>
      </c>
      <c r="K779" s="23" t="str">
        <f t="shared" si="1"/>
        <v>627861</v>
      </c>
      <c r="L779" s="23"/>
      <c r="M779" s="26"/>
      <c r="N779" s="26"/>
      <c r="O779" s="26"/>
      <c r="P779" s="26"/>
      <c r="Q779" s="26"/>
      <c r="R779" s="26"/>
      <c r="S779" s="26"/>
      <c r="T779" s="26"/>
      <c r="U779" s="26"/>
      <c r="V779" s="26"/>
      <c r="W779" s="26"/>
      <c r="X779" s="26"/>
    </row>
    <row r="780" hidden="1">
      <c r="A780" s="10" t="s">
        <v>427</v>
      </c>
      <c r="B780" s="10" t="s">
        <v>2560</v>
      </c>
      <c r="C780" s="27" t="s">
        <v>2561</v>
      </c>
      <c r="D780" s="10" t="s">
        <v>2562</v>
      </c>
      <c r="E780" s="28" t="s">
        <v>431</v>
      </c>
      <c r="F780" s="23" t="s">
        <v>946</v>
      </c>
      <c r="G780" s="23" t="s">
        <v>203</v>
      </c>
      <c r="H780" s="23" t="s">
        <v>600</v>
      </c>
      <c r="I780" s="32"/>
      <c r="J780" s="23" t="s">
        <v>6</v>
      </c>
      <c r="K780" s="23" t="str">
        <f t="shared" si="1"/>
        <v>623337</v>
      </c>
      <c r="L780" s="23"/>
      <c r="M780" s="26"/>
      <c r="N780" s="26"/>
      <c r="O780" s="26"/>
      <c r="P780" s="26"/>
      <c r="Q780" s="26"/>
      <c r="R780" s="26"/>
      <c r="S780" s="26"/>
      <c r="T780" s="26"/>
      <c r="U780" s="26"/>
      <c r="V780" s="26"/>
      <c r="W780" s="26"/>
      <c r="X780" s="26"/>
    </row>
    <row r="781" hidden="1">
      <c r="A781" s="10" t="s">
        <v>427</v>
      </c>
      <c r="B781" s="10" t="s">
        <v>2563</v>
      </c>
      <c r="C781" s="27" t="s">
        <v>2564</v>
      </c>
      <c r="D781" s="10" t="s">
        <v>2565</v>
      </c>
      <c r="E781" s="28" t="s">
        <v>534</v>
      </c>
      <c r="F781" s="23" t="s">
        <v>1242</v>
      </c>
      <c r="G781" s="23" t="s">
        <v>203</v>
      </c>
      <c r="H781" s="23" t="s">
        <v>600</v>
      </c>
      <c r="I781" s="32"/>
      <c r="J781" s="23" t="s">
        <v>6</v>
      </c>
      <c r="K781" s="23" t="str">
        <f t="shared" si="1"/>
        <v>638577</v>
      </c>
      <c r="L781" s="23"/>
      <c r="M781" s="26"/>
      <c r="N781" s="26"/>
      <c r="O781" s="26"/>
      <c r="P781" s="26"/>
      <c r="Q781" s="26"/>
      <c r="R781" s="26"/>
      <c r="S781" s="26"/>
      <c r="T781" s="26"/>
      <c r="U781" s="26"/>
      <c r="V781" s="26"/>
      <c r="W781" s="26"/>
      <c r="X781" s="26"/>
    </row>
    <row r="782" hidden="1">
      <c r="A782" s="10" t="s">
        <v>427</v>
      </c>
      <c r="B782" s="10" t="s">
        <v>2566</v>
      </c>
      <c r="C782" s="27" t="s">
        <v>2567</v>
      </c>
      <c r="D782" s="10" t="s">
        <v>2568</v>
      </c>
      <c r="E782" s="28" t="s">
        <v>431</v>
      </c>
      <c r="F782" s="23" t="s">
        <v>1231</v>
      </c>
      <c r="G782" s="23" t="s">
        <v>203</v>
      </c>
      <c r="H782" s="23" t="s">
        <v>600</v>
      </c>
      <c r="I782" s="32"/>
      <c r="J782" s="23" t="s">
        <v>6</v>
      </c>
      <c r="K782" s="23" t="str">
        <f t="shared" si="1"/>
        <v>638911</v>
      </c>
      <c r="L782" s="23"/>
      <c r="M782" s="26"/>
      <c r="N782" s="26"/>
      <c r="O782" s="26"/>
      <c r="P782" s="26"/>
      <c r="Q782" s="26"/>
      <c r="R782" s="26"/>
      <c r="S782" s="26"/>
      <c r="T782" s="26"/>
      <c r="U782" s="26"/>
      <c r="V782" s="26"/>
      <c r="W782" s="26"/>
      <c r="X782" s="26"/>
    </row>
    <row r="783" hidden="1">
      <c r="A783" s="10" t="s">
        <v>427</v>
      </c>
      <c r="B783" s="10" t="s">
        <v>2569</v>
      </c>
      <c r="C783" s="27" t="s">
        <v>2570</v>
      </c>
      <c r="D783" s="10" t="s">
        <v>2571</v>
      </c>
      <c r="E783" s="28" t="s">
        <v>431</v>
      </c>
      <c r="F783" s="23" t="s">
        <v>1231</v>
      </c>
      <c r="G783" s="23" t="s">
        <v>203</v>
      </c>
      <c r="H783" s="23" t="s">
        <v>600</v>
      </c>
      <c r="I783" s="32"/>
      <c r="J783" s="23" t="s">
        <v>6</v>
      </c>
      <c r="K783" s="23" t="str">
        <f t="shared" si="1"/>
        <v>662633</v>
      </c>
      <c r="L783" s="23"/>
      <c r="M783" s="26"/>
      <c r="N783" s="26"/>
      <c r="O783" s="26"/>
      <c r="P783" s="26"/>
      <c r="Q783" s="26"/>
      <c r="R783" s="26"/>
      <c r="S783" s="26"/>
      <c r="T783" s="26"/>
      <c r="U783" s="26"/>
      <c r="V783" s="26"/>
      <c r="W783" s="26"/>
      <c r="X783" s="26"/>
    </row>
    <row r="784" hidden="1">
      <c r="A784" s="10" t="s">
        <v>427</v>
      </c>
      <c r="B784" s="10" t="s">
        <v>2572</v>
      </c>
      <c r="C784" s="27" t="s">
        <v>2573</v>
      </c>
      <c r="D784" s="10" t="s">
        <v>2574</v>
      </c>
      <c r="E784" s="28" t="s">
        <v>534</v>
      </c>
      <c r="F784" s="23" t="s">
        <v>535</v>
      </c>
      <c r="G784" s="23" t="s">
        <v>203</v>
      </c>
      <c r="H784" s="23" t="s">
        <v>600</v>
      </c>
      <c r="I784" s="32"/>
      <c r="J784" s="23" t="s">
        <v>6</v>
      </c>
      <c r="K784" s="23" t="str">
        <f t="shared" si="1"/>
        <v>663456</v>
      </c>
      <c r="L784" s="23"/>
      <c r="M784" s="26"/>
      <c r="N784" s="26"/>
      <c r="O784" s="26"/>
      <c r="P784" s="26"/>
      <c r="Q784" s="26"/>
      <c r="R784" s="26"/>
      <c r="S784" s="26"/>
      <c r="T784" s="26"/>
      <c r="U784" s="26"/>
      <c r="V784" s="26"/>
      <c r="W784" s="26"/>
      <c r="X784" s="26"/>
    </row>
    <row r="785" hidden="1">
      <c r="A785" s="10" t="s">
        <v>427</v>
      </c>
      <c r="B785" s="10" t="s">
        <v>2575</v>
      </c>
      <c r="C785" s="27" t="s">
        <v>2576</v>
      </c>
      <c r="D785" s="10" t="s">
        <v>2577</v>
      </c>
      <c r="E785" s="28" t="s">
        <v>431</v>
      </c>
      <c r="F785" s="23" t="s">
        <v>933</v>
      </c>
      <c r="G785" s="23" t="s">
        <v>203</v>
      </c>
      <c r="H785" s="23" t="s">
        <v>600</v>
      </c>
      <c r="I785" s="32"/>
      <c r="J785" s="23" t="s">
        <v>6</v>
      </c>
      <c r="K785" s="23" t="str">
        <f t="shared" si="1"/>
        <v>654232</v>
      </c>
      <c r="L785" s="23"/>
      <c r="M785" s="26"/>
      <c r="N785" s="26"/>
      <c r="O785" s="26"/>
      <c r="P785" s="26"/>
      <c r="Q785" s="26"/>
      <c r="R785" s="26"/>
      <c r="S785" s="26"/>
      <c r="T785" s="26"/>
      <c r="U785" s="26"/>
      <c r="V785" s="26"/>
      <c r="W785" s="26"/>
      <c r="X785" s="26"/>
    </row>
    <row r="786" hidden="1">
      <c r="A786" s="10" t="s">
        <v>427</v>
      </c>
      <c r="B786" s="10" t="s">
        <v>2578</v>
      </c>
      <c r="C786" s="27" t="s">
        <v>2579</v>
      </c>
      <c r="D786" s="10" t="s">
        <v>2580</v>
      </c>
      <c r="E786" s="28" t="s">
        <v>418</v>
      </c>
      <c r="F786" s="23" t="s">
        <v>419</v>
      </c>
      <c r="G786" s="23" t="s">
        <v>203</v>
      </c>
      <c r="H786" s="23" t="s">
        <v>600</v>
      </c>
      <c r="I786" s="32"/>
      <c r="J786" s="23" t="s">
        <v>6</v>
      </c>
      <c r="K786" s="23" t="str">
        <f t="shared" si="1"/>
        <v>662848</v>
      </c>
      <c r="L786" s="23"/>
      <c r="M786" s="26"/>
      <c r="N786" s="26"/>
      <c r="O786" s="26"/>
      <c r="P786" s="26"/>
      <c r="Q786" s="26"/>
      <c r="R786" s="26"/>
      <c r="S786" s="26"/>
      <c r="T786" s="26"/>
      <c r="U786" s="26"/>
      <c r="V786" s="26"/>
      <c r="W786" s="26"/>
      <c r="X786" s="26"/>
    </row>
    <row r="787" hidden="1">
      <c r="A787" s="10" t="s">
        <v>427</v>
      </c>
      <c r="B787" s="10" t="s">
        <v>2581</v>
      </c>
      <c r="C787" s="27" t="s">
        <v>2582</v>
      </c>
      <c r="D787" s="10" t="s">
        <v>2583</v>
      </c>
      <c r="E787" s="28" t="s">
        <v>431</v>
      </c>
      <c r="F787" s="23" t="s">
        <v>1867</v>
      </c>
      <c r="G787" s="23" t="s">
        <v>203</v>
      </c>
      <c r="H787" s="23" t="s">
        <v>600</v>
      </c>
      <c r="I787" s="32"/>
      <c r="J787" s="23" t="s">
        <v>6</v>
      </c>
      <c r="K787" s="23" t="str">
        <f t="shared" si="1"/>
        <v>637501</v>
      </c>
      <c r="L787" s="23"/>
      <c r="M787" s="26"/>
      <c r="N787" s="26"/>
      <c r="O787" s="26"/>
      <c r="P787" s="26"/>
      <c r="Q787" s="26"/>
      <c r="R787" s="26"/>
      <c r="S787" s="26"/>
      <c r="T787" s="26"/>
      <c r="U787" s="26"/>
      <c r="V787" s="26"/>
      <c r="W787" s="26"/>
      <c r="X787" s="26"/>
    </row>
    <row r="788" hidden="1">
      <c r="A788" s="10" t="s">
        <v>427</v>
      </c>
      <c r="B788" s="10" t="s">
        <v>2584</v>
      </c>
      <c r="C788" s="27" t="s">
        <v>2585</v>
      </c>
      <c r="D788" s="10" t="s">
        <v>2586</v>
      </c>
      <c r="E788" s="28" t="s">
        <v>431</v>
      </c>
      <c r="F788" s="23" t="s">
        <v>933</v>
      </c>
      <c r="G788" s="23" t="s">
        <v>203</v>
      </c>
      <c r="H788" s="23" t="s">
        <v>600</v>
      </c>
      <c r="I788" s="32"/>
      <c r="J788" s="23" t="s">
        <v>6</v>
      </c>
      <c r="K788" s="23" t="str">
        <f t="shared" si="1"/>
        <v>637037</v>
      </c>
      <c r="L788" s="23"/>
      <c r="M788" s="26"/>
      <c r="N788" s="26"/>
      <c r="O788" s="26"/>
      <c r="P788" s="26"/>
      <c r="Q788" s="26"/>
      <c r="R788" s="26"/>
      <c r="S788" s="26"/>
      <c r="T788" s="26"/>
      <c r="U788" s="26"/>
      <c r="V788" s="26"/>
      <c r="W788" s="26"/>
      <c r="X788" s="26"/>
    </row>
    <row r="789" hidden="1">
      <c r="A789" s="10" t="s">
        <v>427</v>
      </c>
      <c r="B789" s="10" t="s">
        <v>2587</v>
      </c>
      <c r="C789" s="27" t="s">
        <v>2588</v>
      </c>
      <c r="D789" s="10" t="s">
        <v>2589</v>
      </c>
      <c r="E789" s="28" t="s">
        <v>431</v>
      </c>
      <c r="F789" s="23" t="s">
        <v>950</v>
      </c>
      <c r="G789" s="23" t="s">
        <v>203</v>
      </c>
      <c r="H789" s="23" t="s">
        <v>600</v>
      </c>
      <c r="I789" s="32"/>
      <c r="J789" s="23" t="s">
        <v>6</v>
      </c>
      <c r="K789" s="23" t="str">
        <f t="shared" si="1"/>
        <v>635293</v>
      </c>
      <c r="L789" s="23"/>
      <c r="M789" s="26"/>
      <c r="N789" s="26"/>
      <c r="O789" s="26"/>
      <c r="P789" s="26"/>
      <c r="Q789" s="26"/>
      <c r="R789" s="26"/>
      <c r="S789" s="26"/>
      <c r="T789" s="26"/>
      <c r="U789" s="26"/>
      <c r="V789" s="26"/>
      <c r="W789" s="26"/>
      <c r="X789" s="26"/>
    </row>
    <row r="790" hidden="1">
      <c r="A790" s="10" t="s">
        <v>427</v>
      </c>
      <c r="B790" s="10" t="s">
        <v>2590</v>
      </c>
      <c r="C790" s="27" t="s">
        <v>2591</v>
      </c>
      <c r="D790" s="10" t="s">
        <v>614</v>
      </c>
      <c r="E790" s="28" t="s">
        <v>431</v>
      </c>
      <c r="F790" s="23" t="s">
        <v>933</v>
      </c>
      <c r="G790" s="23" t="s">
        <v>203</v>
      </c>
      <c r="H790" s="23" t="s">
        <v>600</v>
      </c>
      <c r="I790" s="32"/>
      <c r="J790" s="23" t="s">
        <v>6</v>
      </c>
      <c r="K790" s="23" t="str">
        <f t="shared" si="1"/>
        <v>680439</v>
      </c>
      <c r="L790" s="23"/>
      <c r="M790" s="26"/>
      <c r="N790" s="26"/>
      <c r="O790" s="26"/>
      <c r="P790" s="26"/>
      <c r="Q790" s="26"/>
      <c r="R790" s="26"/>
      <c r="S790" s="26"/>
      <c r="T790" s="26"/>
      <c r="U790" s="26"/>
      <c r="V790" s="26"/>
      <c r="W790" s="26"/>
      <c r="X790" s="26"/>
    </row>
    <row r="791" hidden="1">
      <c r="A791" s="10" t="s">
        <v>427</v>
      </c>
      <c r="B791" s="10" t="s">
        <v>2592</v>
      </c>
      <c r="C791" s="27" t="s">
        <v>2593</v>
      </c>
      <c r="D791" s="10" t="s">
        <v>614</v>
      </c>
      <c r="E791" s="28" t="s">
        <v>418</v>
      </c>
      <c r="F791" s="23" t="s">
        <v>977</v>
      </c>
      <c r="G791" s="23" t="s">
        <v>203</v>
      </c>
      <c r="H791" s="23" t="s">
        <v>600</v>
      </c>
      <c r="I791" s="32"/>
      <c r="J791" s="23" t="s">
        <v>6</v>
      </c>
      <c r="K791" s="23" t="str">
        <f t="shared" si="1"/>
        <v>680644</v>
      </c>
      <c r="L791" s="23"/>
      <c r="M791" s="26"/>
      <c r="N791" s="26"/>
      <c r="O791" s="26"/>
      <c r="P791" s="26"/>
      <c r="Q791" s="26"/>
      <c r="R791" s="26"/>
      <c r="S791" s="26"/>
      <c r="T791" s="26"/>
      <c r="U791" s="26"/>
      <c r="V791" s="26"/>
      <c r="W791" s="26"/>
      <c r="X791" s="26"/>
    </row>
    <row r="792" hidden="1">
      <c r="A792" s="10" t="s">
        <v>414</v>
      </c>
      <c r="B792" s="10" t="s">
        <v>2594</v>
      </c>
      <c r="C792" s="27" t="s">
        <v>2595</v>
      </c>
      <c r="D792" s="10" t="s">
        <v>2596</v>
      </c>
      <c r="E792" s="28" t="s">
        <v>431</v>
      </c>
      <c r="F792" s="23" t="s">
        <v>933</v>
      </c>
      <c r="G792" s="23" t="s">
        <v>203</v>
      </c>
      <c r="H792" s="23" t="s">
        <v>600</v>
      </c>
      <c r="I792" s="32"/>
      <c r="J792" s="23" t="s">
        <v>6</v>
      </c>
      <c r="K792" s="23" t="str">
        <f t="shared" si="1"/>
        <v>676296</v>
      </c>
      <c r="L792" s="23"/>
      <c r="M792" s="26"/>
      <c r="N792" s="26"/>
      <c r="O792" s="26"/>
      <c r="P792" s="26"/>
      <c r="Q792" s="26"/>
      <c r="R792" s="26"/>
      <c r="S792" s="26"/>
      <c r="T792" s="26"/>
      <c r="U792" s="26"/>
      <c r="V792" s="26"/>
      <c r="W792" s="26"/>
      <c r="X792" s="26"/>
    </row>
    <row r="793" hidden="1">
      <c r="A793" s="10" t="s">
        <v>414</v>
      </c>
      <c r="B793" s="10" t="s">
        <v>2597</v>
      </c>
      <c r="C793" s="27" t="s">
        <v>2598</v>
      </c>
      <c r="D793" s="10" t="s">
        <v>2599</v>
      </c>
      <c r="E793" s="28" t="s">
        <v>431</v>
      </c>
      <c r="F793" s="23" t="s">
        <v>432</v>
      </c>
      <c r="G793" s="23" t="s">
        <v>203</v>
      </c>
      <c r="H793" s="23" t="s">
        <v>600</v>
      </c>
      <c r="I793" s="32"/>
      <c r="J793" s="23" t="s">
        <v>6</v>
      </c>
      <c r="K793" s="23" t="str">
        <f t="shared" si="1"/>
        <v>684987</v>
      </c>
      <c r="L793" s="23"/>
      <c r="M793" s="26"/>
      <c r="N793" s="26"/>
      <c r="O793" s="26"/>
      <c r="P793" s="26"/>
      <c r="Q793" s="26"/>
      <c r="R793" s="26"/>
      <c r="S793" s="26"/>
      <c r="T793" s="26"/>
      <c r="U793" s="26"/>
      <c r="V793" s="26"/>
      <c r="W793" s="26"/>
      <c r="X793" s="26"/>
    </row>
    <row r="794" hidden="1">
      <c r="A794" s="10" t="s">
        <v>414</v>
      </c>
      <c r="B794" s="10" t="s">
        <v>2600</v>
      </c>
      <c r="C794" s="27" t="s">
        <v>2601</v>
      </c>
      <c r="D794" s="10" t="s">
        <v>2602</v>
      </c>
      <c r="E794" s="28" t="s">
        <v>431</v>
      </c>
      <c r="F794" s="23" t="s">
        <v>1231</v>
      </c>
      <c r="G794" s="23" t="s">
        <v>203</v>
      </c>
      <c r="H794" s="23" t="s">
        <v>600</v>
      </c>
      <c r="I794" s="32"/>
      <c r="J794" s="23" t="s">
        <v>6</v>
      </c>
      <c r="K794" s="23" t="str">
        <f t="shared" si="1"/>
        <v>678047P</v>
      </c>
      <c r="L794" s="23"/>
      <c r="M794" s="26"/>
      <c r="N794" s="26"/>
      <c r="O794" s="26"/>
      <c r="P794" s="26"/>
      <c r="Q794" s="26"/>
      <c r="R794" s="26"/>
      <c r="S794" s="26"/>
      <c r="T794" s="26"/>
      <c r="U794" s="26"/>
      <c r="V794" s="26"/>
      <c r="W794" s="26"/>
      <c r="X794" s="26"/>
    </row>
    <row r="795" hidden="1">
      <c r="A795" s="10" t="s">
        <v>190</v>
      </c>
      <c r="B795" s="10" t="s">
        <v>2603</v>
      </c>
      <c r="C795" s="27" t="s">
        <v>2604</v>
      </c>
      <c r="D795" s="10" t="s">
        <v>2605</v>
      </c>
      <c r="E795" s="28" t="s">
        <v>194</v>
      </c>
      <c r="F795" s="23" t="s">
        <v>195</v>
      </c>
      <c r="G795" s="23" t="s">
        <v>203</v>
      </c>
      <c r="H795" s="23" t="s">
        <v>2606</v>
      </c>
      <c r="I795" s="23" t="s">
        <v>2606</v>
      </c>
      <c r="J795" s="23" t="s">
        <v>198</v>
      </c>
      <c r="K795" s="23" t="str">
        <f t="shared" si="1"/>
        <v>629032</v>
      </c>
      <c r="L795" s="23"/>
      <c r="M795" s="26"/>
      <c r="N795" s="26"/>
      <c r="O795" s="26"/>
      <c r="P795" s="26"/>
      <c r="Q795" s="26"/>
      <c r="R795" s="26"/>
      <c r="S795" s="26"/>
      <c r="T795" s="26"/>
      <c r="U795" s="26"/>
      <c r="V795" s="26"/>
      <c r="W795" s="26"/>
      <c r="X795" s="26"/>
    </row>
    <row r="796" hidden="1">
      <c r="A796" s="10" t="s">
        <v>190</v>
      </c>
      <c r="B796" s="10" t="s">
        <v>2607</v>
      </c>
      <c r="C796" s="27" t="s">
        <v>2608</v>
      </c>
      <c r="D796" s="10" t="s">
        <v>2609</v>
      </c>
      <c r="E796" s="28" t="s">
        <v>194</v>
      </c>
      <c r="F796" s="23" t="s">
        <v>195</v>
      </c>
      <c r="G796" s="23" t="s">
        <v>203</v>
      </c>
      <c r="H796" s="23" t="s">
        <v>2606</v>
      </c>
      <c r="I796" s="23" t="s">
        <v>2606</v>
      </c>
      <c r="J796" s="23" t="s">
        <v>238</v>
      </c>
      <c r="K796" s="23" t="str">
        <f t="shared" si="1"/>
        <v>607900</v>
      </c>
      <c r="L796" s="23"/>
      <c r="M796" s="26"/>
      <c r="N796" s="26"/>
      <c r="O796" s="26"/>
      <c r="P796" s="26"/>
      <c r="Q796" s="26"/>
      <c r="R796" s="26"/>
      <c r="S796" s="26"/>
      <c r="T796" s="26"/>
      <c r="U796" s="26"/>
      <c r="V796" s="26"/>
      <c r="W796" s="26"/>
      <c r="X796" s="26"/>
    </row>
    <row r="797" hidden="1">
      <c r="A797" s="10" t="s">
        <v>499</v>
      </c>
      <c r="B797" s="10" t="s">
        <v>2610</v>
      </c>
      <c r="C797" s="27" t="s">
        <v>2611</v>
      </c>
      <c r="D797" s="10" t="s">
        <v>2612</v>
      </c>
      <c r="E797" s="28" t="s">
        <v>194</v>
      </c>
      <c r="F797" s="23" t="s">
        <v>195</v>
      </c>
      <c r="G797" s="23" t="s">
        <v>203</v>
      </c>
      <c r="H797" s="23" t="s">
        <v>2606</v>
      </c>
      <c r="I797" s="32"/>
      <c r="J797" s="23" t="s">
        <v>6</v>
      </c>
      <c r="K797" s="23" t="str">
        <f t="shared" si="1"/>
        <v>603322</v>
      </c>
      <c r="L797" s="23"/>
      <c r="M797" s="26"/>
      <c r="N797" s="26"/>
      <c r="O797" s="26"/>
      <c r="P797" s="26"/>
      <c r="Q797" s="26"/>
      <c r="R797" s="26"/>
      <c r="S797" s="26"/>
      <c r="T797" s="26"/>
      <c r="U797" s="26"/>
      <c r="V797" s="26"/>
      <c r="W797" s="26"/>
      <c r="X797" s="26"/>
    </row>
    <row r="798" hidden="1">
      <c r="A798" s="10" t="s">
        <v>499</v>
      </c>
      <c r="B798" s="10" t="s">
        <v>2613</v>
      </c>
      <c r="C798" s="27" t="s">
        <v>2614</v>
      </c>
      <c r="D798" s="10" t="s">
        <v>2615</v>
      </c>
      <c r="E798" s="28" t="s">
        <v>194</v>
      </c>
      <c r="F798" s="23" t="s">
        <v>195</v>
      </c>
      <c r="G798" s="23" t="s">
        <v>203</v>
      </c>
      <c r="H798" s="23" t="s">
        <v>2606</v>
      </c>
      <c r="I798" s="32"/>
      <c r="J798" s="23" t="s">
        <v>6</v>
      </c>
      <c r="K798" s="23" t="str">
        <f t="shared" si="1"/>
        <v>676531</v>
      </c>
      <c r="L798" s="23"/>
      <c r="M798" s="26"/>
      <c r="N798" s="26"/>
      <c r="O798" s="26"/>
      <c r="P798" s="26"/>
      <c r="Q798" s="26"/>
      <c r="R798" s="26"/>
      <c r="S798" s="26"/>
      <c r="T798" s="26"/>
      <c r="U798" s="26"/>
      <c r="V798" s="26"/>
      <c r="W798" s="26"/>
      <c r="X798" s="26"/>
    </row>
    <row r="799" hidden="1">
      <c r="A799" s="10" t="s">
        <v>499</v>
      </c>
      <c r="B799" s="10" t="s">
        <v>2616</v>
      </c>
      <c r="C799" s="27" t="s">
        <v>2617</v>
      </c>
      <c r="D799" s="10" t="s">
        <v>2618</v>
      </c>
      <c r="E799" s="28" t="s">
        <v>194</v>
      </c>
      <c r="F799" s="23" t="s">
        <v>195</v>
      </c>
      <c r="G799" s="23" t="s">
        <v>203</v>
      </c>
      <c r="H799" s="23" t="s">
        <v>2606</v>
      </c>
      <c r="I799" s="32"/>
      <c r="J799" s="23" t="s">
        <v>6</v>
      </c>
      <c r="K799" s="23" t="str">
        <f t="shared" si="1"/>
        <v>659084</v>
      </c>
      <c r="L799" s="23"/>
      <c r="M799" s="26"/>
      <c r="N799" s="26"/>
      <c r="O799" s="26"/>
      <c r="P799" s="26"/>
      <c r="Q799" s="26"/>
      <c r="R799" s="26"/>
      <c r="S799" s="26"/>
      <c r="T799" s="26"/>
      <c r="U799" s="26"/>
      <c r="V799" s="26"/>
      <c r="W799" s="26"/>
      <c r="X799" s="26"/>
    </row>
    <row r="800" hidden="1">
      <c r="A800" s="10" t="s">
        <v>190</v>
      </c>
      <c r="B800" s="10" t="s">
        <v>2619</v>
      </c>
      <c r="C800" s="27" t="s">
        <v>2620</v>
      </c>
      <c r="D800" s="10" t="s">
        <v>2621</v>
      </c>
      <c r="E800" s="28" t="s">
        <v>621</v>
      </c>
      <c r="F800" s="23" t="s">
        <v>621</v>
      </c>
      <c r="G800" s="23" t="s">
        <v>621</v>
      </c>
      <c r="H800" s="23" t="s">
        <v>621</v>
      </c>
      <c r="I800" s="23" t="s">
        <v>621</v>
      </c>
      <c r="J800" s="23" t="s">
        <v>229</v>
      </c>
      <c r="K800" s="23" t="str">
        <f t="shared" si="1"/>
        <v>671247</v>
      </c>
      <c r="L800" s="23"/>
      <c r="M800" s="26"/>
      <c r="N800" s="26"/>
      <c r="O800" s="26"/>
      <c r="P800" s="26"/>
      <c r="Q800" s="26"/>
      <c r="R800" s="26"/>
      <c r="S800" s="26"/>
      <c r="T800" s="26"/>
      <c r="U800" s="26"/>
      <c r="V800" s="26"/>
      <c r="W800" s="26"/>
      <c r="X800" s="26"/>
    </row>
    <row r="801" hidden="1">
      <c r="A801" s="10" t="s">
        <v>190</v>
      </c>
      <c r="B801" s="10" t="s">
        <v>2622</v>
      </c>
      <c r="C801" s="27" t="s">
        <v>2623</v>
      </c>
      <c r="D801" s="10" t="s">
        <v>2624</v>
      </c>
      <c r="E801" s="28" t="s">
        <v>621</v>
      </c>
      <c r="F801" s="23" t="s">
        <v>621</v>
      </c>
      <c r="G801" s="23" t="s">
        <v>621</v>
      </c>
      <c r="H801" s="23" t="s">
        <v>621</v>
      </c>
      <c r="I801" s="23" t="s">
        <v>621</v>
      </c>
      <c r="J801" s="23" t="s">
        <v>229</v>
      </c>
      <c r="K801" s="23" t="str">
        <f t="shared" si="1"/>
        <v>671221</v>
      </c>
      <c r="L801" s="23"/>
      <c r="M801" s="26"/>
      <c r="N801" s="26"/>
      <c r="O801" s="26"/>
      <c r="P801" s="26"/>
      <c r="Q801" s="26"/>
      <c r="R801" s="26"/>
      <c r="S801" s="26"/>
      <c r="T801" s="26"/>
      <c r="U801" s="26"/>
      <c r="V801" s="26"/>
      <c r="W801" s="26"/>
      <c r="X801" s="26"/>
    </row>
    <row r="802" hidden="1">
      <c r="A802" s="10" t="s">
        <v>190</v>
      </c>
      <c r="B802" s="10" t="s">
        <v>2625</v>
      </c>
      <c r="C802" s="27" t="s">
        <v>2626</v>
      </c>
      <c r="D802" s="10" t="s">
        <v>2627</v>
      </c>
      <c r="E802" s="28" t="s">
        <v>621</v>
      </c>
      <c r="F802" s="23" t="s">
        <v>621</v>
      </c>
      <c r="G802" s="23" t="s">
        <v>621</v>
      </c>
      <c r="H802" s="23" t="s">
        <v>621</v>
      </c>
      <c r="I802" s="23" t="s">
        <v>621</v>
      </c>
      <c r="J802" s="23" t="s">
        <v>229</v>
      </c>
      <c r="K802" s="23" t="str">
        <f t="shared" si="1"/>
        <v>830898</v>
      </c>
      <c r="L802" s="23"/>
      <c r="M802" s="26"/>
      <c r="N802" s="26"/>
      <c r="O802" s="26"/>
      <c r="P802" s="26"/>
      <c r="Q802" s="26"/>
      <c r="R802" s="26"/>
      <c r="S802" s="26"/>
      <c r="T802" s="26"/>
      <c r="U802" s="26"/>
      <c r="V802" s="26"/>
      <c r="W802" s="26"/>
      <c r="X802" s="26"/>
    </row>
    <row r="803" hidden="1">
      <c r="A803" s="10" t="s">
        <v>190</v>
      </c>
      <c r="B803" s="10" t="s">
        <v>2628</v>
      </c>
      <c r="C803" s="27" t="s">
        <v>2629</v>
      </c>
      <c r="D803" s="10" t="s">
        <v>2630</v>
      </c>
      <c r="E803" s="28" t="s">
        <v>621</v>
      </c>
      <c r="F803" s="23" t="s">
        <v>621</v>
      </c>
      <c r="G803" s="23" t="s">
        <v>621</v>
      </c>
      <c r="H803" s="23" t="s">
        <v>621</v>
      </c>
      <c r="I803" s="23" t="s">
        <v>621</v>
      </c>
      <c r="J803" s="23" t="s">
        <v>229</v>
      </c>
      <c r="K803" s="23" t="str">
        <f t="shared" si="1"/>
        <v>671211</v>
      </c>
      <c r="L803" s="23"/>
      <c r="M803" s="26"/>
      <c r="N803" s="26"/>
      <c r="O803" s="26"/>
      <c r="P803" s="26"/>
      <c r="Q803" s="26"/>
      <c r="R803" s="26"/>
      <c r="S803" s="26"/>
      <c r="T803" s="26"/>
      <c r="U803" s="26"/>
      <c r="V803" s="26"/>
      <c r="W803" s="26"/>
      <c r="X803" s="26"/>
    </row>
    <row r="804" hidden="1">
      <c r="A804" s="10" t="s">
        <v>190</v>
      </c>
      <c r="B804" s="10" t="s">
        <v>2631</v>
      </c>
      <c r="C804" s="27" t="s">
        <v>2632</v>
      </c>
      <c r="D804" s="10" t="s">
        <v>2633</v>
      </c>
      <c r="E804" s="28" t="s">
        <v>621</v>
      </c>
      <c r="F804" s="23" t="s">
        <v>621</v>
      </c>
      <c r="G804" s="23" t="s">
        <v>621</v>
      </c>
      <c r="H804" s="23" t="s">
        <v>621</v>
      </c>
      <c r="I804" s="23" t="s">
        <v>621</v>
      </c>
      <c r="J804" s="23" t="s">
        <v>229</v>
      </c>
      <c r="K804" s="23" t="str">
        <f t="shared" si="1"/>
        <v>671212</v>
      </c>
      <c r="L804" s="23"/>
      <c r="M804" s="26"/>
      <c r="N804" s="26"/>
      <c r="O804" s="26"/>
      <c r="P804" s="26"/>
      <c r="Q804" s="26"/>
      <c r="R804" s="26"/>
      <c r="S804" s="26"/>
      <c r="T804" s="26"/>
      <c r="U804" s="26"/>
      <c r="V804" s="26"/>
      <c r="W804" s="26"/>
      <c r="X804" s="26"/>
    </row>
    <row r="805" hidden="1">
      <c r="A805" s="10" t="s">
        <v>190</v>
      </c>
      <c r="B805" s="10" t="s">
        <v>2634</v>
      </c>
      <c r="C805" s="27" t="s">
        <v>2635</v>
      </c>
      <c r="D805" s="10" t="s">
        <v>2636</v>
      </c>
      <c r="E805" s="28" t="s">
        <v>621</v>
      </c>
      <c r="F805" s="23" t="s">
        <v>621</v>
      </c>
      <c r="G805" s="23" t="s">
        <v>621</v>
      </c>
      <c r="H805" s="23" t="s">
        <v>621</v>
      </c>
      <c r="I805" s="23" t="s">
        <v>621</v>
      </c>
      <c r="J805" s="23" t="s">
        <v>229</v>
      </c>
      <c r="K805" s="23" t="str">
        <f t="shared" si="1"/>
        <v>671213</v>
      </c>
      <c r="L805" s="23"/>
      <c r="M805" s="26"/>
      <c r="N805" s="26"/>
      <c r="O805" s="26"/>
      <c r="P805" s="26"/>
      <c r="Q805" s="26"/>
      <c r="R805" s="26"/>
      <c r="S805" s="26"/>
      <c r="T805" s="26"/>
      <c r="U805" s="26"/>
      <c r="V805" s="26"/>
      <c r="W805" s="26"/>
      <c r="X805" s="26"/>
    </row>
    <row r="806" hidden="1">
      <c r="A806" s="10" t="s">
        <v>190</v>
      </c>
      <c r="B806" s="10" t="s">
        <v>2637</v>
      </c>
      <c r="C806" s="27" t="s">
        <v>2638</v>
      </c>
      <c r="D806" s="10" t="s">
        <v>2639</v>
      </c>
      <c r="E806" s="28" t="s">
        <v>621</v>
      </c>
      <c r="F806" s="23" t="s">
        <v>621</v>
      </c>
      <c r="G806" s="23" t="s">
        <v>621</v>
      </c>
      <c r="H806" s="23" t="s">
        <v>621</v>
      </c>
      <c r="I806" s="23" t="s">
        <v>621</v>
      </c>
      <c r="J806" s="23" t="s">
        <v>229</v>
      </c>
      <c r="K806" s="23" t="str">
        <f t="shared" si="1"/>
        <v>671214</v>
      </c>
      <c r="L806" s="23"/>
      <c r="M806" s="26"/>
      <c r="N806" s="26"/>
      <c r="O806" s="26"/>
      <c r="P806" s="26"/>
      <c r="Q806" s="26"/>
      <c r="R806" s="26"/>
      <c r="S806" s="26"/>
      <c r="T806" s="26"/>
      <c r="U806" s="26"/>
      <c r="V806" s="26"/>
      <c r="W806" s="26"/>
      <c r="X806" s="26"/>
    </row>
    <row r="807" hidden="1">
      <c r="A807" s="10" t="s">
        <v>190</v>
      </c>
      <c r="B807" s="10" t="s">
        <v>2640</v>
      </c>
      <c r="C807" s="27" t="s">
        <v>2641</v>
      </c>
      <c r="D807" s="10" t="s">
        <v>2642</v>
      </c>
      <c r="E807" s="28" t="s">
        <v>621</v>
      </c>
      <c r="F807" s="23" t="s">
        <v>621</v>
      </c>
      <c r="G807" s="23" t="s">
        <v>621</v>
      </c>
      <c r="H807" s="23" t="s">
        <v>621</v>
      </c>
      <c r="I807" s="23" t="s">
        <v>621</v>
      </c>
      <c r="J807" s="23" t="s">
        <v>229</v>
      </c>
      <c r="K807" s="23" t="str">
        <f t="shared" si="1"/>
        <v>671233</v>
      </c>
      <c r="L807" s="23"/>
      <c r="M807" s="26"/>
      <c r="N807" s="26"/>
      <c r="O807" s="26"/>
      <c r="P807" s="26"/>
      <c r="Q807" s="26"/>
      <c r="R807" s="26"/>
      <c r="S807" s="26"/>
      <c r="T807" s="26"/>
      <c r="U807" s="26"/>
      <c r="V807" s="26"/>
      <c r="W807" s="26"/>
      <c r="X807" s="26"/>
    </row>
    <row r="808" hidden="1">
      <c r="A808" s="10" t="s">
        <v>190</v>
      </c>
      <c r="B808" s="10" t="s">
        <v>2643</v>
      </c>
      <c r="C808" s="27" t="s">
        <v>2644</v>
      </c>
      <c r="D808" s="10" t="s">
        <v>2645</v>
      </c>
      <c r="E808" s="28" t="s">
        <v>621</v>
      </c>
      <c r="F808" s="23" t="s">
        <v>621</v>
      </c>
      <c r="G808" s="23" t="s">
        <v>621</v>
      </c>
      <c r="H808" s="23" t="s">
        <v>621</v>
      </c>
      <c r="I808" s="23" t="s">
        <v>621</v>
      </c>
      <c r="J808" s="23" t="s">
        <v>229</v>
      </c>
      <c r="K808" s="23" t="str">
        <f t="shared" si="1"/>
        <v>626341</v>
      </c>
      <c r="L808" s="23"/>
      <c r="M808" s="26"/>
      <c r="N808" s="26"/>
      <c r="O808" s="26"/>
      <c r="P808" s="26"/>
      <c r="Q808" s="26"/>
      <c r="R808" s="26"/>
      <c r="S808" s="26"/>
      <c r="T808" s="26"/>
      <c r="U808" s="26"/>
      <c r="V808" s="26"/>
      <c r="W808" s="26"/>
      <c r="X808" s="26"/>
    </row>
    <row r="809" hidden="1">
      <c r="A809" s="10" t="s">
        <v>190</v>
      </c>
      <c r="B809" s="10" t="s">
        <v>2646</v>
      </c>
      <c r="C809" s="27" t="s">
        <v>2647</v>
      </c>
      <c r="D809" s="10" t="s">
        <v>2648</v>
      </c>
      <c r="E809" s="28" t="s">
        <v>621</v>
      </c>
      <c r="F809" s="23" t="s">
        <v>621</v>
      </c>
      <c r="G809" s="23" t="s">
        <v>621</v>
      </c>
      <c r="H809" s="23" t="s">
        <v>621</v>
      </c>
      <c r="I809" s="23" t="s">
        <v>621</v>
      </c>
      <c r="J809" s="23" t="s">
        <v>229</v>
      </c>
      <c r="K809" s="23" t="str">
        <f t="shared" si="1"/>
        <v>671241</v>
      </c>
      <c r="L809" s="23"/>
      <c r="M809" s="26"/>
      <c r="N809" s="26"/>
      <c r="O809" s="26"/>
      <c r="P809" s="26"/>
      <c r="Q809" s="26"/>
      <c r="R809" s="26"/>
      <c r="S809" s="26"/>
      <c r="T809" s="26"/>
      <c r="U809" s="26"/>
      <c r="V809" s="26"/>
      <c r="W809" s="26"/>
      <c r="X809" s="26"/>
    </row>
    <row r="810" hidden="1">
      <c r="A810" s="10" t="s">
        <v>190</v>
      </c>
      <c r="B810" s="10" t="s">
        <v>2649</v>
      </c>
      <c r="C810" s="27" t="s">
        <v>2650</v>
      </c>
      <c r="D810" s="10" t="s">
        <v>2651</v>
      </c>
      <c r="E810" s="28" t="s">
        <v>621</v>
      </c>
      <c r="F810" s="23" t="s">
        <v>621</v>
      </c>
      <c r="G810" s="23" t="s">
        <v>621</v>
      </c>
      <c r="H810" s="23" t="s">
        <v>621</v>
      </c>
      <c r="I810" s="23" t="s">
        <v>621</v>
      </c>
      <c r="J810" s="23" t="s">
        <v>229</v>
      </c>
      <c r="K810" s="23" t="str">
        <f t="shared" si="1"/>
        <v>671411</v>
      </c>
      <c r="L810" s="23"/>
      <c r="M810" s="26"/>
      <c r="N810" s="26"/>
      <c r="O810" s="26"/>
      <c r="P810" s="26"/>
      <c r="Q810" s="26"/>
      <c r="R810" s="26"/>
      <c r="S810" s="26"/>
      <c r="T810" s="26"/>
      <c r="U810" s="26"/>
      <c r="V810" s="26"/>
      <c r="W810" s="26"/>
      <c r="X810" s="26"/>
    </row>
    <row r="811" hidden="1">
      <c r="A811" s="10" t="s">
        <v>190</v>
      </c>
      <c r="B811" s="10" t="s">
        <v>2652</v>
      </c>
      <c r="C811" s="27" t="s">
        <v>2653</v>
      </c>
      <c r="D811" s="10" t="s">
        <v>2654</v>
      </c>
      <c r="E811" s="28" t="s">
        <v>621</v>
      </c>
      <c r="F811" s="23" t="s">
        <v>621</v>
      </c>
      <c r="G811" s="23" t="s">
        <v>621</v>
      </c>
      <c r="H811" s="23" t="s">
        <v>621</v>
      </c>
      <c r="I811" s="23" t="s">
        <v>621</v>
      </c>
      <c r="J811" s="23" t="s">
        <v>229</v>
      </c>
      <c r="K811" s="23" t="str">
        <f t="shared" si="1"/>
        <v>674047</v>
      </c>
      <c r="L811" s="23"/>
      <c r="M811" s="26"/>
      <c r="N811" s="26"/>
      <c r="O811" s="26"/>
      <c r="P811" s="26"/>
      <c r="Q811" s="26"/>
      <c r="R811" s="26"/>
      <c r="S811" s="26"/>
      <c r="T811" s="26"/>
      <c r="U811" s="26"/>
      <c r="V811" s="26"/>
      <c r="W811" s="26"/>
      <c r="X811" s="26"/>
    </row>
    <row r="812" hidden="1">
      <c r="A812" s="10" t="s">
        <v>190</v>
      </c>
      <c r="B812" s="10" t="s">
        <v>2655</v>
      </c>
      <c r="C812" s="27" t="s">
        <v>2656</v>
      </c>
      <c r="D812" s="10" t="s">
        <v>2657</v>
      </c>
      <c r="E812" s="28" t="s">
        <v>194</v>
      </c>
      <c r="F812" s="23" t="s">
        <v>195</v>
      </c>
      <c r="G812" s="23" t="s">
        <v>621</v>
      </c>
      <c r="H812" s="23" t="s">
        <v>621</v>
      </c>
      <c r="I812" s="23" t="s">
        <v>621</v>
      </c>
      <c r="J812" s="23" t="s">
        <v>229</v>
      </c>
      <c r="K812" s="23" t="str">
        <f t="shared" si="1"/>
        <v>671234</v>
      </c>
      <c r="L812" s="23"/>
      <c r="M812" s="26"/>
      <c r="N812" s="26"/>
      <c r="O812" s="26"/>
      <c r="P812" s="26"/>
      <c r="Q812" s="26"/>
      <c r="R812" s="26"/>
      <c r="S812" s="26"/>
      <c r="T812" s="26"/>
      <c r="U812" s="26"/>
      <c r="V812" s="26"/>
      <c r="W812" s="26"/>
      <c r="X812" s="26"/>
    </row>
    <row r="813" hidden="1">
      <c r="A813" s="10" t="s">
        <v>190</v>
      </c>
      <c r="B813" s="10" t="s">
        <v>2658</v>
      </c>
      <c r="C813" s="27" t="s">
        <v>2659</v>
      </c>
      <c r="D813" s="10" t="s">
        <v>2660</v>
      </c>
      <c r="E813" s="28" t="s">
        <v>194</v>
      </c>
      <c r="F813" s="23" t="s">
        <v>195</v>
      </c>
      <c r="G813" s="23" t="s">
        <v>621</v>
      </c>
      <c r="H813" s="23" t="s">
        <v>621</v>
      </c>
      <c r="I813" s="23" t="s">
        <v>621</v>
      </c>
      <c r="J813" s="23" t="s">
        <v>229</v>
      </c>
      <c r="K813" s="23" t="str">
        <f t="shared" si="1"/>
        <v>671402</v>
      </c>
      <c r="L813" s="23"/>
      <c r="M813" s="26"/>
      <c r="N813" s="26"/>
      <c r="O813" s="26"/>
      <c r="P813" s="26"/>
      <c r="Q813" s="26"/>
      <c r="R813" s="26"/>
      <c r="S813" s="26"/>
      <c r="T813" s="26"/>
      <c r="U813" s="26"/>
      <c r="V813" s="26"/>
      <c r="W813" s="26"/>
      <c r="X813" s="26"/>
    </row>
    <row r="814" hidden="1">
      <c r="A814" s="10" t="s">
        <v>190</v>
      </c>
      <c r="B814" s="10" t="s">
        <v>2661</v>
      </c>
      <c r="C814" s="27" t="s">
        <v>2662</v>
      </c>
      <c r="D814" s="10" t="s">
        <v>2663</v>
      </c>
      <c r="E814" s="28" t="s">
        <v>194</v>
      </c>
      <c r="F814" s="23" t="s">
        <v>195</v>
      </c>
      <c r="G814" s="23" t="s">
        <v>196</v>
      </c>
      <c r="H814" s="23" t="s">
        <v>625</v>
      </c>
      <c r="I814" s="23" t="s">
        <v>1673</v>
      </c>
      <c r="J814" s="23" t="s">
        <v>229</v>
      </c>
      <c r="K814" s="23" t="str">
        <f t="shared" si="1"/>
        <v>665900</v>
      </c>
      <c r="L814" s="23"/>
      <c r="M814" s="26"/>
      <c r="N814" s="26"/>
      <c r="O814" s="26"/>
      <c r="P814" s="26"/>
      <c r="Q814" s="26"/>
      <c r="R814" s="26"/>
      <c r="S814" s="26"/>
      <c r="T814" s="26"/>
      <c r="U814" s="26"/>
      <c r="V814" s="26"/>
      <c r="W814" s="26"/>
      <c r="X814" s="26"/>
    </row>
    <row r="815" hidden="1">
      <c r="A815" s="10" t="s">
        <v>190</v>
      </c>
      <c r="B815" s="10" t="s">
        <v>2664</v>
      </c>
      <c r="C815" s="27" t="s">
        <v>2665</v>
      </c>
      <c r="D815" s="10" t="s">
        <v>2666</v>
      </c>
      <c r="E815" s="28" t="s">
        <v>194</v>
      </c>
      <c r="F815" s="23" t="s">
        <v>195</v>
      </c>
      <c r="G815" s="23" t="s">
        <v>196</v>
      </c>
      <c r="H815" s="23" t="s">
        <v>625</v>
      </c>
      <c r="I815" s="23" t="s">
        <v>2667</v>
      </c>
      <c r="J815" s="23" t="s">
        <v>238</v>
      </c>
      <c r="K815" s="23" t="str">
        <f t="shared" si="1"/>
        <v>665160</v>
      </c>
      <c r="L815" s="23"/>
      <c r="M815" s="26"/>
      <c r="N815" s="26"/>
      <c r="O815" s="26"/>
      <c r="P815" s="26"/>
      <c r="Q815" s="26"/>
      <c r="R815" s="26"/>
      <c r="S815" s="26"/>
      <c r="T815" s="26"/>
      <c r="U815" s="26"/>
      <c r="V815" s="26"/>
      <c r="W815" s="26"/>
      <c r="X815" s="26"/>
    </row>
    <row r="816" hidden="1">
      <c r="A816" s="10" t="s">
        <v>190</v>
      </c>
      <c r="B816" s="10" t="s">
        <v>2668</v>
      </c>
      <c r="C816" s="27" t="s">
        <v>2669</v>
      </c>
      <c r="D816" s="10" t="s">
        <v>2670</v>
      </c>
      <c r="E816" s="28" t="s">
        <v>194</v>
      </c>
      <c r="F816" s="23" t="s">
        <v>195</v>
      </c>
      <c r="G816" s="23" t="s">
        <v>196</v>
      </c>
      <c r="H816" s="23" t="s">
        <v>625</v>
      </c>
      <c r="I816" s="23" t="s">
        <v>2667</v>
      </c>
      <c r="J816" s="23" t="s">
        <v>198</v>
      </c>
      <c r="K816" s="23" t="str">
        <f t="shared" si="1"/>
        <v>677361</v>
      </c>
      <c r="L816" s="23"/>
      <c r="M816" s="26"/>
      <c r="N816" s="26"/>
      <c r="O816" s="26"/>
      <c r="P816" s="26"/>
      <c r="Q816" s="26"/>
      <c r="R816" s="26"/>
      <c r="S816" s="26"/>
      <c r="T816" s="26"/>
      <c r="U816" s="26"/>
      <c r="V816" s="26"/>
      <c r="W816" s="26"/>
      <c r="X816" s="26"/>
    </row>
    <row r="817" hidden="1">
      <c r="A817" s="10" t="s">
        <v>190</v>
      </c>
      <c r="B817" s="10" t="s">
        <v>2671</v>
      </c>
      <c r="C817" s="27" t="s">
        <v>2672</v>
      </c>
      <c r="D817" s="10" t="s">
        <v>2673</v>
      </c>
      <c r="E817" s="28" t="s">
        <v>194</v>
      </c>
      <c r="F817" s="23" t="s">
        <v>195</v>
      </c>
      <c r="G817" s="23" t="s">
        <v>196</v>
      </c>
      <c r="H817" s="23" t="s">
        <v>625</v>
      </c>
      <c r="I817" s="23" t="s">
        <v>2667</v>
      </c>
      <c r="J817" s="23" t="s">
        <v>238</v>
      </c>
      <c r="K817" s="23" t="str">
        <f t="shared" si="1"/>
        <v>665252</v>
      </c>
      <c r="L817" s="23"/>
      <c r="M817" s="26"/>
      <c r="N817" s="26"/>
      <c r="O817" s="26"/>
      <c r="P817" s="26"/>
      <c r="Q817" s="26"/>
      <c r="R817" s="26"/>
      <c r="S817" s="26"/>
      <c r="T817" s="26"/>
      <c r="U817" s="26"/>
      <c r="V817" s="26"/>
      <c r="W817" s="26"/>
      <c r="X817" s="26"/>
    </row>
    <row r="818" hidden="1">
      <c r="A818" s="10" t="s">
        <v>190</v>
      </c>
      <c r="B818" s="10" t="s">
        <v>2674</v>
      </c>
      <c r="C818" s="27" t="s">
        <v>2675</v>
      </c>
      <c r="D818" s="10" t="s">
        <v>2676</v>
      </c>
      <c r="E818" s="28" t="s">
        <v>194</v>
      </c>
      <c r="F818" s="23" t="s">
        <v>195</v>
      </c>
      <c r="G818" s="23" t="s">
        <v>196</v>
      </c>
      <c r="H818" s="23" t="s">
        <v>625</v>
      </c>
      <c r="I818" s="23" t="s">
        <v>2667</v>
      </c>
      <c r="J818" s="23" t="s">
        <v>238</v>
      </c>
      <c r="K818" s="23" t="str">
        <f t="shared" si="1"/>
        <v>686554</v>
      </c>
      <c r="L818" s="23"/>
      <c r="M818" s="26"/>
      <c r="N818" s="26"/>
      <c r="O818" s="26"/>
      <c r="P818" s="26"/>
      <c r="Q818" s="26"/>
      <c r="R818" s="26"/>
      <c r="S818" s="26"/>
      <c r="T818" s="26"/>
      <c r="U818" s="26"/>
      <c r="V818" s="26"/>
      <c r="W818" s="26"/>
      <c r="X818" s="26"/>
    </row>
    <row r="819" hidden="1">
      <c r="A819" s="10" t="s">
        <v>499</v>
      </c>
      <c r="B819" s="10" t="s">
        <v>2677</v>
      </c>
      <c r="C819" s="27" t="s">
        <v>2678</v>
      </c>
      <c r="D819" s="10" t="s">
        <v>2679</v>
      </c>
      <c r="E819" s="28" t="s">
        <v>194</v>
      </c>
      <c r="F819" s="23" t="s">
        <v>1037</v>
      </c>
      <c r="G819" s="23" t="s">
        <v>196</v>
      </c>
      <c r="H819" s="23" t="s">
        <v>625</v>
      </c>
      <c r="I819" s="32"/>
      <c r="J819" s="23" t="s">
        <v>6</v>
      </c>
      <c r="K819" s="23" t="str">
        <f t="shared" si="1"/>
        <v>615998</v>
      </c>
      <c r="L819" s="23"/>
      <c r="M819" s="26"/>
      <c r="N819" s="26"/>
      <c r="O819" s="26"/>
      <c r="P819" s="26"/>
      <c r="Q819" s="26"/>
      <c r="R819" s="26"/>
      <c r="S819" s="26"/>
      <c r="T819" s="26"/>
      <c r="U819" s="26"/>
      <c r="V819" s="26"/>
      <c r="W819" s="26"/>
      <c r="X819" s="26"/>
    </row>
    <row r="820" hidden="1">
      <c r="A820" s="10" t="s">
        <v>499</v>
      </c>
      <c r="B820" s="10" t="s">
        <v>2680</v>
      </c>
      <c r="C820" s="27" t="s">
        <v>2681</v>
      </c>
      <c r="D820" s="10" t="s">
        <v>2682</v>
      </c>
      <c r="E820" s="28" t="s">
        <v>194</v>
      </c>
      <c r="F820" s="23" t="s">
        <v>195</v>
      </c>
      <c r="G820" s="23" t="s">
        <v>203</v>
      </c>
      <c r="H820" s="23" t="s">
        <v>625</v>
      </c>
      <c r="I820" s="32"/>
      <c r="J820" s="23" t="s">
        <v>6</v>
      </c>
      <c r="K820" s="23" t="str">
        <f t="shared" si="1"/>
        <v>620183</v>
      </c>
      <c r="L820" s="23"/>
      <c r="M820" s="26"/>
      <c r="N820" s="26"/>
      <c r="O820" s="26"/>
      <c r="P820" s="26"/>
      <c r="Q820" s="26"/>
      <c r="R820" s="26"/>
      <c r="S820" s="26"/>
      <c r="T820" s="26"/>
      <c r="U820" s="26"/>
      <c r="V820" s="26"/>
      <c r="W820" s="26"/>
      <c r="X820" s="26"/>
    </row>
    <row r="821" hidden="1">
      <c r="A821" s="10" t="s">
        <v>499</v>
      </c>
      <c r="B821" s="10" t="s">
        <v>2683</v>
      </c>
      <c r="C821" s="27" t="s">
        <v>2684</v>
      </c>
      <c r="D821" s="10" t="s">
        <v>2685</v>
      </c>
      <c r="E821" s="28" t="s">
        <v>194</v>
      </c>
      <c r="F821" s="23" t="s">
        <v>1037</v>
      </c>
      <c r="G821" s="23" t="s">
        <v>196</v>
      </c>
      <c r="H821" s="23" t="s">
        <v>625</v>
      </c>
      <c r="I821" s="32"/>
      <c r="J821" s="23" t="s">
        <v>6</v>
      </c>
      <c r="K821" s="23" t="str">
        <f t="shared" si="1"/>
        <v>616018</v>
      </c>
      <c r="L821" s="23"/>
      <c r="M821" s="26"/>
      <c r="N821" s="26"/>
      <c r="O821" s="26"/>
      <c r="P821" s="26"/>
      <c r="Q821" s="26"/>
      <c r="R821" s="26"/>
      <c r="S821" s="26"/>
      <c r="T821" s="26"/>
      <c r="U821" s="26"/>
      <c r="V821" s="26"/>
      <c r="W821" s="26"/>
      <c r="X821" s="26"/>
    </row>
    <row r="822" hidden="1">
      <c r="A822" s="10" t="s">
        <v>499</v>
      </c>
      <c r="B822" s="10" t="s">
        <v>2686</v>
      </c>
      <c r="C822" s="27" t="s">
        <v>2687</v>
      </c>
      <c r="D822" s="10" t="s">
        <v>2688</v>
      </c>
      <c r="E822" s="28" t="s">
        <v>194</v>
      </c>
      <c r="F822" s="23" t="s">
        <v>1037</v>
      </c>
      <c r="G822" s="23" t="s">
        <v>196</v>
      </c>
      <c r="H822" s="23" t="s">
        <v>625</v>
      </c>
      <c r="I822" s="32"/>
      <c r="J822" s="23" t="s">
        <v>6</v>
      </c>
      <c r="K822" s="23" t="str">
        <f t="shared" si="1"/>
        <v>634432</v>
      </c>
      <c r="L822" s="23"/>
      <c r="M822" s="26"/>
      <c r="N822" s="26"/>
      <c r="O822" s="26"/>
      <c r="P822" s="26"/>
      <c r="Q822" s="26"/>
      <c r="R822" s="26"/>
      <c r="S822" s="26"/>
      <c r="T822" s="26"/>
      <c r="U822" s="26"/>
      <c r="V822" s="26"/>
      <c r="W822" s="26"/>
      <c r="X822" s="26"/>
    </row>
    <row r="823" hidden="1">
      <c r="A823" s="10" t="s">
        <v>499</v>
      </c>
      <c r="B823" s="10" t="s">
        <v>2689</v>
      </c>
      <c r="C823" s="27" t="s">
        <v>2690</v>
      </c>
      <c r="D823" s="10" t="s">
        <v>2691</v>
      </c>
      <c r="E823" s="28" t="s">
        <v>194</v>
      </c>
      <c r="F823" s="23" t="s">
        <v>195</v>
      </c>
      <c r="G823" s="23" t="s">
        <v>196</v>
      </c>
      <c r="H823" s="23" t="s">
        <v>625</v>
      </c>
      <c r="I823" s="32"/>
      <c r="J823" s="23" t="s">
        <v>6</v>
      </c>
      <c r="K823" s="23" t="str">
        <f t="shared" si="1"/>
        <v>648729</v>
      </c>
      <c r="L823" s="23"/>
      <c r="M823" s="26"/>
      <c r="N823" s="26"/>
      <c r="O823" s="26"/>
      <c r="P823" s="26"/>
      <c r="Q823" s="26"/>
      <c r="R823" s="26"/>
      <c r="S823" s="26"/>
      <c r="T823" s="26"/>
      <c r="U823" s="26"/>
      <c r="V823" s="26"/>
      <c r="W823" s="26"/>
      <c r="X823" s="26"/>
    </row>
    <row r="824" hidden="1">
      <c r="A824" s="10" t="s">
        <v>190</v>
      </c>
      <c r="B824" s="10" t="s">
        <v>2692</v>
      </c>
      <c r="C824" s="27" t="s">
        <v>2693</v>
      </c>
      <c r="D824" s="10" t="s">
        <v>2694</v>
      </c>
      <c r="E824" s="28" t="s">
        <v>194</v>
      </c>
      <c r="F824" s="23" t="s">
        <v>195</v>
      </c>
      <c r="G824" s="23" t="s">
        <v>196</v>
      </c>
      <c r="H824" s="23" t="s">
        <v>1646</v>
      </c>
      <c r="I824" s="23" t="s">
        <v>1646</v>
      </c>
      <c r="J824" s="23" t="s">
        <v>229</v>
      </c>
      <c r="K824" s="23" t="str">
        <f t="shared" si="1"/>
        <v>665306</v>
      </c>
      <c r="L824" s="23"/>
      <c r="M824" s="26"/>
      <c r="N824" s="26"/>
      <c r="O824" s="26"/>
      <c r="P824" s="26"/>
      <c r="Q824" s="26"/>
      <c r="R824" s="26"/>
      <c r="S824" s="26"/>
      <c r="T824" s="26"/>
      <c r="U824" s="26"/>
      <c r="V824" s="26"/>
      <c r="W824" s="26"/>
      <c r="X824" s="26"/>
    </row>
    <row r="825" hidden="1">
      <c r="A825" s="10" t="s">
        <v>190</v>
      </c>
      <c r="B825" s="10" t="s">
        <v>2695</v>
      </c>
      <c r="C825" s="27" t="s">
        <v>2696</v>
      </c>
      <c r="D825" s="10" t="s">
        <v>2697</v>
      </c>
      <c r="E825" s="28" t="s">
        <v>194</v>
      </c>
      <c r="F825" s="23" t="s">
        <v>195</v>
      </c>
      <c r="G825" s="23" t="s">
        <v>196</v>
      </c>
      <c r="H825" s="23" t="s">
        <v>1646</v>
      </c>
      <c r="I825" s="23" t="s">
        <v>1646</v>
      </c>
      <c r="J825" s="23" t="s">
        <v>198</v>
      </c>
      <c r="K825" s="23" t="str">
        <f t="shared" si="1"/>
        <v>665283</v>
      </c>
      <c r="L825" s="23"/>
      <c r="M825" s="26"/>
      <c r="N825" s="26"/>
      <c r="O825" s="26"/>
      <c r="P825" s="26"/>
      <c r="Q825" s="26"/>
      <c r="R825" s="26"/>
      <c r="S825" s="26"/>
      <c r="T825" s="26"/>
      <c r="U825" s="26"/>
      <c r="V825" s="26"/>
      <c r="W825" s="26"/>
      <c r="X825" s="26"/>
    </row>
    <row r="826" hidden="1">
      <c r="A826" s="10" t="s">
        <v>499</v>
      </c>
      <c r="B826" s="10" t="s">
        <v>2698</v>
      </c>
      <c r="C826" s="27" t="s">
        <v>2699</v>
      </c>
      <c r="D826" s="10" t="s">
        <v>2700</v>
      </c>
      <c r="E826" s="28" t="s">
        <v>194</v>
      </c>
      <c r="F826" s="23" t="s">
        <v>1037</v>
      </c>
      <c r="G826" s="23" t="s">
        <v>196</v>
      </c>
      <c r="H826" s="23" t="s">
        <v>1646</v>
      </c>
      <c r="I826" s="32"/>
      <c r="J826" s="23" t="s">
        <v>6</v>
      </c>
      <c r="K826" s="23" t="str">
        <f t="shared" si="1"/>
        <v>616216</v>
      </c>
      <c r="L826" s="23"/>
      <c r="M826" s="26"/>
      <c r="N826" s="26"/>
      <c r="O826" s="26"/>
      <c r="P826" s="26"/>
      <c r="Q826" s="26"/>
      <c r="R826" s="26"/>
      <c r="S826" s="26"/>
      <c r="T826" s="26"/>
      <c r="U826" s="26"/>
      <c r="V826" s="26"/>
      <c r="W826" s="26"/>
      <c r="X826" s="26"/>
    </row>
    <row r="827" hidden="1">
      <c r="A827" s="10" t="s">
        <v>499</v>
      </c>
      <c r="B827" s="10" t="s">
        <v>2701</v>
      </c>
      <c r="C827" s="27" t="s">
        <v>2702</v>
      </c>
      <c r="D827" s="10" t="s">
        <v>2703</v>
      </c>
      <c r="E827" s="28" t="s">
        <v>194</v>
      </c>
      <c r="F827" s="23" t="s">
        <v>1037</v>
      </c>
      <c r="G827" s="23" t="s">
        <v>196</v>
      </c>
      <c r="H827" s="23" t="s">
        <v>1646</v>
      </c>
      <c r="I827" s="32"/>
      <c r="J827" s="23" t="s">
        <v>6</v>
      </c>
      <c r="K827" s="23" t="str">
        <f t="shared" si="1"/>
        <v>616230</v>
      </c>
      <c r="L827" s="23"/>
      <c r="M827" s="26"/>
      <c r="N827" s="26"/>
      <c r="O827" s="26"/>
      <c r="P827" s="26"/>
      <c r="Q827" s="26"/>
      <c r="R827" s="26"/>
      <c r="S827" s="26"/>
      <c r="T827" s="26"/>
      <c r="U827" s="26"/>
      <c r="V827" s="26"/>
      <c r="W827" s="26"/>
      <c r="X827" s="26"/>
    </row>
    <row r="828" hidden="1">
      <c r="A828" s="10" t="s">
        <v>190</v>
      </c>
      <c r="B828" s="10" t="s">
        <v>2704</v>
      </c>
      <c r="C828" s="27" t="s">
        <v>170</v>
      </c>
      <c r="D828" s="10" t="s">
        <v>171</v>
      </c>
      <c r="E828" s="28" t="s">
        <v>194</v>
      </c>
      <c r="F828" s="23" t="s">
        <v>195</v>
      </c>
      <c r="G828" s="23" t="s">
        <v>203</v>
      </c>
      <c r="H828" s="23" t="s">
        <v>653</v>
      </c>
      <c r="I828" s="23" t="s">
        <v>658</v>
      </c>
      <c r="J828" s="23" t="s">
        <v>229</v>
      </c>
      <c r="K828" s="23" t="str">
        <f t="shared" si="1"/>
        <v>687025</v>
      </c>
      <c r="L828" s="23"/>
      <c r="M828" s="26"/>
      <c r="N828" s="26"/>
      <c r="O828" s="26"/>
      <c r="P828" s="26"/>
      <c r="Q828" s="26"/>
      <c r="R828" s="26"/>
      <c r="S828" s="26"/>
      <c r="T828" s="26"/>
      <c r="U828" s="26"/>
      <c r="V828" s="26"/>
      <c r="W828" s="26"/>
      <c r="X828" s="26"/>
    </row>
    <row r="829" hidden="1">
      <c r="A829" s="10" t="s">
        <v>190</v>
      </c>
      <c r="B829" s="10" t="s">
        <v>2705</v>
      </c>
      <c r="C829" s="27" t="s">
        <v>2706</v>
      </c>
      <c r="D829" s="10" t="s">
        <v>2707</v>
      </c>
      <c r="E829" s="28" t="s">
        <v>194</v>
      </c>
      <c r="F829" s="23" t="s">
        <v>195</v>
      </c>
      <c r="G829" s="23" t="s">
        <v>203</v>
      </c>
      <c r="H829" s="23" t="s">
        <v>653</v>
      </c>
      <c r="I829" s="23" t="s">
        <v>668</v>
      </c>
      <c r="J829" s="23" t="s">
        <v>229</v>
      </c>
      <c r="K829" s="23" t="str">
        <f t="shared" si="1"/>
        <v>668109</v>
      </c>
      <c r="L829" s="23"/>
      <c r="M829" s="26"/>
      <c r="N829" s="26"/>
      <c r="O829" s="26"/>
      <c r="P829" s="26"/>
      <c r="Q829" s="26"/>
      <c r="R829" s="26"/>
      <c r="S829" s="26"/>
      <c r="T829" s="26"/>
      <c r="U829" s="26"/>
      <c r="V829" s="26"/>
      <c r="W829" s="26"/>
      <c r="X829" s="26"/>
    </row>
    <row r="830" hidden="1">
      <c r="A830" s="10" t="s">
        <v>190</v>
      </c>
      <c r="B830" s="10" t="s">
        <v>2708</v>
      </c>
      <c r="C830" s="27" t="s">
        <v>2709</v>
      </c>
      <c r="D830" s="10" t="s">
        <v>2710</v>
      </c>
      <c r="E830" s="28" t="s">
        <v>194</v>
      </c>
      <c r="F830" s="23" t="s">
        <v>195</v>
      </c>
      <c r="G830" s="23" t="s">
        <v>203</v>
      </c>
      <c r="H830" s="23" t="s">
        <v>653</v>
      </c>
      <c r="I830" s="23" t="s">
        <v>668</v>
      </c>
      <c r="J830" s="23" t="s">
        <v>198</v>
      </c>
      <c r="K830" s="23" t="str">
        <f t="shared" si="1"/>
        <v>685472</v>
      </c>
      <c r="L830" s="23"/>
      <c r="M830" s="26"/>
      <c r="N830" s="26"/>
      <c r="O830" s="26"/>
      <c r="P830" s="26"/>
      <c r="Q830" s="26"/>
      <c r="R830" s="26"/>
      <c r="S830" s="26"/>
      <c r="T830" s="26"/>
      <c r="U830" s="26"/>
      <c r="V830" s="26"/>
      <c r="W830" s="26"/>
      <c r="X830" s="26"/>
    </row>
    <row r="831" hidden="1">
      <c r="A831" s="10" t="s">
        <v>499</v>
      </c>
      <c r="B831" s="10" t="s">
        <v>2711</v>
      </c>
      <c r="C831" s="27" t="s">
        <v>2712</v>
      </c>
      <c r="D831" s="10" t="s">
        <v>2713</v>
      </c>
      <c r="E831" s="28" t="s">
        <v>194</v>
      </c>
      <c r="F831" s="23" t="s">
        <v>195</v>
      </c>
      <c r="G831" s="23" t="s">
        <v>203</v>
      </c>
      <c r="H831" s="23" t="s">
        <v>653</v>
      </c>
      <c r="I831" s="23" t="s">
        <v>668</v>
      </c>
      <c r="J831" s="23" t="s">
        <v>6</v>
      </c>
      <c r="K831" s="23" t="str">
        <f t="shared" si="1"/>
        <v>685496</v>
      </c>
      <c r="L831" s="23"/>
      <c r="M831" s="26"/>
      <c r="N831" s="26"/>
      <c r="O831" s="26"/>
      <c r="P831" s="26"/>
      <c r="Q831" s="26"/>
      <c r="R831" s="26"/>
      <c r="S831" s="26"/>
      <c r="T831" s="26"/>
      <c r="U831" s="26"/>
      <c r="V831" s="26"/>
      <c r="W831" s="26"/>
      <c r="X831" s="26"/>
    </row>
    <row r="832" hidden="1">
      <c r="A832" s="10" t="s">
        <v>499</v>
      </c>
      <c r="B832" s="10" t="s">
        <v>2714</v>
      </c>
      <c r="C832" s="27" t="s">
        <v>2715</v>
      </c>
      <c r="D832" s="10" t="s">
        <v>2716</v>
      </c>
      <c r="E832" s="28" t="s">
        <v>194</v>
      </c>
      <c r="F832" s="23" t="s">
        <v>195</v>
      </c>
      <c r="G832" s="23" t="s">
        <v>203</v>
      </c>
      <c r="H832" s="23" t="s">
        <v>653</v>
      </c>
      <c r="I832" s="32"/>
      <c r="J832" s="23" t="s">
        <v>6</v>
      </c>
      <c r="K832" s="23" t="str">
        <f t="shared" si="1"/>
        <v>655444</v>
      </c>
      <c r="L832" s="23"/>
      <c r="M832" s="26"/>
      <c r="N832" s="26"/>
      <c r="O832" s="26"/>
      <c r="P832" s="26"/>
      <c r="Q832" s="26"/>
      <c r="R832" s="26"/>
      <c r="S832" s="26"/>
      <c r="T832" s="26"/>
      <c r="U832" s="26"/>
      <c r="V832" s="26"/>
      <c r="W832" s="26"/>
      <c r="X832" s="26"/>
    </row>
    <row r="833" hidden="1">
      <c r="A833" s="10" t="s">
        <v>427</v>
      </c>
      <c r="B833" s="10" t="s">
        <v>2717</v>
      </c>
      <c r="C833" s="27" t="s">
        <v>2718</v>
      </c>
      <c r="D833" s="10" t="s">
        <v>2719</v>
      </c>
      <c r="E833" s="28" t="s">
        <v>431</v>
      </c>
      <c r="F833" s="23" t="s">
        <v>946</v>
      </c>
      <c r="G833" s="23" t="s">
        <v>203</v>
      </c>
      <c r="H833" s="23" t="s">
        <v>653</v>
      </c>
      <c r="I833" s="32"/>
      <c r="J833" s="23" t="s">
        <v>6</v>
      </c>
      <c r="K833" s="23" t="str">
        <f t="shared" si="1"/>
        <v>631851</v>
      </c>
      <c r="L833" s="23"/>
      <c r="M833" s="26"/>
      <c r="N833" s="26"/>
      <c r="O833" s="26"/>
      <c r="P833" s="26"/>
      <c r="Q833" s="26"/>
      <c r="R833" s="26"/>
      <c r="S833" s="26"/>
      <c r="T833" s="26"/>
      <c r="U833" s="26"/>
      <c r="V833" s="26"/>
      <c r="W833" s="26"/>
      <c r="X833" s="26"/>
    </row>
    <row r="834" hidden="1">
      <c r="A834" s="10" t="s">
        <v>427</v>
      </c>
      <c r="B834" s="10" t="s">
        <v>2720</v>
      </c>
      <c r="C834" s="27" t="s">
        <v>2721</v>
      </c>
      <c r="D834" s="10" t="s">
        <v>2722</v>
      </c>
      <c r="E834" s="28" t="s">
        <v>534</v>
      </c>
      <c r="F834" s="23" t="s">
        <v>757</v>
      </c>
      <c r="G834" s="23" t="s">
        <v>203</v>
      </c>
      <c r="H834" s="23" t="s">
        <v>653</v>
      </c>
      <c r="I834" s="32"/>
      <c r="J834" s="23" t="s">
        <v>6</v>
      </c>
      <c r="K834" s="23" t="str">
        <f t="shared" si="1"/>
        <v>690612</v>
      </c>
      <c r="L834" s="23"/>
      <c r="M834" s="26"/>
      <c r="N834" s="26"/>
      <c r="O834" s="26"/>
      <c r="P834" s="26"/>
      <c r="Q834" s="26"/>
      <c r="R834" s="26"/>
      <c r="S834" s="26"/>
      <c r="T834" s="26"/>
      <c r="U834" s="26"/>
      <c r="V834" s="26"/>
      <c r="W834" s="26"/>
      <c r="X834" s="26"/>
    </row>
    <row r="835" hidden="1">
      <c r="A835" s="10" t="s">
        <v>427</v>
      </c>
      <c r="B835" s="10" t="s">
        <v>2723</v>
      </c>
      <c r="C835" s="27" t="s">
        <v>2724</v>
      </c>
      <c r="D835" s="10" t="s">
        <v>2725</v>
      </c>
      <c r="E835" s="28" t="s">
        <v>431</v>
      </c>
      <c r="F835" s="23" t="s">
        <v>950</v>
      </c>
      <c r="G835" s="23" t="s">
        <v>203</v>
      </c>
      <c r="H835" s="23" t="s">
        <v>653</v>
      </c>
      <c r="I835" s="32"/>
      <c r="J835" s="23" t="s">
        <v>6</v>
      </c>
      <c r="K835" s="23" t="str">
        <f t="shared" si="1"/>
        <v>690599</v>
      </c>
      <c r="L835" s="23"/>
      <c r="M835" s="26"/>
      <c r="N835" s="26"/>
      <c r="O835" s="26"/>
      <c r="P835" s="26"/>
      <c r="Q835" s="26"/>
      <c r="R835" s="26"/>
      <c r="S835" s="26"/>
      <c r="T835" s="26"/>
      <c r="U835" s="26"/>
      <c r="V835" s="26"/>
      <c r="W835" s="26"/>
      <c r="X835" s="26"/>
    </row>
    <row r="836" hidden="1">
      <c r="A836" s="10" t="s">
        <v>427</v>
      </c>
      <c r="B836" s="10" t="s">
        <v>2726</v>
      </c>
      <c r="C836" s="27" t="s">
        <v>2727</v>
      </c>
      <c r="D836" s="10" t="s">
        <v>2728</v>
      </c>
      <c r="E836" s="28" t="s">
        <v>534</v>
      </c>
      <c r="F836" s="23" t="s">
        <v>1238</v>
      </c>
      <c r="G836" s="23" t="s">
        <v>203</v>
      </c>
      <c r="H836" s="23" t="s">
        <v>653</v>
      </c>
      <c r="I836" s="32"/>
      <c r="J836" s="23" t="s">
        <v>6</v>
      </c>
      <c r="K836" s="23" t="str">
        <f t="shared" si="1"/>
        <v>690605</v>
      </c>
      <c r="L836" s="23"/>
      <c r="M836" s="26"/>
      <c r="N836" s="26"/>
      <c r="O836" s="26"/>
      <c r="P836" s="26"/>
      <c r="Q836" s="26"/>
      <c r="R836" s="26"/>
      <c r="S836" s="26"/>
      <c r="T836" s="26"/>
      <c r="U836" s="26"/>
      <c r="V836" s="26"/>
      <c r="W836" s="26"/>
      <c r="X836" s="26"/>
    </row>
    <row r="837" hidden="1">
      <c r="A837" s="10" t="s">
        <v>427</v>
      </c>
      <c r="B837" s="10" t="s">
        <v>2729</v>
      </c>
      <c r="C837" s="27" t="s">
        <v>2730</v>
      </c>
      <c r="D837" s="10" t="s">
        <v>2731</v>
      </c>
      <c r="E837" s="28" t="s">
        <v>431</v>
      </c>
      <c r="F837" s="23" t="s">
        <v>946</v>
      </c>
      <c r="G837" s="23" t="s">
        <v>203</v>
      </c>
      <c r="H837" s="23" t="s">
        <v>653</v>
      </c>
      <c r="I837" s="32"/>
      <c r="J837" s="23" t="s">
        <v>6</v>
      </c>
      <c r="K837" s="23" t="str">
        <f t="shared" si="1"/>
        <v>690582</v>
      </c>
      <c r="L837" s="23"/>
      <c r="M837" s="26"/>
      <c r="N837" s="26"/>
      <c r="O837" s="26"/>
      <c r="P837" s="26"/>
      <c r="Q837" s="26"/>
      <c r="R837" s="26"/>
      <c r="S837" s="26"/>
      <c r="T837" s="26"/>
      <c r="U837" s="26"/>
      <c r="V837" s="26"/>
      <c r="W837" s="26"/>
      <c r="X837" s="26"/>
    </row>
    <row r="838" hidden="1">
      <c r="A838" s="10" t="s">
        <v>427</v>
      </c>
      <c r="B838" s="10" t="s">
        <v>2732</v>
      </c>
      <c r="C838" s="27" t="s">
        <v>2733</v>
      </c>
      <c r="D838" s="10" t="s">
        <v>2734</v>
      </c>
      <c r="E838" s="28" t="s">
        <v>534</v>
      </c>
      <c r="F838" s="23" t="s">
        <v>535</v>
      </c>
      <c r="G838" s="23" t="s">
        <v>203</v>
      </c>
      <c r="H838" s="23" t="s">
        <v>653</v>
      </c>
      <c r="I838" s="32"/>
      <c r="J838" s="23" t="s">
        <v>6</v>
      </c>
      <c r="K838" s="23" t="str">
        <f t="shared" si="1"/>
        <v>690568</v>
      </c>
      <c r="L838" s="23"/>
      <c r="M838" s="26"/>
      <c r="N838" s="26"/>
      <c r="O838" s="26"/>
      <c r="P838" s="26"/>
      <c r="Q838" s="26"/>
      <c r="R838" s="26"/>
      <c r="S838" s="26"/>
      <c r="T838" s="26"/>
      <c r="U838" s="26"/>
      <c r="V838" s="26"/>
      <c r="W838" s="26"/>
      <c r="X838" s="26"/>
    </row>
    <row r="839" hidden="1">
      <c r="A839" s="10" t="s">
        <v>427</v>
      </c>
      <c r="B839" s="10" t="s">
        <v>2735</v>
      </c>
      <c r="C839" s="27" t="s">
        <v>2736</v>
      </c>
      <c r="D839" s="10" t="s">
        <v>2737</v>
      </c>
      <c r="E839" s="28" t="s">
        <v>431</v>
      </c>
      <c r="F839" s="23" t="s">
        <v>933</v>
      </c>
      <c r="G839" s="23" t="s">
        <v>203</v>
      </c>
      <c r="H839" s="23" t="s">
        <v>653</v>
      </c>
      <c r="I839" s="32"/>
      <c r="J839" s="23" t="s">
        <v>6</v>
      </c>
      <c r="K839" s="23" t="str">
        <f t="shared" si="1"/>
        <v>690988</v>
      </c>
      <c r="L839" s="23"/>
      <c r="M839" s="26"/>
      <c r="N839" s="26"/>
      <c r="O839" s="26"/>
      <c r="P839" s="26"/>
      <c r="Q839" s="26"/>
      <c r="R839" s="26"/>
      <c r="S839" s="26"/>
      <c r="T839" s="26"/>
      <c r="U839" s="26"/>
      <c r="V839" s="26"/>
      <c r="W839" s="26"/>
      <c r="X839" s="26"/>
    </row>
    <row r="840" hidden="1">
      <c r="A840" s="10" t="s">
        <v>427</v>
      </c>
      <c r="B840" s="10" t="s">
        <v>2738</v>
      </c>
      <c r="C840" s="27" t="s">
        <v>2739</v>
      </c>
      <c r="D840" s="10" t="s">
        <v>2740</v>
      </c>
      <c r="E840" s="28" t="s">
        <v>418</v>
      </c>
      <c r="F840" s="23" t="s">
        <v>419</v>
      </c>
      <c r="G840" s="23" t="s">
        <v>203</v>
      </c>
      <c r="H840" s="23" t="s">
        <v>653</v>
      </c>
      <c r="I840" s="32"/>
      <c r="J840" s="23" t="s">
        <v>6</v>
      </c>
      <c r="K840" s="23" t="str">
        <f t="shared" si="1"/>
        <v>690575</v>
      </c>
      <c r="L840" s="23"/>
      <c r="M840" s="26"/>
      <c r="N840" s="26"/>
      <c r="O840" s="26"/>
      <c r="P840" s="26"/>
      <c r="Q840" s="26"/>
      <c r="R840" s="26"/>
      <c r="S840" s="26"/>
      <c r="T840" s="26"/>
      <c r="U840" s="26"/>
      <c r="V840" s="26"/>
      <c r="W840" s="26"/>
      <c r="X840" s="26"/>
    </row>
    <row r="841" hidden="1">
      <c r="A841" s="10" t="s">
        <v>427</v>
      </c>
      <c r="B841" s="10" t="s">
        <v>2741</v>
      </c>
      <c r="C841" s="27" t="s">
        <v>2742</v>
      </c>
      <c r="D841" s="10" t="s">
        <v>2743</v>
      </c>
      <c r="E841" s="28" t="s">
        <v>534</v>
      </c>
      <c r="F841" s="23" t="s">
        <v>757</v>
      </c>
      <c r="G841" s="23" t="s">
        <v>521</v>
      </c>
      <c r="H841" s="23" t="s">
        <v>2744</v>
      </c>
      <c r="I841" s="32"/>
      <c r="J841" s="23" t="s">
        <v>6</v>
      </c>
      <c r="K841" s="23" t="str">
        <f t="shared" si="1"/>
        <v>658810</v>
      </c>
      <c r="L841" s="23"/>
      <c r="M841" s="26"/>
      <c r="N841" s="26"/>
      <c r="O841" s="26"/>
      <c r="P841" s="26"/>
      <c r="Q841" s="26"/>
      <c r="R841" s="26"/>
      <c r="S841" s="26"/>
      <c r="T841" s="26"/>
      <c r="U841" s="26"/>
      <c r="V841" s="26"/>
      <c r="W841" s="26"/>
      <c r="X841" s="26"/>
    </row>
    <row r="842" hidden="1">
      <c r="A842" s="10" t="s">
        <v>427</v>
      </c>
      <c r="B842" s="10" t="s">
        <v>2745</v>
      </c>
      <c r="C842" s="27" t="s">
        <v>2746</v>
      </c>
      <c r="D842" s="10" t="s">
        <v>2747</v>
      </c>
      <c r="E842" s="28" t="s">
        <v>431</v>
      </c>
      <c r="F842" s="23" t="s">
        <v>1788</v>
      </c>
      <c r="G842" s="23" t="s">
        <v>521</v>
      </c>
      <c r="H842" s="23" t="s">
        <v>2744</v>
      </c>
      <c r="I842" s="32"/>
      <c r="J842" s="23" t="s">
        <v>6</v>
      </c>
      <c r="K842" s="23" t="str">
        <f t="shared" si="1"/>
        <v>637167</v>
      </c>
      <c r="L842" s="23"/>
      <c r="M842" s="26"/>
      <c r="N842" s="26"/>
      <c r="O842" s="26"/>
      <c r="P842" s="26"/>
      <c r="Q842" s="26"/>
      <c r="R842" s="26"/>
      <c r="S842" s="26"/>
      <c r="T842" s="26"/>
      <c r="U842" s="26"/>
      <c r="V842" s="26"/>
      <c r="W842" s="26"/>
      <c r="X842" s="26"/>
    </row>
    <row r="843" hidden="1">
      <c r="A843" s="10" t="s">
        <v>427</v>
      </c>
      <c r="B843" s="10" t="s">
        <v>2748</v>
      </c>
      <c r="C843" s="27" t="s">
        <v>2749</v>
      </c>
      <c r="D843" s="10" t="s">
        <v>2750</v>
      </c>
      <c r="E843" s="28" t="s">
        <v>431</v>
      </c>
      <c r="F843" s="23" t="s">
        <v>933</v>
      </c>
      <c r="G843" s="23" t="s">
        <v>521</v>
      </c>
      <c r="H843" s="23" t="s">
        <v>2744</v>
      </c>
      <c r="I843" s="32"/>
      <c r="J843" s="23" t="s">
        <v>6</v>
      </c>
      <c r="K843" s="23" t="str">
        <f t="shared" si="1"/>
        <v>676340</v>
      </c>
      <c r="L843" s="23"/>
      <c r="M843" s="26"/>
      <c r="N843" s="26"/>
      <c r="O843" s="26"/>
      <c r="P843" s="26"/>
      <c r="Q843" s="26"/>
      <c r="R843" s="26"/>
      <c r="S843" s="26"/>
      <c r="T843" s="26"/>
      <c r="U843" s="26"/>
      <c r="V843" s="26"/>
      <c r="W843" s="26"/>
      <c r="X843" s="26"/>
    </row>
    <row r="844" hidden="1">
      <c r="A844" s="10" t="s">
        <v>190</v>
      </c>
      <c r="B844" s="10" t="s">
        <v>2751</v>
      </c>
      <c r="C844" s="27" t="s">
        <v>2752</v>
      </c>
      <c r="D844" s="10" t="s">
        <v>2753</v>
      </c>
      <c r="E844" s="28" t="s">
        <v>194</v>
      </c>
      <c r="F844" s="23" t="s">
        <v>195</v>
      </c>
      <c r="G844" s="23" t="s">
        <v>203</v>
      </c>
      <c r="H844" s="23" t="s">
        <v>309</v>
      </c>
      <c r="I844" s="23" t="s">
        <v>2754</v>
      </c>
      <c r="J844" s="23" t="s">
        <v>238</v>
      </c>
      <c r="K844" s="23" t="str">
        <f t="shared" si="1"/>
        <v>691831</v>
      </c>
      <c r="L844" s="23"/>
      <c r="M844" s="26"/>
      <c r="N844" s="26"/>
      <c r="O844" s="26"/>
      <c r="P844" s="26"/>
      <c r="Q844" s="26"/>
      <c r="R844" s="26"/>
      <c r="S844" s="26"/>
      <c r="T844" s="26"/>
      <c r="U844" s="26"/>
      <c r="V844" s="26"/>
      <c r="W844" s="26"/>
      <c r="X844" s="26"/>
    </row>
    <row r="845" hidden="1">
      <c r="A845" s="10" t="s">
        <v>190</v>
      </c>
      <c r="B845" s="10" t="s">
        <v>2755</v>
      </c>
      <c r="C845" s="27" t="s">
        <v>2756</v>
      </c>
      <c r="D845" s="10" t="s">
        <v>2757</v>
      </c>
      <c r="E845" s="28" t="s">
        <v>194</v>
      </c>
      <c r="F845" s="23" t="s">
        <v>195</v>
      </c>
      <c r="G845" s="23" t="s">
        <v>203</v>
      </c>
      <c r="H845" s="23" t="s">
        <v>309</v>
      </c>
      <c r="I845" s="23" t="s">
        <v>2754</v>
      </c>
      <c r="J845" s="23" t="s">
        <v>238</v>
      </c>
      <c r="K845" s="23" t="str">
        <f t="shared" si="1"/>
        <v>691848</v>
      </c>
      <c r="L845" s="23"/>
      <c r="M845" s="26"/>
      <c r="N845" s="26"/>
      <c r="O845" s="26"/>
      <c r="P845" s="26"/>
      <c r="Q845" s="26"/>
      <c r="R845" s="26"/>
      <c r="S845" s="26"/>
      <c r="T845" s="26"/>
      <c r="U845" s="26"/>
      <c r="V845" s="26"/>
      <c r="W845" s="26"/>
      <c r="X845" s="26"/>
    </row>
    <row r="846" hidden="1">
      <c r="A846" s="10" t="s">
        <v>190</v>
      </c>
      <c r="B846" s="10" t="s">
        <v>2758</v>
      </c>
      <c r="C846" s="27" t="s">
        <v>2759</v>
      </c>
      <c r="D846" s="10" t="s">
        <v>2760</v>
      </c>
      <c r="E846" s="28" t="s">
        <v>194</v>
      </c>
      <c r="F846" s="23" t="s">
        <v>195</v>
      </c>
      <c r="G846" s="23" t="s">
        <v>203</v>
      </c>
      <c r="H846" s="23" t="s">
        <v>309</v>
      </c>
      <c r="I846" s="23" t="s">
        <v>310</v>
      </c>
      <c r="J846" s="23" t="s">
        <v>198</v>
      </c>
      <c r="K846" s="23" t="str">
        <f t="shared" si="1"/>
        <v>673670</v>
      </c>
      <c r="L846" s="23"/>
      <c r="M846" s="26"/>
      <c r="N846" s="26"/>
      <c r="O846" s="26"/>
      <c r="P846" s="26"/>
      <c r="Q846" s="26"/>
      <c r="R846" s="26"/>
      <c r="S846" s="26"/>
      <c r="T846" s="26"/>
      <c r="U846" s="26"/>
      <c r="V846" s="26"/>
      <c r="W846" s="26"/>
      <c r="X846" s="26"/>
    </row>
    <row r="847" hidden="1">
      <c r="A847" s="10" t="s">
        <v>190</v>
      </c>
      <c r="B847" s="10" t="s">
        <v>2761</v>
      </c>
      <c r="C847" s="27" t="s">
        <v>2762</v>
      </c>
      <c r="D847" s="10" t="s">
        <v>2763</v>
      </c>
      <c r="E847" s="28" t="s">
        <v>194</v>
      </c>
      <c r="F847" s="23" t="s">
        <v>195</v>
      </c>
      <c r="G847" s="23" t="s">
        <v>203</v>
      </c>
      <c r="H847" s="23" t="s">
        <v>309</v>
      </c>
      <c r="I847" s="23" t="s">
        <v>1115</v>
      </c>
      <c r="J847" s="23" t="s">
        <v>238</v>
      </c>
      <c r="K847" s="23" t="str">
        <f t="shared" si="1"/>
        <v>691626</v>
      </c>
      <c r="L847" s="23"/>
      <c r="M847" s="26"/>
      <c r="N847" s="26"/>
      <c r="O847" s="26"/>
      <c r="P847" s="26"/>
      <c r="Q847" s="26"/>
      <c r="R847" s="26"/>
      <c r="S847" s="26"/>
      <c r="T847" s="26"/>
      <c r="U847" s="26"/>
      <c r="V847" s="26"/>
      <c r="W847" s="26"/>
      <c r="X847" s="26"/>
    </row>
    <row r="848" hidden="1">
      <c r="A848" s="10" t="s">
        <v>190</v>
      </c>
      <c r="B848" s="10" t="s">
        <v>2764</v>
      </c>
      <c r="C848" s="27" t="s">
        <v>2765</v>
      </c>
      <c r="D848" s="10" t="s">
        <v>2766</v>
      </c>
      <c r="E848" s="28" t="s">
        <v>194</v>
      </c>
      <c r="F848" s="23" t="s">
        <v>195</v>
      </c>
      <c r="G848" s="23" t="s">
        <v>203</v>
      </c>
      <c r="H848" s="23" t="s">
        <v>309</v>
      </c>
      <c r="I848" s="23" t="s">
        <v>1115</v>
      </c>
      <c r="J848" s="23" t="s">
        <v>238</v>
      </c>
      <c r="K848" s="23" t="str">
        <f t="shared" si="1"/>
        <v>691633</v>
      </c>
      <c r="L848" s="23"/>
      <c r="M848" s="26"/>
      <c r="N848" s="26"/>
      <c r="O848" s="26"/>
      <c r="P848" s="26"/>
      <c r="Q848" s="26"/>
      <c r="R848" s="26"/>
      <c r="S848" s="26"/>
      <c r="T848" s="26"/>
      <c r="U848" s="26"/>
      <c r="V848" s="26"/>
      <c r="W848" s="26"/>
      <c r="X848" s="26"/>
    </row>
    <row r="849" hidden="1">
      <c r="A849" s="10" t="s">
        <v>190</v>
      </c>
      <c r="B849" s="10" t="s">
        <v>2767</v>
      </c>
      <c r="C849" s="27" t="s">
        <v>2768</v>
      </c>
      <c r="D849" s="10" t="s">
        <v>2769</v>
      </c>
      <c r="E849" s="28" t="s">
        <v>194</v>
      </c>
      <c r="F849" s="23" t="s">
        <v>195</v>
      </c>
      <c r="G849" s="23" t="s">
        <v>203</v>
      </c>
      <c r="H849" s="23" t="s">
        <v>309</v>
      </c>
      <c r="I849" s="23" t="s">
        <v>1115</v>
      </c>
      <c r="J849" s="23" t="s">
        <v>238</v>
      </c>
      <c r="K849" s="23" t="str">
        <f t="shared" si="1"/>
        <v>691640</v>
      </c>
      <c r="L849" s="23"/>
      <c r="M849" s="26"/>
      <c r="N849" s="26"/>
      <c r="O849" s="26"/>
      <c r="P849" s="26"/>
      <c r="Q849" s="26"/>
      <c r="R849" s="26"/>
      <c r="S849" s="26"/>
      <c r="T849" s="26"/>
      <c r="U849" s="26"/>
      <c r="V849" s="26"/>
      <c r="W849" s="26"/>
      <c r="X849" s="26"/>
    </row>
    <row r="850" hidden="1">
      <c r="A850" s="10" t="s">
        <v>190</v>
      </c>
      <c r="B850" s="10" t="s">
        <v>2770</v>
      </c>
      <c r="C850" s="27" t="s">
        <v>2771</v>
      </c>
      <c r="D850" s="10" t="s">
        <v>2772</v>
      </c>
      <c r="E850" s="28" t="s">
        <v>194</v>
      </c>
      <c r="F850" s="23" t="s">
        <v>195</v>
      </c>
      <c r="G850" s="23" t="s">
        <v>203</v>
      </c>
      <c r="H850" s="23" t="s">
        <v>309</v>
      </c>
      <c r="I850" s="23" t="s">
        <v>1115</v>
      </c>
      <c r="J850" s="23" t="s">
        <v>238</v>
      </c>
      <c r="K850" s="23" t="str">
        <f t="shared" si="1"/>
        <v>691657</v>
      </c>
      <c r="L850" s="23"/>
      <c r="M850" s="26"/>
      <c r="N850" s="26"/>
      <c r="O850" s="26"/>
      <c r="P850" s="26"/>
      <c r="Q850" s="26"/>
      <c r="R850" s="26"/>
      <c r="S850" s="26"/>
      <c r="T850" s="26"/>
      <c r="U850" s="26"/>
      <c r="V850" s="26"/>
      <c r="W850" s="26"/>
      <c r="X850" s="26"/>
    </row>
    <row r="851" hidden="1">
      <c r="A851" s="10" t="s">
        <v>190</v>
      </c>
      <c r="B851" s="10" t="s">
        <v>2773</v>
      </c>
      <c r="C851" s="27" t="s">
        <v>2774</v>
      </c>
      <c r="D851" s="10" t="s">
        <v>2775</v>
      </c>
      <c r="E851" s="28" t="s">
        <v>194</v>
      </c>
      <c r="F851" s="23" t="s">
        <v>195</v>
      </c>
      <c r="G851" s="23" t="s">
        <v>203</v>
      </c>
      <c r="H851" s="23" t="s">
        <v>309</v>
      </c>
      <c r="I851" s="23" t="s">
        <v>1115</v>
      </c>
      <c r="J851" s="23" t="s">
        <v>238</v>
      </c>
      <c r="K851" s="23" t="str">
        <f t="shared" si="1"/>
        <v>691664</v>
      </c>
      <c r="L851" s="23"/>
      <c r="M851" s="26"/>
      <c r="N851" s="26"/>
      <c r="O851" s="26"/>
      <c r="P851" s="26"/>
      <c r="Q851" s="26"/>
      <c r="R851" s="26"/>
      <c r="S851" s="26"/>
      <c r="T851" s="26"/>
      <c r="U851" s="26"/>
      <c r="V851" s="26"/>
      <c r="W851" s="26"/>
      <c r="X851" s="26"/>
    </row>
    <row r="852" hidden="1">
      <c r="A852" s="10" t="s">
        <v>427</v>
      </c>
      <c r="B852" s="10" t="s">
        <v>2776</v>
      </c>
      <c r="C852" s="27" t="s">
        <v>2777</v>
      </c>
      <c r="D852" s="10" t="s">
        <v>2778</v>
      </c>
      <c r="E852" s="28" t="s">
        <v>431</v>
      </c>
      <c r="F852" s="23" t="s">
        <v>950</v>
      </c>
      <c r="G852" s="23" t="s">
        <v>521</v>
      </c>
      <c r="H852" s="23" t="s">
        <v>2779</v>
      </c>
      <c r="I852" s="32"/>
      <c r="J852" s="23" t="s">
        <v>6</v>
      </c>
      <c r="K852" s="23" t="str">
        <f t="shared" si="1"/>
        <v>673707</v>
      </c>
      <c r="L852" s="23"/>
      <c r="M852" s="26"/>
      <c r="N852" s="26"/>
      <c r="O852" s="26"/>
      <c r="P852" s="26"/>
      <c r="Q852" s="26"/>
      <c r="R852" s="26"/>
      <c r="S852" s="26"/>
      <c r="T852" s="26"/>
      <c r="U852" s="26"/>
      <c r="V852" s="26"/>
      <c r="W852" s="26"/>
      <c r="X852" s="26"/>
    </row>
    <row r="853" hidden="1">
      <c r="A853" s="10" t="s">
        <v>427</v>
      </c>
      <c r="B853" s="10" t="s">
        <v>2780</v>
      </c>
      <c r="C853" s="27" t="s">
        <v>2781</v>
      </c>
      <c r="D853" s="10" t="s">
        <v>2782</v>
      </c>
      <c r="E853" s="28" t="s">
        <v>431</v>
      </c>
      <c r="F853" s="23" t="s">
        <v>946</v>
      </c>
      <c r="G853" s="23" t="s">
        <v>521</v>
      </c>
      <c r="H853" s="23" t="s">
        <v>2779</v>
      </c>
      <c r="I853" s="32"/>
      <c r="J853" s="23" t="s">
        <v>6</v>
      </c>
      <c r="K853" s="23" t="str">
        <f t="shared" si="1"/>
        <v>650050</v>
      </c>
      <c r="L853" s="23"/>
      <c r="M853" s="26"/>
      <c r="N853" s="26"/>
      <c r="O853" s="26"/>
      <c r="P853" s="26"/>
      <c r="Q853" s="26"/>
      <c r="R853" s="26"/>
      <c r="S853" s="26"/>
      <c r="T853" s="26"/>
      <c r="U853" s="26"/>
      <c r="V853" s="26"/>
      <c r="W853" s="26"/>
      <c r="X853" s="26"/>
    </row>
    <row r="854" hidden="1">
      <c r="A854" s="10" t="s">
        <v>427</v>
      </c>
      <c r="B854" s="10" t="s">
        <v>2783</v>
      </c>
      <c r="C854" s="27" t="s">
        <v>2784</v>
      </c>
      <c r="D854" s="10" t="s">
        <v>2785</v>
      </c>
      <c r="E854" s="28" t="s">
        <v>431</v>
      </c>
      <c r="F854" s="23" t="s">
        <v>1231</v>
      </c>
      <c r="G854" s="23" t="s">
        <v>521</v>
      </c>
      <c r="H854" s="23" t="s">
        <v>2779</v>
      </c>
      <c r="I854" s="32"/>
      <c r="J854" s="23" t="s">
        <v>6</v>
      </c>
      <c r="K854" s="23" t="str">
        <f t="shared" si="1"/>
        <v>673714</v>
      </c>
      <c r="L854" s="23"/>
      <c r="M854" s="26"/>
      <c r="N854" s="26"/>
      <c r="O854" s="26"/>
      <c r="P854" s="26"/>
      <c r="Q854" s="26"/>
      <c r="R854" s="26"/>
      <c r="S854" s="26"/>
      <c r="T854" s="26"/>
      <c r="U854" s="26"/>
      <c r="V854" s="26"/>
      <c r="W854" s="26"/>
      <c r="X854" s="26"/>
    </row>
    <row r="855" hidden="1">
      <c r="A855" s="10" t="s">
        <v>427</v>
      </c>
      <c r="B855" s="10" t="s">
        <v>2786</v>
      </c>
      <c r="C855" s="27" t="s">
        <v>2787</v>
      </c>
      <c r="D855" s="10" t="s">
        <v>2788</v>
      </c>
      <c r="E855" s="28" t="s">
        <v>431</v>
      </c>
      <c r="F855" s="23" t="s">
        <v>933</v>
      </c>
      <c r="G855" s="23" t="s">
        <v>521</v>
      </c>
      <c r="H855" s="23" t="s">
        <v>2779</v>
      </c>
      <c r="I855" s="32"/>
      <c r="J855" s="23" t="s">
        <v>6</v>
      </c>
      <c r="K855" s="23" t="str">
        <f t="shared" si="1"/>
        <v>673721</v>
      </c>
      <c r="L855" s="23"/>
      <c r="M855" s="26"/>
      <c r="N855" s="26"/>
      <c r="O855" s="26"/>
      <c r="P855" s="26"/>
      <c r="Q855" s="26"/>
      <c r="R855" s="26"/>
      <c r="S855" s="26"/>
      <c r="T855" s="26"/>
      <c r="U855" s="26"/>
      <c r="V855" s="26"/>
      <c r="W855" s="26"/>
      <c r="X855" s="26"/>
    </row>
    <row r="856" hidden="1">
      <c r="A856" s="10" t="s">
        <v>190</v>
      </c>
      <c r="B856" s="10" t="s">
        <v>2789</v>
      </c>
      <c r="C856" s="27" t="s">
        <v>2790</v>
      </c>
      <c r="D856" s="10" t="s">
        <v>2791</v>
      </c>
      <c r="E856" s="28" t="s">
        <v>194</v>
      </c>
      <c r="F856" s="23" t="s">
        <v>195</v>
      </c>
      <c r="G856" s="23" t="s">
        <v>203</v>
      </c>
      <c r="H856" s="23" t="s">
        <v>284</v>
      </c>
      <c r="I856" s="23" t="s">
        <v>285</v>
      </c>
      <c r="J856" s="23" t="s">
        <v>198</v>
      </c>
      <c r="K856" s="23" t="str">
        <f t="shared" si="1"/>
        <v>627076</v>
      </c>
      <c r="L856" s="23"/>
      <c r="M856" s="26"/>
      <c r="N856" s="26"/>
      <c r="O856" s="26"/>
      <c r="P856" s="26"/>
      <c r="Q856" s="26"/>
      <c r="R856" s="26"/>
      <c r="S856" s="26"/>
      <c r="T856" s="26"/>
      <c r="U856" s="26"/>
      <c r="V856" s="26"/>
      <c r="W856" s="26"/>
      <c r="X856" s="26"/>
    </row>
    <row r="857" hidden="1">
      <c r="A857" s="10" t="s">
        <v>190</v>
      </c>
      <c r="B857" s="10" t="s">
        <v>2792</v>
      </c>
      <c r="C857" s="27" t="s">
        <v>2793</v>
      </c>
      <c r="D857" s="10" t="s">
        <v>2794</v>
      </c>
      <c r="E857" s="28" t="s">
        <v>194</v>
      </c>
      <c r="F857" s="23" t="s">
        <v>195</v>
      </c>
      <c r="G857" s="23" t="s">
        <v>196</v>
      </c>
      <c r="H857" s="23" t="s">
        <v>284</v>
      </c>
      <c r="I857" s="32"/>
      <c r="J857" s="23" t="s">
        <v>6</v>
      </c>
      <c r="K857" s="23" t="str">
        <f t="shared" si="1"/>
        <v>605630</v>
      </c>
      <c r="L857" s="23"/>
      <c r="M857" s="26"/>
      <c r="N857" s="26"/>
      <c r="O857" s="26"/>
      <c r="P857" s="26"/>
      <c r="Q857" s="26"/>
      <c r="R857" s="26"/>
      <c r="S857" s="26"/>
      <c r="T857" s="26"/>
      <c r="U857" s="26"/>
      <c r="V857" s="26"/>
      <c r="W857" s="26"/>
      <c r="X857" s="26"/>
    </row>
    <row r="858" hidden="1">
      <c r="A858" s="10" t="s">
        <v>190</v>
      </c>
      <c r="B858" s="10" t="s">
        <v>2795</v>
      </c>
      <c r="C858" s="27" t="s">
        <v>2796</v>
      </c>
      <c r="D858" s="10" t="s">
        <v>2797</v>
      </c>
      <c r="E858" s="28" t="s">
        <v>194</v>
      </c>
      <c r="F858" s="23" t="s">
        <v>195</v>
      </c>
      <c r="G858" s="23" t="s">
        <v>196</v>
      </c>
      <c r="H858" s="23" t="s">
        <v>284</v>
      </c>
      <c r="I858" s="32"/>
      <c r="J858" s="23" t="s">
        <v>6</v>
      </c>
      <c r="K858" s="23" t="str">
        <f t="shared" si="1"/>
        <v>605661</v>
      </c>
      <c r="L858" s="23"/>
      <c r="M858" s="26"/>
      <c r="N858" s="26"/>
      <c r="O858" s="26"/>
      <c r="P858" s="26"/>
      <c r="Q858" s="26"/>
      <c r="R858" s="26"/>
      <c r="S858" s="26"/>
      <c r="T858" s="26"/>
      <c r="U858" s="26"/>
      <c r="V858" s="26"/>
      <c r="W858" s="26"/>
      <c r="X858" s="26"/>
    </row>
    <row r="859" hidden="1">
      <c r="A859" s="10" t="s">
        <v>190</v>
      </c>
      <c r="B859" s="10" t="s">
        <v>2798</v>
      </c>
      <c r="C859" s="27" t="s">
        <v>2799</v>
      </c>
      <c r="D859" s="10" t="s">
        <v>2800</v>
      </c>
      <c r="E859" s="28" t="s">
        <v>194</v>
      </c>
      <c r="F859" s="23" t="s">
        <v>195</v>
      </c>
      <c r="G859" s="23" t="s">
        <v>203</v>
      </c>
      <c r="H859" s="23" t="s">
        <v>284</v>
      </c>
      <c r="I859" s="23" t="s">
        <v>285</v>
      </c>
      <c r="J859" s="23" t="s">
        <v>198</v>
      </c>
      <c r="K859" s="23" t="str">
        <f t="shared" si="1"/>
        <v>627083</v>
      </c>
      <c r="L859" s="23"/>
      <c r="M859" s="26"/>
      <c r="N859" s="26"/>
      <c r="O859" s="26"/>
      <c r="P859" s="26"/>
      <c r="Q859" s="26"/>
      <c r="R859" s="26"/>
      <c r="S859" s="26"/>
      <c r="T859" s="26"/>
      <c r="U859" s="26"/>
      <c r="V859" s="26"/>
      <c r="W859" s="26"/>
      <c r="X859" s="26"/>
    </row>
    <row r="860" hidden="1">
      <c r="A860" s="10" t="s">
        <v>190</v>
      </c>
      <c r="B860" s="10" t="s">
        <v>2801</v>
      </c>
      <c r="C860" s="27" t="s">
        <v>2802</v>
      </c>
      <c r="D860" s="10" t="s">
        <v>720</v>
      </c>
      <c r="E860" s="28" t="s">
        <v>194</v>
      </c>
      <c r="F860" s="23" t="s">
        <v>195</v>
      </c>
      <c r="G860" s="23" t="s">
        <v>203</v>
      </c>
      <c r="H860" s="23" t="s">
        <v>284</v>
      </c>
      <c r="I860" s="23" t="s">
        <v>701</v>
      </c>
      <c r="J860" s="23" t="s">
        <v>238</v>
      </c>
      <c r="K860" s="23" t="str">
        <f t="shared" si="1"/>
        <v>685083</v>
      </c>
      <c r="L860" s="23"/>
      <c r="M860" s="26"/>
      <c r="N860" s="26"/>
      <c r="O860" s="26"/>
      <c r="P860" s="26"/>
      <c r="Q860" s="26"/>
      <c r="R860" s="26"/>
      <c r="S860" s="26"/>
      <c r="T860" s="26"/>
      <c r="U860" s="26"/>
      <c r="V860" s="26"/>
      <c r="W860" s="26"/>
      <c r="X860" s="26"/>
    </row>
    <row r="861" hidden="1">
      <c r="A861" s="10" t="s">
        <v>499</v>
      </c>
      <c r="B861" s="10" t="s">
        <v>2803</v>
      </c>
      <c r="C861" s="27" t="s">
        <v>2804</v>
      </c>
      <c r="D861" s="10" t="s">
        <v>2805</v>
      </c>
      <c r="E861" s="28" t="s">
        <v>194</v>
      </c>
      <c r="F861" s="23" t="s">
        <v>195</v>
      </c>
      <c r="G861" s="23" t="s">
        <v>203</v>
      </c>
      <c r="H861" s="23" t="s">
        <v>284</v>
      </c>
      <c r="I861" s="32"/>
      <c r="J861" s="23" t="s">
        <v>6</v>
      </c>
      <c r="K861" s="23" t="str">
        <f t="shared" si="1"/>
        <v>672533</v>
      </c>
      <c r="L861" s="23"/>
      <c r="M861" s="26"/>
      <c r="N861" s="26"/>
      <c r="O861" s="26"/>
      <c r="P861" s="26"/>
      <c r="Q861" s="26"/>
      <c r="R861" s="26"/>
      <c r="S861" s="26"/>
      <c r="T861" s="26"/>
      <c r="U861" s="26"/>
      <c r="V861" s="26"/>
      <c r="W861" s="26"/>
      <c r="X861" s="26"/>
    </row>
    <row r="862" hidden="1">
      <c r="A862" s="10" t="s">
        <v>499</v>
      </c>
      <c r="B862" s="10" t="s">
        <v>2806</v>
      </c>
      <c r="C862" s="27" t="s">
        <v>2807</v>
      </c>
      <c r="D862" s="10" t="s">
        <v>2808</v>
      </c>
      <c r="E862" s="28" t="s">
        <v>194</v>
      </c>
      <c r="F862" s="23" t="s">
        <v>195</v>
      </c>
      <c r="G862" s="23" t="s">
        <v>203</v>
      </c>
      <c r="H862" s="23" t="s">
        <v>284</v>
      </c>
      <c r="I862" s="32"/>
      <c r="J862" s="23" t="s">
        <v>6</v>
      </c>
      <c r="K862" s="23" t="str">
        <f t="shared" si="1"/>
        <v>633916</v>
      </c>
      <c r="L862" s="23"/>
      <c r="M862" s="26"/>
      <c r="N862" s="26"/>
      <c r="O862" s="26"/>
      <c r="P862" s="26"/>
      <c r="Q862" s="26"/>
      <c r="R862" s="26"/>
      <c r="S862" s="26"/>
      <c r="T862" s="26"/>
      <c r="U862" s="26"/>
      <c r="V862" s="26"/>
      <c r="W862" s="26"/>
      <c r="X862" s="26"/>
    </row>
    <row r="863" hidden="1">
      <c r="A863" s="10" t="s">
        <v>499</v>
      </c>
      <c r="B863" s="10" t="s">
        <v>2809</v>
      </c>
      <c r="C863" s="27" t="s">
        <v>2810</v>
      </c>
      <c r="D863" s="10" t="s">
        <v>2811</v>
      </c>
      <c r="E863" s="28" t="s">
        <v>194</v>
      </c>
      <c r="F863" s="23" t="s">
        <v>195</v>
      </c>
      <c r="G863" s="23" t="s">
        <v>521</v>
      </c>
      <c r="H863" s="23" t="s">
        <v>374</v>
      </c>
      <c r="I863" s="32"/>
      <c r="J863" s="23" t="s">
        <v>6</v>
      </c>
      <c r="K863" s="23" t="str">
        <f t="shared" si="1"/>
        <v>674186</v>
      </c>
      <c r="L863" s="23"/>
      <c r="M863" s="26"/>
      <c r="N863" s="26"/>
      <c r="O863" s="26"/>
      <c r="P863" s="26"/>
      <c r="Q863" s="26"/>
      <c r="R863" s="26"/>
      <c r="S863" s="26"/>
      <c r="T863" s="26"/>
      <c r="U863" s="26"/>
      <c r="V863" s="26"/>
      <c r="W863" s="26"/>
      <c r="X863" s="26"/>
    </row>
    <row r="864" hidden="1">
      <c r="A864" s="10" t="s">
        <v>499</v>
      </c>
      <c r="B864" s="10" t="s">
        <v>2812</v>
      </c>
      <c r="C864" s="27" t="s">
        <v>2813</v>
      </c>
      <c r="D864" s="10" t="s">
        <v>2814</v>
      </c>
      <c r="E864" s="28" t="s">
        <v>194</v>
      </c>
      <c r="F864" s="23" t="s">
        <v>195</v>
      </c>
      <c r="G864" s="23" t="s">
        <v>521</v>
      </c>
      <c r="H864" s="23" t="s">
        <v>374</v>
      </c>
      <c r="I864" s="32"/>
      <c r="J864" s="23" t="s">
        <v>6</v>
      </c>
      <c r="K864" s="23" t="str">
        <f t="shared" si="1"/>
        <v>679112</v>
      </c>
      <c r="L864" s="23"/>
      <c r="M864" s="26"/>
      <c r="N864" s="26"/>
      <c r="O864" s="26"/>
      <c r="P864" s="26"/>
      <c r="Q864" s="26"/>
      <c r="R864" s="26"/>
      <c r="S864" s="26"/>
      <c r="T864" s="26"/>
      <c r="U864" s="26"/>
      <c r="V864" s="26"/>
      <c r="W864" s="26"/>
      <c r="X864" s="26"/>
    </row>
    <row r="865" hidden="1">
      <c r="A865" s="10" t="s">
        <v>499</v>
      </c>
      <c r="B865" s="10" t="s">
        <v>2815</v>
      </c>
      <c r="C865" s="27" t="s">
        <v>2816</v>
      </c>
      <c r="D865" s="10" t="s">
        <v>2817</v>
      </c>
      <c r="E865" s="28" t="s">
        <v>194</v>
      </c>
      <c r="F865" s="23" t="s">
        <v>195</v>
      </c>
      <c r="G865" s="23" t="s">
        <v>521</v>
      </c>
      <c r="H865" s="23" t="s">
        <v>374</v>
      </c>
      <c r="I865" s="32"/>
      <c r="J865" s="23" t="s">
        <v>6</v>
      </c>
      <c r="K865" s="23" t="str">
        <f t="shared" si="1"/>
        <v>679105</v>
      </c>
      <c r="L865" s="23"/>
      <c r="M865" s="26"/>
      <c r="N865" s="26"/>
      <c r="O865" s="26"/>
      <c r="P865" s="26"/>
      <c r="Q865" s="26"/>
      <c r="R865" s="26"/>
      <c r="S865" s="26"/>
      <c r="T865" s="26"/>
      <c r="U865" s="26"/>
      <c r="V865" s="26"/>
      <c r="W865" s="26"/>
      <c r="X865" s="26"/>
    </row>
    <row r="866" hidden="1">
      <c r="A866" s="10" t="s">
        <v>499</v>
      </c>
      <c r="B866" s="10" t="s">
        <v>2818</v>
      </c>
      <c r="C866" s="27" t="s">
        <v>2819</v>
      </c>
      <c r="D866" s="10" t="s">
        <v>2820</v>
      </c>
      <c r="E866" s="28" t="s">
        <v>194</v>
      </c>
      <c r="F866" s="23" t="s">
        <v>195</v>
      </c>
      <c r="G866" s="23" t="s">
        <v>521</v>
      </c>
      <c r="H866" s="23" t="s">
        <v>374</v>
      </c>
      <c r="I866" s="32"/>
      <c r="J866" s="23" t="s">
        <v>6</v>
      </c>
      <c r="K866" s="23" t="str">
        <f t="shared" si="1"/>
        <v>671222</v>
      </c>
      <c r="L866" s="23"/>
      <c r="M866" s="26"/>
      <c r="N866" s="26"/>
      <c r="O866" s="26"/>
      <c r="P866" s="26"/>
      <c r="Q866" s="26"/>
      <c r="R866" s="26"/>
      <c r="S866" s="26"/>
      <c r="T866" s="26"/>
      <c r="U866" s="26"/>
      <c r="V866" s="26"/>
      <c r="W866" s="26"/>
      <c r="X866" s="26"/>
    </row>
    <row r="867" hidden="1">
      <c r="A867" s="10" t="s">
        <v>499</v>
      </c>
      <c r="B867" s="10" t="s">
        <v>2821</v>
      </c>
      <c r="C867" s="27" t="s">
        <v>2822</v>
      </c>
      <c r="D867" s="10" t="s">
        <v>2823</v>
      </c>
      <c r="E867" s="28" t="s">
        <v>194</v>
      </c>
      <c r="F867" s="23" t="s">
        <v>195</v>
      </c>
      <c r="G867" s="23" t="s">
        <v>521</v>
      </c>
      <c r="H867" s="23" t="s">
        <v>374</v>
      </c>
      <c r="I867" s="32"/>
      <c r="J867" s="23" t="s">
        <v>6</v>
      </c>
      <c r="K867" s="23" t="str">
        <f t="shared" si="1"/>
        <v>679075</v>
      </c>
      <c r="L867" s="23"/>
      <c r="M867" s="26"/>
      <c r="N867" s="26"/>
      <c r="O867" s="26"/>
      <c r="P867" s="26"/>
      <c r="Q867" s="26"/>
      <c r="R867" s="26"/>
      <c r="S867" s="26"/>
      <c r="T867" s="26"/>
      <c r="U867" s="26"/>
      <c r="V867" s="26"/>
      <c r="W867" s="26"/>
      <c r="X867" s="26"/>
    </row>
    <row r="868" hidden="1">
      <c r="A868" s="10" t="s">
        <v>499</v>
      </c>
      <c r="B868" s="10" t="s">
        <v>2824</v>
      </c>
      <c r="C868" s="27" t="s">
        <v>2825</v>
      </c>
      <c r="D868" s="10" t="s">
        <v>2826</v>
      </c>
      <c r="E868" s="28" t="s">
        <v>194</v>
      </c>
      <c r="F868" s="23" t="s">
        <v>195</v>
      </c>
      <c r="G868" s="23" t="s">
        <v>521</v>
      </c>
      <c r="H868" s="23" t="s">
        <v>374</v>
      </c>
      <c r="I868" s="32"/>
      <c r="J868" s="23" t="s">
        <v>6</v>
      </c>
      <c r="K868" s="23" t="str">
        <f t="shared" si="1"/>
        <v>679068</v>
      </c>
      <c r="L868" s="23"/>
      <c r="M868" s="26"/>
      <c r="N868" s="26"/>
      <c r="O868" s="26"/>
      <c r="P868" s="26"/>
      <c r="Q868" s="26"/>
      <c r="R868" s="26"/>
      <c r="S868" s="26"/>
      <c r="T868" s="26"/>
      <c r="U868" s="26"/>
      <c r="V868" s="26"/>
      <c r="W868" s="26"/>
      <c r="X868" s="26"/>
    </row>
    <row r="869" hidden="1">
      <c r="A869" s="10" t="s">
        <v>499</v>
      </c>
      <c r="B869" s="10" t="s">
        <v>2827</v>
      </c>
      <c r="C869" s="27" t="s">
        <v>2828</v>
      </c>
      <c r="D869" s="10" t="s">
        <v>2829</v>
      </c>
      <c r="E869" s="28" t="s">
        <v>194</v>
      </c>
      <c r="F869" s="23" t="s">
        <v>195</v>
      </c>
      <c r="G869" s="23" t="s">
        <v>521</v>
      </c>
      <c r="H869" s="23" t="s">
        <v>374</v>
      </c>
      <c r="I869" s="23" t="s">
        <v>2830</v>
      </c>
      <c r="J869" s="23" t="s">
        <v>6</v>
      </c>
      <c r="K869" s="23" t="str">
        <f t="shared" si="1"/>
        <v>678108</v>
      </c>
      <c r="L869" s="23"/>
      <c r="M869" s="26"/>
      <c r="N869" s="26"/>
      <c r="O869" s="26"/>
      <c r="P869" s="26"/>
      <c r="Q869" s="26"/>
      <c r="R869" s="26"/>
      <c r="S869" s="26"/>
      <c r="T869" s="26"/>
      <c r="U869" s="26"/>
      <c r="V869" s="26"/>
      <c r="W869" s="26"/>
      <c r="X869" s="26"/>
    </row>
    <row r="870" hidden="1">
      <c r="A870" s="10" t="s">
        <v>427</v>
      </c>
      <c r="B870" s="10" t="s">
        <v>2831</v>
      </c>
      <c r="C870" s="27" t="s">
        <v>2832</v>
      </c>
      <c r="D870" s="10" t="s">
        <v>2833</v>
      </c>
      <c r="E870" s="28" t="s">
        <v>431</v>
      </c>
      <c r="F870" s="23" t="s">
        <v>1867</v>
      </c>
      <c r="G870" s="23" t="s">
        <v>521</v>
      </c>
      <c r="H870" s="23" t="s">
        <v>374</v>
      </c>
      <c r="I870" s="32"/>
      <c r="J870" s="23" t="s">
        <v>6</v>
      </c>
      <c r="K870" s="23" t="str">
        <f t="shared" si="1"/>
        <v>673288</v>
      </c>
      <c r="L870" s="23"/>
      <c r="M870" s="26"/>
      <c r="N870" s="26"/>
      <c r="O870" s="26"/>
      <c r="P870" s="26"/>
      <c r="Q870" s="26"/>
      <c r="R870" s="26"/>
      <c r="S870" s="26"/>
      <c r="T870" s="26"/>
      <c r="U870" s="26"/>
      <c r="V870" s="26"/>
      <c r="W870" s="26"/>
      <c r="X870" s="26"/>
    </row>
    <row r="871" hidden="1">
      <c r="A871" s="10" t="s">
        <v>499</v>
      </c>
      <c r="B871" s="10" t="s">
        <v>2834</v>
      </c>
      <c r="C871" s="10" t="s">
        <v>2835</v>
      </c>
      <c r="D871" s="10" t="s">
        <v>2836</v>
      </c>
      <c r="E871" s="28" t="s">
        <v>194</v>
      </c>
      <c r="F871" s="23" t="s">
        <v>195</v>
      </c>
      <c r="G871" s="23" t="s">
        <v>745</v>
      </c>
      <c r="H871" s="23" t="s">
        <v>746</v>
      </c>
      <c r="I871" s="32"/>
      <c r="J871" s="23" t="s">
        <v>6</v>
      </c>
      <c r="K871" s="23" t="str">
        <f t="shared" si="1"/>
        <v>T00002</v>
      </c>
      <c r="L871" s="23"/>
      <c r="M871" s="26"/>
      <c r="N871" s="26"/>
      <c r="O871" s="26"/>
      <c r="P871" s="26"/>
      <c r="Q871" s="26"/>
      <c r="R871" s="26"/>
      <c r="S871" s="26"/>
      <c r="T871" s="26"/>
      <c r="U871" s="26"/>
      <c r="V871" s="26"/>
      <c r="W871" s="26"/>
      <c r="X871" s="26"/>
    </row>
    <row r="872" hidden="1">
      <c r="A872" s="10" t="s">
        <v>499</v>
      </c>
      <c r="B872" s="10" t="s">
        <v>2837</v>
      </c>
      <c r="C872" s="10" t="s">
        <v>2838</v>
      </c>
      <c r="D872" s="10" t="s">
        <v>2839</v>
      </c>
      <c r="E872" s="28" t="s">
        <v>194</v>
      </c>
      <c r="F872" s="23" t="s">
        <v>195</v>
      </c>
      <c r="G872" s="23" t="s">
        <v>745</v>
      </c>
      <c r="H872" s="23" t="s">
        <v>746</v>
      </c>
      <c r="I872" s="32"/>
      <c r="J872" s="23" t="s">
        <v>6</v>
      </c>
      <c r="K872" s="23" t="str">
        <f t="shared" si="1"/>
        <v>T00003</v>
      </c>
      <c r="L872" s="23"/>
      <c r="M872" s="26"/>
      <c r="N872" s="26"/>
      <c r="O872" s="26"/>
      <c r="P872" s="26"/>
      <c r="Q872" s="26"/>
      <c r="R872" s="26"/>
      <c r="S872" s="26"/>
      <c r="T872" s="26"/>
      <c r="U872" s="26"/>
      <c r="V872" s="26"/>
      <c r="W872" s="26"/>
      <c r="X872" s="26"/>
    </row>
    <row r="873" hidden="1">
      <c r="A873" s="10" t="s">
        <v>499</v>
      </c>
      <c r="B873" s="10" t="s">
        <v>2840</v>
      </c>
      <c r="C873" s="10" t="s">
        <v>2841</v>
      </c>
      <c r="D873" s="10" t="s">
        <v>2842</v>
      </c>
      <c r="E873" s="28" t="s">
        <v>194</v>
      </c>
      <c r="F873" s="23" t="s">
        <v>195</v>
      </c>
      <c r="G873" s="23" t="s">
        <v>745</v>
      </c>
      <c r="H873" s="23" t="s">
        <v>746</v>
      </c>
      <c r="I873" s="32"/>
      <c r="J873" s="23" t="s">
        <v>6</v>
      </c>
      <c r="K873" s="23" t="str">
        <f t="shared" si="1"/>
        <v>T00004</v>
      </c>
      <c r="L873" s="23"/>
      <c r="M873" s="26"/>
      <c r="N873" s="26"/>
      <c r="O873" s="26"/>
      <c r="P873" s="26"/>
      <c r="Q873" s="26"/>
      <c r="R873" s="26"/>
      <c r="S873" s="26"/>
      <c r="T873" s="26"/>
      <c r="U873" s="26"/>
      <c r="V873" s="26"/>
      <c r="W873" s="26"/>
      <c r="X873" s="26"/>
    </row>
    <row r="874" hidden="1">
      <c r="A874" s="10" t="s">
        <v>499</v>
      </c>
      <c r="B874" s="10" t="s">
        <v>2843</v>
      </c>
      <c r="C874" s="10" t="s">
        <v>2844</v>
      </c>
      <c r="D874" s="10" t="s">
        <v>2845</v>
      </c>
      <c r="E874" s="28" t="s">
        <v>194</v>
      </c>
      <c r="F874" s="23" t="s">
        <v>195</v>
      </c>
      <c r="G874" s="23" t="s">
        <v>745</v>
      </c>
      <c r="H874" s="23" t="s">
        <v>746</v>
      </c>
      <c r="I874" s="32"/>
      <c r="J874" s="23" t="s">
        <v>6</v>
      </c>
      <c r="K874" s="23" t="str">
        <f t="shared" si="1"/>
        <v>T00007</v>
      </c>
      <c r="L874" s="23"/>
      <c r="M874" s="26"/>
      <c r="N874" s="26"/>
      <c r="O874" s="26"/>
      <c r="P874" s="26"/>
      <c r="Q874" s="26"/>
      <c r="R874" s="26"/>
      <c r="S874" s="26"/>
      <c r="T874" s="26"/>
      <c r="U874" s="26"/>
      <c r="V874" s="26"/>
      <c r="W874" s="26"/>
      <c r="X874" s="26"/>
    </row>
    <row r="875" hidden="1">
      <c r="A875" s="10" t="s">
        <v>499</v>
      </c>
      <c r="B875" s="10" t="s">
        <v>2846</v>
      </c>
      <c r="C875" s="10" t="s">
        <v>2847</v>
      </c>
      <c r="D875" s="10" t="s">
        <v>2848</v>
      </c>
      <c r="E875" s="28" t="s">
        <v>194</v>
      </c>
      <c r="F875" s="23" t="s">
        <v>195</v>
      </c>
      <c r="G875" s="23" t="s">
        <v>745</v>
      </c>
      <c r="H875" s="23" t="s">
        <v>746</v>
      </c>
      <c r="I875" s="32"/>
      <c r="J875" s="23" t="s">
        <v>6</v>
      </c>
      <c r="K875" s="23" t="str">
        <f t="shared" si="1"/>
        <v>T00009</v>
      </c>
      <c r="L875" s="23"/>
      <c r="M875" s="26"/>
      <c r="N875" s="26"/>
      <c r="O875" s="26"/>
      <c r="P875" s="26"/>
      <c r="Q875" s="26"/>
      <c r="R875" s="26"/>
      <c r="S875" s="26"/>
      <c r="T875" s="26"/>
      <c r="U875" s="26"/>
      <c r="V875" s="26"/>
      <c r="W875" s="26"/>
      <c r="X875" s="26"/>
    </row>
    <row r="876" hidden="1">
      <c r="A876" s="10" t="s">
        <v>499</v>
      </c>
      <c r="B876" s="10" t="s">
        <v>2849</v>
      </c>
      <c r="C876" s="27" t="s">
        <v>2850</v>
      </c>
      <c r="D876" s="10" t="s">
        <v>2851</v>
      </c>
      <c r="E876" s="28" t="s">
        <v>194</v>
      </c>
      <c r="F876" s="23" t="s">
        <v>195</v>
      </c>
      <c r="G876" s="23" t="s">
        <v>745</v>
      </c>
      <c r="H876" s="23" t="s">
        <v>746</v>
      </c>
      <c r="I876" s="32"/>
      <c r="J876" s="23" t="s">
        <v>6</v>
      </c>
      <c r="K876" s="23" t="str">
        <f t="shared" si="1"/>
        <v>1</v>
      </c>
      <c r="L876" s="23"/>
      <c r="M876" s="26"/>
      <c r="N876" s="26"/>
      <c r="O876" s="26"/>
      <c r="P876" s="26"/>
      <c r="Q876" s="26"/>
      <c r="R876" s="26"/>
      <c r="S876" s="26"/>
      <c r="T876" s="26"/>
      <c r="U876" s="26"/>
      <c r="V876" s="26"/>
      <c r="W876" s="26"/>
      <c r="X876" s="26"/>
    </row>
    <row r="877" hidden="1">
      <c r="A877" s="10" t="s">
        <v>190</v>
      </c>
      <c r="B877" s="10" t="s">
        <v>2852</v>
      </c>
      <c r="C877" s="27" t="s">
        <v>282</v>
      </c>
      <c r="D877" s="10" t="s">
        <v>281</v>
      </c>
      <c r="E877" s="28" t="s">
        <v>194</v>
      </c>
      <c r="F877" s="23" t="s">
        <v>195</v>
      </c>
      <c r="G877" s="23" t="s">
        <v>401</v>
      </c>
      <c r="H877" s="23" t="s">
        <v>2853</v>
      </c>
      <c r="I877" s="32"/>
      <c r="J877" s="23" t="s">
        <v>198</v>
      </c>
      <c r="K877" s="23" t="str">
        <f t="shared" si="1"/>
        <v>691091</v>
      </c>
      <c r="L877" s="23"/>
      <c r="M877" s="26"/>
      <c r="N877" s="26"/>
      <c r="O877" s="26"/>
      <c r="P877" s="26"/>
      <c r="Q877" s="26"/>
      <c r="R877" s="26"/>
      <c r="S877" s="26"/>
      <c r="T877" s="26"/>
      <c r="U877" s="26"/>
      <c r="V877" s="26"/>
      <c r="W877" s="26"/>
      <c r="X877" s="26"/>
    </row>
    <row r="878" hidden="1">
      <c r="A878" s="10" t="s">
        <v>427</v>
      </c>
      <c r="B878" s="10" t="s">
        <v>2854</v>
      </c>
      <c r="C878" s="27" t="s">
        <v>2855</v>
      </c>
      <c r="D878" s="10" t="s">
        <v>2856</v>
      </c>
      <c r="E878" s="28" t="s">
        <v>604</v>
      </c>
      <c r="F878" s="23" t="s">
        <v>605</v>
      </c>
      <c r="G878" s="23" t="s">
        <v>521</v>
      </c>
      <c r="H878" s="23" t="s">
        <v>2857</v>
      </c>
      <c r="I878" s="32"/>
      <c r="J878" s="23" t="s">
        <v>6</v>
      </c>
      <c r="K878" s="23" t="str">
        <f t="shared" si="1"/>
        <v>674193</v>
      </c>
      <c r="L878" s="23"/>
      <c r="M878" s="26"/>
      <c r="N878" s="26"/>
      <c r="O878" s="26"/>
      <c r="P878" s="26"/>
      <c r="Q878" s="26"/>
      <c r="R878" s="26"/>
      <c r="S878" s="26"/>
      <c r="T878" s="26"/>
      <c r="U878" s="26"/>
      <c r="V878" s="26"/>
      <c r="W878" s="26"/>
      <c r="X878" s="26"/>
    </row>
    <row r="879" hidden="1">
      <c r="A879" s="10" t="s">
        <v>427</v>
      </c>
      <c r="B879" s="10" t="s">
        <v>2858</v>
      </c>
      <c r="C879" s="27" t="s">
        <v>2859</v>
      </c>
      <c r="D879" s="10" t="s">
        <v>2860</v>
      </c>
      <c r="E879" s="28" t="s">
        <v>1047</v>
      </c>
      <c r="F879" s="23" t="s">
        <v>1048</v>
      </c>
      <c r="G879" s="23" t="s">
        <v>521</v>
      </c>
      <c r="H879" s="23" t="s">
        <v>2857</v>
      </c>
      <c r="I879" s="32"/>
      <c r="J879" s="23" t="s">
        <v>6</v>
      </c>
      <c r="K879" s="23" t="str">
        <f t="shared" si="1"/>
        <v>672731</v>
      </c>
      <c r="L879" s="23"/>
      <c r="M879" s="26"/>
      <c r="N879" s="26"/>
      <c r="O879" s="26"/>
      <c r="P879" s="26"/>
      <c r="Q879" s="26"/>
      <c r="R879" s="26"/>
      <c r="S879" s="26"/>
      <c r="T879" s="26"/>
      <c r="U879" s="26"/>
      <c r="V879" s="26"/>
      <c r="W879" s="26"/>
      <c r="X879" s="26"/>
    </row>
    <row r="880" hidden="1">
      <c r="A880" s="10" t="s">
        <v>427</v>
      </c>
      <c r="B880" s="10" t="s">
        <v>2861</v>
      </c>
      <c r="C880" s="27" t="s">
        <v>2862</v>
      </c>
      <c r="D880" s="10" t="s">
        <v>2863</v>
      </c>
      <c r="E880" s="28" t="s">
        <v>1047</v>
      </c>
      <c r="F880" s="23" t="s">
        <v>1048</v>
      </c>
      <c r="G880" s="23" t="s">
        <v>203</v>
      </c>
      <c r="H880" s="23" t="s">
        <v>2857</v>
      </c>
      <c r="I880" s="32"/>
      <c r="J880" s="23" t="s">
        <v>6</v>
      </c>
      <c r="K880" s="23" t="str">
        <f t="shared" si="1"/>
        <v>672748</v>
      </c>
      <c r="L880" s="23"/>
      <c r="M880" s="26"/>
      <c r="N880" s="26"/>
      <c r="O880" s="26"/>
      <c r="P880" s="26"/>
      <c r="Q880" s="26"/>
      <c r="R880" s="26"/>
      <c r="S880" s="26"/>
      <c r="T880" s="26"/>
      <c r="U880" s="26"/>
      <c r="V880" s="26"/>
      <c r="W880" s="26"/>
      <c r="X880" s="26"/>
    </row>
    <row r="881" hidden="1">
      <c r="A881" s="10" t="s">
        <v>427</v>
      </c>
      <c r="B881" s="10" t="s">
        <v>2864</v>
      </c>
      <c r="C881" s="27" t="s">
        <v>2865</v>
      </c>
      <c r="D881" s="10" t="s">
        <v>2866</v>
      </c>
      <c r="E881" s="28" t="s">
        <v>1047</v>
      </c>
      <c r="F881" s="23" t="s">
        <v>1048</v>
      </c>
      <c r="G881" s="23" t="s">
        <v>203</v>
      </c>
      <c r="H881" s="23" t="s">
        <v>2857</v>
      </c>
      <c r="I881" s="32"/>
      <c r="J881" s="23" t="s">
        <v>6</v>
      </c>
      <c r="K881" s="23" t="str">
        <f t="shared" si="1"/>
        <v>672830</v>
      </c>
      <c r="L881" s="23"/>
      <c r="M881" s="26"/>
      <c r="N881" s="26"/>
      <c r="O881" s="26"/>
      <c r="P881" s="26"/>
      <c r="Q881" s="26"/>
      <c r="R881" s="26"/>
      <c r="S881" s="26"/>
      <c r="T881" s="26"/>
      <c r="U881" s="26"/>
      <c r="V881" s="26"/>
      <c r="W881" s="26"/>
      <c r="X881" s="26"/>
    </row>
    <row r="882" hidden="1">
      <c r="A882" s="10" t="s">
        <v>427</v>
      </c>
      <c r="B882" s="10" t="s">
        <v>2867</v>
      </c>
      <c r="C882" s="27" t="s">
        <v>2868</v>
      </c>
      <c r="D882" s="10" t="s">
        <v>2869</v>
      </c>
      <c r="E882" s="28" t="s">
        <v>1047</v>
      </c>
      <c r="F882" s="23" t="s">
        <v>1048</v>
      </c>
      <c r="G882" s="23" t="s">
        <v>203</v>
      </c>
      <c r="H882" s="23" t="s">
        <v>2857</v>
      </c>
      <c r="I882" s="32"/>
      <c r="J882" s="23" t="s">
        <v>6</v>
      </c>
      <c r="K882" s="23" t="str">
        <f t="shared" si="1"/>
        <v>674100</v>
      </c>
      <c r="L882" s="23"/>
      <c r="M882" s="26"/>
      <c r="N882" s="26"/>
      <c r="O882" s="26"/>
      <c r="P882" s="26"/>
      <c r="Q882" s="26"/>
      <c r="R882" s="26"/>
      <c r="S882" s="26"/>
      <c r="T882" s="26"/>
      <c r="U882" s="26"/>
      <c r="V882" s="26"/>
      <c r="W882" s="26"/>
      <c r="X882" s="26"/>
    </row>
    <row r="883" hidden="1">
      <c r="A883" s="10" t="s">
        <v>427</v>
      </c>
      <c r="B883" s="10" t="s">
        <v>2870</v>
      </c>
      <c r="C883" s="27" t="s">
        <v>2871</v>
      </c>
      <c r="D883" s="10" t="s">
        <v>2872</v>
      </c>
      <c r="E883" s="28" t="s">
        <v>1047</v>
      </c>
      <c r="F883" s="23" t="s">
        <v>1048</v>
      </c>
      <c r="G883" s="23" t="s">
        <v>521</v>
      </c>
      <c r="H883" s="23" t="s">
        <v>2857</v>
      </c>
      <c r="I883" s="32"/>
      <c r="J883" s="23" t="s">
        <v>6</v>
      </c>
      <c r="K883" s="23" t="str">
        <f t="shared" si="1"/>
        <v>667089</v>
      </c>
      <c r="L883" s="23"/>
      <c r="M883" s="26"/>
      <c r="N883" s="26"/>
      <c r="O883" s="26"/>
      <c r="P883" s="26"/>
      <c r="Q883" s="26"/>
      <c r="R883" s="26"/>
      <c r="S883" s="26"/>
      <c r="T883" s="26"/>
      <c r="U883" s="26"/>
      <c r="V883" s="26"/>
      <c r="W883" s="26"/>
      <c r="X883" s="26"/>
    </row>
    <row r="884" hidden="1">
      <c r="A884" s="10" t="s">
        <v>427</v>
      </c>
      <c r="B884" s="10" t="s">
        <v>2873</v>
      </c>
      <c r="C884" s="27" t="s">
        <v>2874</v>
      </c>
      <c r="D884" s="10" t="s">
        <v>2875</v>
      </c>
      <c r="E884" s="28" t="s">
        <v>418</v>
      </c>
      <c r="F884" s="23" t="s">
        <v>419</v>
      </c>
      <c r="G884" s="23" t="s">
        <v>521</v>
      </c>
      <c r="H884" s="23" t="s">
        <v>2857</v>
      </c>
      <c r="I884" s="32"/>
      <c r="J884" s="23" t="s">
        <v>6</v>
      </c>
      <c r="K884" s="23" t="str">
        <f t="shared" si="1"/>
        <v>673769</v>
      </c>
      <c r="L884" s="23"/>
      <c r="M884" s="26"/>
      <c r="N884" s="26"/>
      <c r="O884" s="26"/>
      <c r="P884" s="26"/>
      <c r="Q884" s="26"/>
      <c r="R884" s="26"/>
      <c r="S884" s="26"/>
      <c r="T884" s="26"/>
      <c r="U884" s="26"/>
      <c r="V884" s="26"/>
      <c r="W884" s="26"/>
      <c r="X884" s="26"/>
    </row>
    <row r="885" hidden="1">
      <c r="A885" s="10" t="s">
        <v>427</v>
      </c>
      <c r="B885" s="10" t="s">
        <v>2876</v>
      </c>
      <c r="C885" s="27" t="s">
        <v>2877</v>
      </c>
      <c r="D885" s="10" t="s">
        <v>2878</v>
      </c>
      <c r="E885" s="28" t="s">
        <v>529</v>
      </c>
      <c r="F885" s="23" t="s">
        <v>530</v>
      </c>
      <c r="G885" s="23" t="s">
        <v>521</v>
      </c>
      <c r="H885" s="23" t="s">
        <v>2857</v>
      </c>
      <c r="I885" s="32"/>
      <c r="J885" s="23" t="s">
        <v>6</v>
      </c>
      <c r="K885" s="23" t="str">
        <f t="shared" si="1"/>
        <v>671208</v>
      </c>
      <c r="L885" s="23"/>
      <c r="M885" s="26"/>
      <c r="N885" s="26"/>
      <c r="O885" s="26"/>
      <c r="P885" s="26"/>
      <c r="Q885" s="26"/>
      <c r="R885" s="26"/>
      <c r="S885" s="26"/>
      <c r="T885" s="26"/>
      <c r="U885" s="26"/>
      <c r="V885" s="26"/>
      <c r="W885" s="26"/>
      <c r="X885" s="26"/>
    </row>
    <row r="886" hidden="1">
      <c r="A886" s="10" t="s">
        <v>427</v>
      </c>
      <c r="B886" s="10" t="s">
        <v>2879</v>
      </c>
      <c r="C886" s="27" t="s">
        <v>2880</v>
      </c>
      <c r="D886" s="10" t="s">
        <v>2881</v>
      </c>
      <c r="E886" s="28" t="s">
        <v>418</v>
      </c>
      <c r="F886" s="23" t="s">
        <v>977</v>
      </c>
      <c r="G886" s="23" t="s">
        <v>521</v>
      </c>
      <c r="H886" s="23" t="s">
        <v>2857</v>
      </c>
      <c r="I886" s="32"/>
      <c r="J886" s="23" t="s">
        <v>6</v>
      </c>
      <c r="K886" s="23" t="str">
        <f t="shared" si="1"/>
        <v>671352</v>
      </c>
      <c r="L886" s="23"/>
      <c r="M886" s="26"/>
      <c r="N886" s="26"/>
      <c r="O886" s="26"/>
      <c r="P886" s="26"/>
      <c r="Q886" s="26"/>
      <c r="R886" s="26"/>
      <c r="S886" s="26"/>
      <c r="T886" s="26"/>
      <c r="U886" s="26"/>
      <c r="V886" s="26"/>
      <c r="W886" s="26"/>
      <c r="X886" s="26"/>
    </row>
    <row r="887" hidden="1">
      <c r="A887" s="10" t="s">
        <v>427</v>
      </c>
      <c r="B887" s="10" t="s">
        <v>2882</v>
      </c>
      <c r="C887" s="27" t="s">
        <v>2883</v>
      </c>
      <c r="D887" s="10" t="s">
        <v>2884</v>
      </c>
      <c r="E887" s="28" t="s">
        <v>418</v>
      </c>
      <c r="F887" s="23" t="s">
        <v>977</v>
      </c>
      <c r="G887" s="23" t="s">
        <v>521</v>
      </c>
      <c r="H887" s="23" t="s">
        <v>2857</v>
      </c>
      <c r="I887" s="32"/>
      <c r="J887" s="23" t="s">
        <v>6</v>
      </c>
      <c r="K887" s="23" t="str">
        <f t="shared" si="1"/>
        <v>668260</v>
      </c>
      <c r="L887" s="23"/>
      <c r="M887" s="26"/>
      <c r="N887" s="26"/>
      <c r="O887" s="26"/>
      <c r="P887" s="26"/>
      <c r="Q887" s="26"/>
      <c r="R887" s="26"/>
      <c r="S887" s="26"/>
      <c r="T887" s="26"/>
      <c r="U887" s="26"/>
      <c r="V887" s="26"/>
      <c r="W887" s="26"/>
      <c r="X887" s="26"/>
    </row>
    <row r="888" hidden="1">
      <c r="A888" s="10" t="s">
        <v>427</v>
      </c>
      <c r="B888" s="10" t="s">
        <v>2885</v>
      </c>
      <c r="C888" s="27" t="s">
        <v>2886</v>
      </c>
      <c r="D888" s="10" t="s">
        <v>2887</v>
      </c>
      <c r="E888" s="28" t="s">
        <v>418</v>
      </c>
      <c r="F888" s="23" t="s">
        <v>419</v>
      </c>
      <c r="G888" s="23" t="s">
        <v>521</v>
      </c>
      <c r="H888" s="23" t="s">
        <v>2857</v>
      </c>
      <c r="I888" s="32"/>
      <c r="J888" s="23" t="s">
        <v>6</v>
      </c>
      <c r="K888" s="23" t="str">
        <f t="shared" si="1"/>
        <v>672823</v>
      </c>
      <c r="L888" s="23"/>
      <c r="M888" s="26"/>
      <c r="N888" s="26"/>
      <c r="O888" s="26"/>
      <c r="P888" s="26"/>
      <c r="Q888" s="26"/>
      <c r="R888" s="26"/>
      <c r="S888" s="26"/>
      <c r="T888" s="26"/>
      <c r="U888" s="26"/>
      <c r="V888" s="26"/>
      <c r="W888" s="26"/>
      <c r="X888" s="26"/>
    </row>
    <row r="889" hidden="1">
      <c r="A889" s="10" t="s">
        <v>427</v>
      </c>
      <c r="B889" s="10" t="s">
        <v>2888</v>
      </c>
      <c r="C889" s="27" t="s">
        <v>2889</v>
      </c>
      <c r="D889" s="10" t="s">
        <v>2890</v>
      </c>
      <c r="E889" s="28" t="s">
        <v>418</v>
      </c>
      <c r="F889" s="23" t="s">
        <v>977</v>
      </c>
      <c r="G889" s="23" t="s">
        <v>521</v>
      </c>
      <c r="H889" s="23" t="s">
        <v>2857</v>
      </c>
      <c r="I889" s="32"/>
      <c r="J889" s="23" t="s">
        <v>6</v>
      </c>
      <c r="K889" s="23" t="str">
        <f t="shared" si="1"/>
        <v>669489</v>
      </c>
      <c r="L889" s="23"/>
      <c r="M889" s="26"/>
      <c r="N889" s="26"/>
      <c r="O889" s="26"/>
      <c r="P889" s="26"/>
      <c r="Q889" s="26"/>
      <c r="R889" s="26"/>
      <c r="S889" s="26"/>
      <c r="T889" s="26"/>
      <c r="U889" s="26"/>
      <c r="V889" s="26"/>
      <c r="W889" s="26"/>
      <c r="X889" s="26"/>
    </row>
    <row r="890" hidden="1">
      <c r="A890" s="10" t="s">
        <v>427</v>
      </c>
      <c r="B890" s="10" t="s">
        <v>2891</v>
      </c>
      <c r="C890" s="27" t="s">
        <v>2892</v>
      </c>
      <c r="D890" s="10" t="s">
        <v>2893</v>
      </c>
      <c r="E890" s="28" t="s">
        <v>534</v>
      </c>
      <c r="F890" s="23" t="s">
        <v>757</v>
      </c>
      <c r="G890" s="23" t="s">
        <v>521</v>
      </c>
      <c r="H890" s="23" t="s">
        <v>2857</v>
      </c>
      <c r="I890" s="32"/>
      <c r="J890" s="23" t="s">
        <v>6</v>
      </c>
      <c r="K890" s="23" t="str">
        <f t="shared" si="1"/>
        <v>669458</v>
      </c>
      <c r="L890" s="23"/>
      <c r="M890" s="26"/>
      <c r="N890" s="26"/>
      <c r="O890" s="26"/>
      <c r="P890" s="26"/>
      <c r="Q890" s="26"/>
      <c r="R890" s="26"/>
      <c r="S890" s="26"/>
      <c r="T890" s="26"/>
      <c r="U890" s="26"/>
      <c r="V890" s="26"/>
      <c r="W890" s="26"/>
      <c r="X890" s="26"/>
    </row>
    <row r="891" hidden="1">
      <c r="A891" s="10" t="s">
        <v>427</v>
      </c>
      <c r="B891" s="10" t="s">
        <v>2894</v>
      </c>
      <c r="C891" s="27" t="s">
        <v>2895</v>
      </c>
      <c r="D891" s="10" t="s">
        <v>2896</v>
      </c>
      <c r="E891" s="28" t="s">
        <v>431</v>
      </c>
      <c r="F891" s="23" t="s">
        <v>950</v>
      </c>
      <c r="G891" s="23" t="s">
        <v>521</v>
      </c>
      <c r="H891" s="23" t="s">
        <v>2857</v>
      </c>
      <c r="I891" s="32"/>
      <c r="J891" s="23" t="s">
        <v>6</v>
      </c>
      <c r="K891" s="23" t="str">
        <f t="shared" si="1"/>
        <v>669465</v>
      </c>
      <c r="L891" s="23"/>
      <c r="M891" s="26"/>
      <c r="N891" s="26"/>
      <c r="O891" s="26"/>
      <c r="P891" s="26"/>
      <c r="Q891" s="26"/>
      <c r="R891" s="26"/>
      <c r="S891" s="26"/>
      <c r="T891" s="26"/>
      <c r="U891" s="26"/>
      <c r="V891" s="26"/>
      <c r="W891" s="26"/>
      <c r="X891" s="26"/>
    </row>
    <row r="892" hidden="1">
      <c r="A892" s="10" t="s">
        <v>427</v>
      </c>
      <c r="B892" s="10" t="s">
        <v>2897</v>
      </c>
      <c r="C892" s="27" t="s">
        <v>2898</v>
      </c>
      <c r="D892" s="10" t="s">
        <v>2899</v>
      </c>
      <c r="E892" s="28" t="s">
        <v>418</v>
      </c>
      <c r="F892" s="23" t="s">
        <v>419</v>
      </c>
      <c r="G892" s="23" t="s">
        <v>521</v>
      </c>
      <c r="H892" s="23" t="s">
        <v>2857</v>
      </c>
      <c r="I892" s="32"/>
      <c r="J892" s="23" t="s">
        <v>6</v>
      </c>
      <c r="K892" s="23" t="str">
        <f t="shared" si="1"/>
        <v>669472</v>
      </c>
      <c r="L892" s="23"/>
      <c r="M892" s="26"/>
      <c r="N892" s="26"/>
      <c r="O892" s="26"/>
      <c r="P892" s="26"/>
      <c r="Q892" s="26"/>
      <c r="R892" s="26"/>
      <c r="S892" s="26"/>
      <c r="T892" s="26"/>
      <c r="U892" s="26"/>
      <c r="V892" s="26"/>
      <c r="W892" s="26"/>
      <c r="X892" s="26"/>
    </row>
    <row r="893" hidden="1">
      <c r="A893" s="10" t="s">
        <v>427</v>
      </c>
      <c r="B893" s="10" t="s">
        <v>2900</v>
      </c>
      <c r="C893" s="27" t="s">
        <v>2901</v>
      </c>
      <c r="D893" s="10" t="s">
        <v>2902</v>
      </c>
      <c r="E893" s="28" t="s">
        <v>604</v>
      </c>
      <c r="F893" s="23" t="s">
        <v>605</v>
      </c>
      <c r="G893" s="23" t="s">
        <v>521</v>
      </c>
      <c r="H893" s="23" t="s">
        <v>2857</v>
      </c>
      <c r="I893" s="32"/>
      <c r="J893" s="23" t="s">
        <v>6</v>
      </c>
      <c r="K893" s="23" t="str">
        <f t="shared" si="1"/>
        <v>682686</v>
      </c>
      <c r="L893" s="23"/>
      <c r="M893" s="26"/>
      <c r="N893" s="26"/>
      <c r="O893" s="26"/>
      <c r="P893" s="26"/>
      <c r="Q893" s="26"/>
      <c r="R893" s="26"/>
      <c r="S893" s="26"/>
      <c r="T893" s="26"/>
      <c r="U893" s="26"/>
      <c r="V893" s="26"/>
      <c r="W893" s="26"/>
      <c r="X893" s="26"/>
    </row>
    <row r="894" hidden="1">
      <c r="A894" s="10" t="s">
        <v>427</v>
      </c>
      <c r="B894" s="10" t="s">
        <v>2903</v>
      </c>
      <c r="C894" s="27" t="s">
        <v>2904</v>
      </c>
      <c r="D894" s="10" t="s">
        <v>2905</v>
      </c>
      <c r="E894" s="28" t="s">
        <v>534</v>
      </c>
      <c r="F894" s="23" t="s">
        <v>1238</v>
      </c>
      <c r="G894" s="23" t="s">
        <v>521</v>
      </c>
      <c r="H894" s="23" t="s">
        <v>2857</v>
      </c>
      <c r="I894" s="32"/>
      <c r="J894" s="23" t="s">
        <v>6</v>
      </c>
      <c r="K894" s="23" t="str">
        <f t="shared" si="1"/>
        <v>653990</v>
      </c>
      <c r="L894" s="23"/>
      <c r="M894" s="26"/>
      <c r="N894" s="26"/>
      <c r="O894" s="26"/>
      <c r="P894" s="26"/>
      <c r="Q894" s="26"/>
      <c r="R894" s="26"/>
      <c r="S894" s="26"/>
      <c r="T894" s="26"/>
      <c r="U894" s="26"/>
      <c r="V894" s="26"/>
      <c r="W894" s="26"/>
      <c r="X894" s="26"/>
    </row>
    <row r="895" hidden="1">
      <c r="A895" s="10" t="s">
        <v>190</v>
      </c>
      <c r="B895" s="10" t="s">
        <v>2906</v>
      </c>
      <c r="C895" s="27" t="s">
        <v>291</v>
      </c>
      <c r="D895" s="10" t="s">
        <v>290</v>
      </c>
      <c r="E895" s="28" t="s">
        <v>194</v>
      </c>
      <c r="F895" s="23" t="s">
        <v>543</v>
      </c>
      <c r="G895" s="23" t="s">
        <v>401</v>
      </c>
      <c r="H895" s="23" t="s">
        <v>2907</v>
      </c>
      <c r="I895" s="32"/>
      <c r="J895" s="23" t="s">
        <v>198</v>
      </c>
      <c r="K895" s="23" t="str">
        <f t="shared" si="1"/>
        <v>692272</v>
      </c>
      <c r="L895" s="23"/>
      <c r="M895" s="26"/>
      <c r="N895" s="26"/>
      <c r="O895" s="26"/>
      <c r="P895" s="26"/>
      <c r="Q895" s="26"/>
      <c r="R895" s="26"/>
      <c r="S895" s="26"/>
      <c r="T895" s="26"/>
      <c r="U895" s="26"/>
      <c r="V895" s="26"/>
      <c r="W895" s="26"/>
      <c r="X895" s="26"/>
    </row>
    <row r="896" hidden="1">
      <c r="A896" s="10" t="s">
        <v>499</v>
      </c>
      <c r="B896" s="10" t="s">
        <v>2908</v>
      </c>
      <c r="C896" s="27" t="s">
        <v>2909</v>
      </c>
      <c r="D896" s="10" t="s">
        <v>2910</v>
      </c>
      <c r="E896" s="28" t="s">
        <v>194</v>
      </c>
      <c r="F896" s="23" t="s">
        <v>195</v>
      </c>
      <c r="G896" s="23" t="s">
        <v>745</v>
      </c>
      <c r="H896" s="23" t="s">
        <v>753</v>
      </c>
      <c r="I896" s="32"/>
      <c r="J896" s="23" t="s">
        <v>6</v>
      </c>
      <c r="K896" s="23" t="str">
        <f t="shared" si="1"/>
        <v>777777</v>
      </c>
      <c r="L896" s="23"/>
      <c r="M896" s="26"/>
      <c r="N896" s="26"/>
      <c r="O896" s="26"/>
      <c r="P896" s="26"/>
      <c r="Q896" s="26"/>
      <c r="R896" s="26"/>
      <c r="S896" s="26"/>
      <c r="T896" s="26"/>
      <c r="U896" s="26"/>
      <c r="V896" s="26"/>
      <c r="W896" s="26"/>
      <c r="X896" s="26"/>
    </row>
    <row r="897" hidden="1">
      <c r="A897" s="10" t="s">
        <v>499</v>
      </c>
      <c r="B897" s="10" t="s">
        <v>2911</v>
      </c>
      <c r="C897" s="10" t="s">
        <v>2912</v>
      </c>
      <c r="D897" s="10" t="s">
        <v>2913</v>
      </c>
      <c r="E897" s="28" t="s">
        <v>194</v>
      </c>
      <c r="F897" s="23" t="s">
        <v>195</v>
      </c>
      <c r="G897" s="23" t="s">
        <v>745</v>
      </c>
      <c r="H897" s="23" t="s">
        <v>753</v>
      </c>
      <c r="I897" s="32"/>
      <c r="J897" s="23" t="s">
        <v>6</v>
      </c>
      <c r="K897" s="23" t="str">
        <f t="shared" si="1"/>
        <v>EX0056</v>
      </c>
      <c r="L897" s="23"/>
      <c r="M897" s="26"/>
      <c r="N897" s="26"/>
      <c r="O897" s="26"/>
      <c r="P897" s="26"/>
      <c r="Q897" s="26"/>
      <c r="R897" s="26"/>
      <c r="S897" s="26"/>
      <c r="T897" s="26"/>
      <c r="U897" s="26"/>
      <c r="V897" s="26"/>
      <c r="W897" s="26"/>
      <c r="X897" s="26"/>
    </row>
    <row r="898" hidden="1">
      <c r="A898" s="10" t="s">
        <v>499</v>
      </c>
      <c r="B898" s="10" t="s">
        <v>2914</v>
      </c>
      <c r="C898" s="27" t="s">
        <v>2915</v>
      </c>
      <c r="D898" s="10" t="s">
        <v>2916</v>
      </c>
      <c r="E898" s="28" t="s">
        <v>194</v>
      </c>
      <c r="F898" s="23" t="s">
        <v>195</v>
      </c>
      <c r="G898" s="23" t="s">
        <v>745</v>
      </c>
      <c r="H898" s="23" t="s">
        <v>753</v>
      </c>
      <c r="I898" s="32"/>
      <c r="J898" s="23" t="s">
        <v>6</v>
      </c>
      <c r="K898" s="23" t="str">
        <f t="shared" si="1"/>
        <v>888888</v>
      </c>
      <c r="L898" s="23"/>
      <c r="M898" s="26"/>
      <c r="N898" s="26"/>
      <c r="O898" s="26"/>
      <c r="P898" s="26"/>
      <c r="Q898" s="26"/>
      <c r="R898" s="26"/>
      <c r="S898" s="26"/>
      <c r="T898" s="26"/>
      <c r="U898" s="26"/>
      <c r="V898" s="26"/>
      <c r="W898" s="26"/>
      <c r="X898" s="26"/>
    </row>
    <row r="899" hidden="1">
      <c r="A899" s="10" t="s">
        <v>427</v>
      </c>
      <c r="B899" s="10" t="s">
        <v>2917</v>
      </c>
      <c r="C899" s="27" t="s">
        <v>2918</v>
      </c>
      <c r="D899" s="10" t="s">
        <v>2919</v>
      </c>
      <c r="E899" s="28" t="s">
        <v>431</v>
      </c>
      <c r="F899" s="23" t="s">
        <v>933</v>
      </c>
      <c r="G899" s="23" t="s">
        <v>745</v>
      </c>
      <c r="H899" s="23" t="s">
        <v>753</v>
      </c>
      <c r="I899" s="32"/>
      <c r="J899" s="23" t="s">
        <v>6</v>
      </c>
      <c r="K899" s="23" t="str">
        <f t="shared" si="1"/>
        <v>333333</v>
      </c>
      <c r="L899" s="23"/>
      <c r="M899" s="26"/>
      <c r="N899" s="26"/>
      <c r="O899" s="26"/>
      <c r="P899" s="26"/>
      <c r="Q899" s="26"/>
      <c r="R899" s="26"/>
      <c r="S899" s="26"/>
      <c r="T899" s="26"/>
      <c r="U899" s="26"/>
      <c r="V899" s="26"/>
      <c r="W899" s="26"/>
      <c r="X899" s="26"/>
    </row>
    <row r="900" hidden="1">
      <c r="A900" s="10" t="s">
        <v>427</v>
      </c>
      <c r="B900" s="10" t="s">
        <v>2920</v>
      </c>
      <c r="C900" s="27" t="s">
        <v>2921</v>
      </c>
      <c r="D900" s="10" t="s">
        <v>2922</v>
      </c>
      <c r="E900" s="28" t="s">
        <v>431</v>
      </c>
      <c r="F900" s="23" t="s">
        <v>1867</v>
      </c>
      <c r="G900" s="23" t="s">
        <v>745</v>
      </c>
      <c r="H900" s="23" t="s">
        <v>753</v>
      </c>
      <c r="I900" s="32"/>
      <c r="J900" s="23" t="s">
        <v>6</v>
      </c>
      <c r="K900" s="23" t="str">
        <f t="shared" si="1"/>
        <v>444444</v>
      </c>
      <c r="L900" s="23"/>
      <c r="M900" s="26"/>
      <c r="N900" s="26"/>
      <c r="O900" s="26"/>
      <c r="P900" s="26"/>
      <c r="Q900" s="26"/>
      <c r="R900" s="26"/>
      <c r="S900" s="26"/>
      <c r="T900" s="26"/>
      <c r="U900" s="26"/>
      <c r="V900" s="26"/>
      <c r="W900" s="26"/>
      <c r="X900" s="26"/>
    </row>
    <row r="901" hidden="1">
      <c r="A901" s="10" t="s">
        <v>427</v>
      </c>
      <c r="B901" s="10" t="s">
        <v>2923</v>
      </c>
      <c r="C901" s="27" t="s">
        <v>2924</v>
      </c>
      <c r="D901" s="10" t="s">
        <v>2925</v>
      </c>
      <c r="E901" s="28" t="s">
        <v>431</v>
      </c>
      <c r="F901" s="23" t="s">
        <v>950</v>
      </c>
      <c r="G901" s="23" t="s">
        <v>745</v>
      </c>
      <c r="H901" s="23" t="s">
        <v>753</v>
      </c>
      <c r="I901" s="32"/>
      <c r="J901" s="23" t="s">
        <v>6</v>
      </c>
      <c r="K901" s="23" t="str">
        <f t="shared" si="1"/>
        <v>555555</v>
      </c>
      <c r="L901" s="23"/>
      <c r="M901" s="26"/>
      <c r="N901" s="26"/>
      <c r="O901" s="26"/>
      <c r="P901" s="26"/>
      <c r="Q901" s="26"/>
      <c r="R901" s="26"/>
      <c r="S901" s="26"/>
      <c r="T901" s="26"/>
      <c r="U901" s="26"/>
      <c r="V901" s="26"/>
      <c r="W901" s="26"/>
      <c r="X901" s="26"/>
    </row>
    <row r="902" hidden="1">
      <c r="A902" s="10" t="s">
        <v>427</v>
      </c>
      <c r="B902" s="10" t="s">
        <v>2926</v>
      </c>
      <c r="C902" s="27" t="s">
        <v>2927</v>
      </c>
      <c r="D902" s="10" t="s">
        <v>2928</v>
      </c>
      <c r="E902" s="28" t="s">
        <v>431</v>
      </c>
      <c r="F902" s="23" t="s">
        <v>946</v>
      </c>
      <c r="G902" s="23" t="s">
        <v>745</v>
      </c>
      <c r="H902" s="23" t="s">
        <v>753</v>
      </c>
      <c r="I902" s="32"/>
      <c r="J902" s="23" t="s">
        <v>6</v>
      </c>
      <c r="K902" s="23" t="str">
        <f t="shared" si="1"/>
        <v>111111</v>
      </c>
      <c r="L902" s="23"/>
      <c r="M902" s="26"/>
      <c r="N902" s="26"/>
      <c r="O902" s="26"/>
      <c r="P902" s="26"/>
      <c r="Q902" s="26"/>
      <c r="R902" s="26"/>
      <c r="S902" s="26"/>
      <c r="T902" s="26"/>
      <c r="U902" s="26"/>
      <c r="V902" s="26"/>
      <c r="W902" s="26"/>
      <c r="X902" s="26"/>
    </row>
    <row r="903" hidden="1">
      <c r="A903" s="10" t="s">
        <v>190</v>
      </c>
      <c r="B903" s="10" t="s">
        <v>2929</v>
      </c>
      <c r="C903" s="27" t="s">
        <v>2930</v>
      </c>
      <c r="D903" s="10" t="s">
        <v>2931</v>
      </c>
      <c r="E903" s="28" t="s">
        <v>194</v>
      </c>
      <c r="F903" s="23" t="s">
        <v>195</v>
      </c>
      <c r="G903" s="23" t="s">
        <v>203</v>
      </c>
      <c r="H903" s="23" t="s">
        <v>222</v>
      </c>
      <c r="I903" s="23" t="s">
        <v>2932</v>
      </c>
      <c r="J903" s="23" t="s">
        <v>238</v>
      </c>
      <c r="K903" s="23" t="str">
        <f t="shared" si="1"/>
        <v>681092</v>
      </c>
      <c r="L903" s="23"/>
      <c r="M903" s="26"/>
      <c r="N903" s="26"/>
      <c r="O903" s="26"/>
      <c r="P903" s="26"/>
      <c r="Q903" s="26"/>
      <c r="R903" s="26"/>
      <c r="S903" s="26"/>
      <c r="T903" s="26"/>
      <c r="U903" s="26"/>
      <c r="V903" s="26"/>
      <c r="W903" s="26"/>
      <c r="X903" s="26"/>
    </row>
    <row r="904" hidden="1">
      <c r="A904" s="10" t="s">
        <v>190</v>
      </c>
      <c r="B904" s="10" t="s">
        <v>2933</v>
      </c>
      <c r="C904" s="27" t="s">
        <v>2934</v>
      </c>
      <c r="D904" s="10" t="s">
        <v>2935</v>
      </c>
      <c r="E904" s="28" t="s">
        <v>194</v>
      </c>
      <c r="F904" s="23" t="s">
        <v>195</v>
      </c>
      <c r="G904" s="23" t="s">
        <v>203</v>
      </c>
      <c r="H904" s="23" t="s">
        <v>222</v>
      </c>
      <c r="I904" s="23" t="s">
        <v>223</v>
      </c>
      <c r="J904" s="23" t="s">
        <v>238</v>
      </c>
      <c r="K904" s="23" t="str">
        <f t="shared" si="1"/>
        <v>683782</v>
      </c>
      <c r="L904" s="23"/>
      <c r="M904" s="26"/>
      <c r="N904" s="26"/>
      <c r="O904" s="26"/>
      <c r="P904" s="26"/>
      <c r="Q904" s="26"/>
      <c r="R904" s="26"/>
      <c r="S904" s="26"/>
      <c r="T904" s="26"/>
      <c r="U904" s="26"/>
      <c r="V904" s="26"/>
      <c r="W904" s="26"/>
      <c r="X904" s="26"/>
    </row>
    <row r="905" hidden="1">
      <c r="A905" s="10" t="s">
        <v>190</v>
      </c>
      <c r="B905" s="10" t="s">
        <v>2936</v>
      </c>
      <c r="C905" s="27" t="s">
        <v>2937</v>
      </c>
      <c r="D905" s="10" t="s">
        <v>2938</v>
      </c>
      <c r="E905" s="28" t="s">
        <v>194</v>
      </c>
      <c r="F905" s="23" t="s">
        <v>195</v>
      </c>
      <c r="G905" s="23" t="s">
        <v>203</v>
      </c>
      <c r="H905" s="23" t="s">
        <v>222</v>
      </c>
      <c r="I905" s="23" t="s">
        <v>289</v>
      </c>
      <c r="J905" s="23" t="s">
        <v>229</v>
      </c>
      <c r="K905" s="23" t="str">
        <f t="shared" si="1"/>
        <v>676449</v>
      </c>
      <c r="L905" s="23"/>
      <c r="M905" s="26"/>
      <c r="N905" s="26"/>
      <c r="O905" s="26"/>
      <c r="P905" s="26"/>
      <c r="Q905" s="26"/>
      <c r="R905" s="26"/>
      <c r="S905" s="26"/>
      <c r="T905" s="26"/>
      <c r="U905" s="26"/>
      <c r="V905" s="26"/>
      <c r="W905" s="26"/>
      <c r="X905" s="26"/>
    </row>
    <row r="906" hidden="1">
      <c r="A906" s="10" t="s">
        <v>499</v>
      </c>
      <c r="B906" s="10" t="s">
        <v>2939</v>
      </c>
      <c r="C906" s="27" t="s">
        <v>2940</v>
      </c>
      <c r="D906" s="10" t="s">
        <v>2941</v>
      </c>
      <c r="E906" s="28" t="s">
        <v>194</v>
      </c>
      <c r="F906" s="23" t="s">
        <v>195</v>
      </c>
      <c r="G906" s="23" t="s">
        <v>203</v>
      </c>
      <c r="H906" s="23" t="s">
        <v>222</v>
      </c>
      <c r="I906" s="32"/>
      <c r="J906" s="23" t="s">
        <v>6</v>
      </c>
      <c r="K906" s="23" t="str">
        <f t="shared" si="1"/>
        <v>686417</v>
      </c>
      <c r="L906" s="23"/>
      <c r="M906" s="26"/>
      <c r="N906" s="26"/>
      <c r="O906" s="26"/>
      <c r="P906" s="26"/>
      <c r="Q906" s="26"/>
      <c r="R906" s="26"/>
      <c r="S906" s="26"/>
      <c r="T906" s="26"/>
      <c r="U906" s="26"/>
      <c r="V906" s="26"/>
      <c r="W906" s="26"/>
      <c r="X906" s="26"/>
    </row>
    <row r="907" hidden="1">
      <c r="A907" s="10" t="s">
        <v>499</v>
      </c>
      <c r="B907" s="10" t="s">
        <v>2942</v>
      </c>
      <c r="C907" s="27" t="s">
        <v>2943</v>
      </c>
      <c r="D907" s="10" t="s">
        <v>2944</v>
      </c>
      <c r="E907" s="28" t="s">
        <v>194</v>
      </c>
      <c r="F907" s="23" t="s">
        <v>195</v>
      </c>
      <c r="G907" s="23" t="s">
        <v>203</v>
      </c>
      <c r="H907" s="23" t="s">
        <v>222</v>
      </c>
      <c r="I907" s="32"/>
      <c r="J907" s="23" t="s">
        <v>6</v>
      </c>
      <c r="K907" s="23" t="str">
        <f t="shared" si="1"/>
        <v>687780</v>
      </c>
      <c r="L907" s="23"/>
      <c r="M907" s="26"/>
      <c r="N907" s="26"/>
      <c r="O907" s="26"/>
      <c r="P907" s="26"/>
      <c r="Q907" s="26"/>
      <c r="R907" s="26"/>
      <c r="S907" s="26"/>
      <c r="T907" s="26"/>
      <c r="U907" s="26"/>
      <c r="V907" s="26"/>
      <c r="W907" s="26"/>
      <c r="X907" s="26"/>
    </row>
    <row r="908" hidden="1">
      <c r="A908" s="10" t="s">
        <v>499</v>
      </c>
      <c r="B908" s="10" t="s">
        <v>2945</v>
      </c>
      <c r="C908" s="27" t="s">
        <v>2946</v>
      </c>
      <c r="D908" s="10" t="s">
        <v>2947</v>
      </c>
      <c r="E908" s="28" t="s">
        <v>194</v>
      </c>
      <c r="F908" s="23" t="s">
        <v>195</v>
      </c>
      <c r="G908" s="23" t="s">
        <v>203</v>
      </c>
      <c r="H908" s="23" t="s">
        <v>222</v>
      </c>
      <c r="I908" s="32"/>
      <c r="J908" s="23" t="s">
        <v>6</v>
      </c>
      <c r="K908" s="23" t="str">
        <f t="shared" si="1"/>
        <v>664316</v>
      </c>
      <c r="L908" s="23"/>
      <c r="M908" s="26"/>
      <c r="N908" s="26"/>
      <c r="O908" s="26"/>
      <c r="P908" s="26"/>
      <c r="Q908" s="26"/>
      <c r="R908" s="26"/>
      <c r="S908" s="26"/>
      <c r="T908" s="26"/>
      <c r="U908" s="26"/>
      <c r="V908" s="26"/>
      <c r="W908" s="26"/>
      <c r="X908" s="26"/>
    </row>
    <row r="909" hidden="1">
      <c r="A909" s="10" t="s">
        <v>499</v>
      </c>
      <c r="B909" s="10" t="s">
        <v>2948</v>
      </c>
      <c r="C909" s="27" t="s">
        <v>2949</v>
      </c>
      <c r="D909" s="10" t="s">
        <v>2950</v>
      </c>
      <c r="E909" s="28" t="s">
        <v>194</v>
      </c>
      <c r="F909" s="23" t="s">
        <v>195</v>
      </c>
      <c r="G909" s="23" t="s">
        <v>203</v>
      </c>
      <c r="H909" s="23" t="s">
        <v>222</v>
      </c>
      <c r="I909" s="32"/>
      <c r="J909" s="23" t="s">
        <v>6</v>
      </c>
      <c r="K909" s="23" t="str">
        <f t="shared" si="1"/>
        <v>659718</v>
      </c>
      <c r="L909" s="23"/>
      <c r="M909" s="26"/>
      <c r="N909" s="26"/>
      <c r="O909" s="26"/>
      <c r="P909" s="26"/>
      <c r="Q909" s="26"/>
      <c r="R909" s="26"/>
      <c r="S909" s="26"/>
      <c r="T909" s="26"/>
      <c r="U909" s="26"/>
      <c r="V909" s="26"/>
      <c r="W909" s="26"/>
      <c r="X909" s="26"/>
    </row>
    <row r="910" hidden="1">
      <c r="A910" s="10" t="s">
        <v>499</v>
      </c>
      <c r="B910" s="10" t="s">
        <v>2951</v>
      </c>
      <c r="C910" s="27" t="s">
        <v>2952</v>
      </c>
      <c r="D910" s="10" t="s">
        <v>2953</v>
      </c>
      <c r="E910" s="28" t="s">
        <v>194</v>
      </c>
      <c r="F910" s="23" t="s">
        <v>195</v>
      </c>
      <c r="G910" s="23" t="s">
        <v>203</v>
      </c>
      <c r="H910" s="23" t="s">
        <v>222</v>
      </c>
      <c r="I910" s="32"/>
      <c r="J910" s="23" t="s">
        <v>6</v>
      </c>
      <c r="K910" s="23" t="str">
        <f t="shared" si="1"/>
        <v>622767</v>
      </c>
      <c r="L910" s="23"/>
      <c r="M910" s="26"/>
      <c r="N910" s="26"/>
      <c r="O910" s="26"/>
      <c r="P910" s="26"/>
      <c r="Q910" s="26"/>
      <c r="R910" s="26"/>
      <c r="S910" s="26"/>
      <c r="T910" s="26"/>
      <c r="U910" s="26"/>
      <c r="V910" s="26"/>
      <c r="W910" s="26"/>
      <c r="X910" s="26"/>
    </row>
    <row r="911" hidden="1">
      <c r="A911" s="10" t="s">
        <v>499</v>
      </c>
      <c r="B911" s="10" t="s">
        <v>2954</v>
      </c>
      <c r="C911" s="27" t="s">
        <v>2955</v>
      </c>
      <c r="D911" s="10" t="s">
        <v>2956</v>
      </c>
      <c r="E911" s="28" t="s">
        <v>194</v>
      </c>
      <c r="F911" s="23" t="s">
        <v>195</v>
      </c>
      <c r="G911" s="23" t="s">
        <v>203</v>
      </c>
      <c r="H911" s="23" t="s">
        <v>222</v>
      </c>
      <c r="I911" s="32"/>
      <c r="J911" s="23" t="s">
        <v>6</v>
      </c>
      <c r="K911" s="23" t="str">
        <f t="shared" si="1"/>
        <v>648637</v>
      </c>
      <c r="L911" s="23"/>
      <c r="M911" s="26"/>
      <c r="N911" s="26"/>
      <c r="O911" s="26"/>
      <c r="P911" s="26"/>
      <c r="Q911" s="26"/>
      <c r="R911" s="26"/>
      <c r="S911" s="26"/>
      <c r="T911" s="26"/>
      <c r="U911" s="26"/>
      <c r="V911" s="26"/>
      <c r="W911" s="26"/>
      <c r="X911" s="26"/>
    </row>
    <row r="912" hidden="1">
      <c r="A912" s="10" t="s">
        <v>499</v>
      </c>
      <c r="B912" s="10" t="s">
        <v>2957</v>
      </c>
      <c r="C912" s="27" t="s">
        <v>2958</v>
      </c>
      <c r="D912" s="10" t="s">
        <v>2959</v>
      </c>
      <c r="E912" s="28" t="s">
        <v>194</v>
      </c>
      <c r="F912" s="23" t="s">
        <v>195</v>
      </c>
      <c r="G912" s="23" t="s">
        <v>203</v>
      </c>
      <c r="H912" s="23" t="s">
        <v>222</v>
      </c>
      <c r="I912" s="32"/>
      <c r="J912" s="23" t="s">
        <v>6</v>
      </c>
      <c r="K912" s="23" t="str">
        <f t="shared" si="1"/>
        <v>687803</v>
      </c>
      <c r="L912" s="23"/>
      <c r="M912" s="26"/>
      <c r="N912" s="26"/>
      <c r="O912" s="26"/>
      <c r="P912" s="26"/>
      <c r="Q912" s="26"/>
      <c r="R912" s="26"/>
      <c r="S912" s="26"/>
      <c r="T912" s="26"/>
      <c r="U912" s="26"/>
      <c r="V912" s="26"/>
      <c r="W912" s="26"/>
      <c r="X912" s="26"/>
    </row>
    <row r="913" hidden="1">
      <c r="A913" s="10" t="s">
        <v>499</v>
      </c>
      <c r="B913" s="10" t="s">
        <v>2960</v>
      </c>
      <c r="C913" s="27" t="s">
        <v>2961</v>
      </c>
      <c r="D913" s="10" t="s">
        <v>2962</v>
      </c>
      <c r="E913" s="28" t="s">
        <v>194</v>
      </c>
      <c r="F913" s="23" t="s">
        <v>195</v>
      </c>
      <c r="G913" s="23" t="s">
        <v>203</v>
      </c>
      <c r="H913" s="23" t="s">
        <v>222</v>
      </c>
      <c r="I913" s="32"/>
      <c r="J913" s="23" t="s">
        <v>6</v>
      </c>
      <c r="K913" s="23" t="str">
        <f t="shared" si="1"/>
        <v>607351</v>
      </c>
      <c r="L913" s="23"/>
      <c r="M913" s="26"/>
      <c r="N913" s="26"/>
      <c r="O913" s="26"/>
      <c r="P913" s="26"/>
      <c r="Q913" s="26"/>
      <c r="R913" s="26"/>
      <c r="S913" s="26"/>
      <c r="T913" s="26"/>
      <c r="U913" s="26"/>
      <c r="V913" s="26"/>
      <c r="W913" s="26"/>
      <c r="X913" s="26"/>
    </row>
    <row r="914" hidden="1">
      <c r="A914" s="10" t="s">
        <v>499</v>
      </c>
      <c r="B914" s="10" t="s">
        <v>2963</v>
      </c>
      <c r="C914" s="27" t="s">
        <v>2964</v>
      </c>
      <c r="D914" s="10" t="s">
        <v>2965</v>
      </c>
      <c r="E914" s="28" t="s">
        <v>194</v>
      </c>
      <c r="F914" s="23" t="s">
        <v>195</v>
      </c>
      <c r="G914" s="23" t="s">
        <v>203</v>
      </c>
      <c r="H914" s="23" t="s">
        <v>222</v>
      </c>
      <c r="I914" s="32"/>
      <c r="J914" s="23" t="s">
        <v>6</v>
      </c>
      <c r="K914" s="23" t="str">
        <f t="shared" si="1"/>
        <v>649955</v>
      </c>
      <c r="L914" s="23"/>
      <c r="M914" s="26"/>
      <c r="N914" s="26"/>
      <c r="O914" s="26"/>
      <c r="P914" s="26"/>
      <c r="Q914" s="26"/>
      <c r="R914" s="26"/>
      <c r="S914" s="26"/>
      <c r="T914" s="26"/>
      <c r="U914" s="26"/>
      <c r="V914" s="26"/>
      <c r="W914" s="26"/>
      <c r="X914" s="26"/>
    </row>
    <row r="915" hidden="1">
      <c r="A915" s="10" t="s">
        <v>499</v>
      </c>
      <c r="B915" s="10" t="s">
        <v>2966</v>
      </c>
      <c r="C915" s="27" t="s">
        <v>2967</v>
      </c>
      <c r="D915" s="10" t="s">
        <v>2968</v>
      </c>
      <c r="E915" s="28" t="s">
        <v>194</v>
      </c>
      <c r="F915" s="23" t="s">
        <v>195</v>
      </c>
      <c r="G915" s="23" t="s">
        <v>203</v>
      </c>
      <c r="H915" s="23" t="s">
        <v>222</v>
      </c>
      <c r="I915" s="32"/>
      <c r="J915" s="23" t="s">
        <v>6</v>
      </c>
      <c r="K915" s="23" t="str">
        <f t="shared" si="1"/>
        <v>649979</v>
      </c>
      <c r="L915" s="23"/>
      <c r="M915" s="26"/>
      <c r="N915" s="26"/>
      <c r="O915" s="26"/>
      <c r="P915" s="26"/>
      <c r="Q915" s="26"/>
      <c r="R915" s="26"/>
      <c r="S915" s="26"/>
      <c r="T915" s="26"/>
      <c r="U915" s="26"/>
      <c r="V915" s="26"/>
      <c r="W915" s="26"/>
      <c r="X915" s="26"/>
    </row>
    <row r="916" hidden="1">
      <c r="A916" s="10" t="s">
        <v>499</v>
      </c>
      <c r="B916" s="10" t="s">
        <v>2969</v>
      </c>
      <c r="C916" s="27" t="s">
        <v>2970</v>
      </c>
      <c r="D916" s="10" t="s">
        <v>2971</v>
      </c>
      <c r="E916" s="28" t="s">
        <v>194</v>
      </c>
      <c r="F916" s="23" t="s">
        <v>195</v>
      </c>
      <c r="G916" s="23" t="s">
        <v>203</v>
      </c>
      <c r="H916" s="23" t="s">
        <v>222</v>
      </c>
      <c r="I916" s="32"/>
      <c r="J916" s="23" t="s">
        <v>6</v>
      </c>
      <c r="K916" s="23" t="str">
        <f t="shared" si="1"/>
        <v>687810</v>
      </c>
      <c r="L916" s="23"/>
      <c r="M916" s="26"/>
      <c r="N916" s="26"/>
      <c r="O916" s="26"/>
      <c r="P916" s="26"/>
      <c r="Q916" s="26"/>
      <c r="R916" s="26"/>
      <c r="S916" s="26"/>
      <c r="T916" s="26"/>
      <c r="U916" s="26"/>
      <c r="V916" s="26"/>
      <c r="W916" s="26"/>
      <c r="X916" s="26"/>
    </row>
    <row r="917" hidden="1">
      <c r="A917" s="10" t="s">
        <v>499</v>
      </c>
      <c r="B917" s="10" t="s">
        <v>2972</v>
      </c>
      <c r="C917" s="27" t="s">
        <v>2973</v>
      </c>
      <c r="D917" s="10" t="s">
        <v>2974</v>
      </c>
      <c r="E917" s="28" t="s">
        <v>194</v>
      </c>
      <c r="F917" s="23" t="s">
        <v>195</v>
      </c>
      <c r="G917" s="23" t="s">
        <v>203</v>
      </c>
      <c r="H917" s="23" t="s">
        <v>222</v>
      </c>
      <c r="I917" s="32"/>
      <c r="J917" s="23" t="s">
        <v>6</v>
      </c>
      <c r="K917" s="23" t="str">
        <f t="shared" si="1"/>
        <v>607344</v>
      </c>
      <c r="L917" s="23"/>
      <c r="M917" s="26"/>
      <c r="N917" s="26"/>
      <c r="O917" s="26"/>
      <c r="P917" s="26"/>
      <c r="Q917" s="26"/>
      <c r="R917" s="26"/>
      <c r="S917" s="26"/>
      <c r="T917" s="26"/>
      <c r="U917" s="26"/>
      <c r="V917" s="26"/>
      <c r="W917" s="26"/>
      <c r="X917" s="26"/>
    </row>
    <row r="918" hidden="1">
      <c r="A918" s="10" t="s">
        <v>427</v>
      </c>
      <c r="B918" s="10" t="s">
        <v>2975</v>
      </c>
      <c r="C918" s="27" t="s">
        <v>2976</v>
      </c>
      <c r="D918" s="10" t="s">
        <v>2977</v>
      </c>
      <c r="E918" s="28" t="s">
        <v>534</v>
      </c>
      <c r="F918" s="23" t="s">
        <v>757</v>
      </c>
      <c r="G918" s="23" t="s">
        <v>203</v>
      </c>
      <c r="H918" s="23" t="s">
        <v>222</v>
      </c>
      <c r="I918" s="32"/>
      <c r="J918" s="23" t="s">
        <v>6</v>
      </c>
      <c r="K918" s="23" t="str">
        <f t="shared" si="1"/>
        <v>643656</v>
      </c>
      <c r="L918" s="23"/>
      <c r="M918" s="26"/>
      <c r="N918" s="26"/>
      <c r="O918" s="26"/>
      <c r="P918" s="26"/>
      <c r="Q918" s="26"/>
      <c r="R918" s="26"/>
      <c r="S918" s="26"/>
      <c r="T918" s="26"/>
      <c r="U918" s="26"/>
      <c r="V918" s="26"/>
      <c r="W918" s="26"/>
      <c r="X918" s="26"/>
    </row>
    <row r="919" hidden="1">
      <c r="A919" s="10" t="s">
        <v>427</v>
      </c>
      <c r="B919" s="10" t="s">
        <v>2978</v>
      </c>
      <c r="C919" s="27" t="s">
        <v>2979</v>
      </c>
      <c r="D919" s="10" t="s">
        <v>2980</v>
      </c>
      <c r="E919" s="28" t="s">
        <v>431</v>
      </c>
      <c r="F919" s="23" t="s">
        <v>1788</v>
      </c>
      <c r="G919" s="23" t="s">
        <v>203</v>
      </c>
      <c r="H919" s="23" t="s">
        <v>222</v>
      </c>
      <c r="I919" s="32"/>
      <c r="J919" s="23" t="s">
        <v>6</v>
      </c>
      <c r="K919" s="23" t="str">
        <f t="shared" si="1"/>
        <v>627670</v>
      </c>
      <c r="L919" s="23"/>
      <c r="M919" s="26"/>
      <c r="N919" s="26"/>
      <c r="O919" s="26"/>
      <c r="P919" s="26"/>
      <c r="Q919" s="26"/>
      <c r="R919" s="26"/>
      <c r="S919" s="26"/>
      <c r="T919" s="26"/>
      <c r="U919" s="26"/>
      <c r="V919" s="26"/>
      <c r="W919" s="26"/>
      <c r="X919" s="26"/>
    </row>
    <row r="920" hidden="1">
      <c r="A920" s="10" t="s">
        <v>427</v>
      </c>
      <c r="B920" s="10" t="s">
        <v>2981</v>
      </c>
      <c r="C920" s="27" t="s">
        <v>2982</v>
      </c>
      <c r="D920" s="10" t="s">
        <v>2983</v>
      </c>
      <c r="E920" s="28" t="s">
        <v>431</v>
      </c>
      <c r="F920" s="23" t="s">
        <v>432</v>
      </c>
      <c r="G920" s="23" t="s">
        <v>203</v>
      </c>
      <c r="H920" s="23" t="s">
        <v>222</v>
      </c>
      <c r="I920" s="32"/>
      <c r="J920" s="23" t="s">
        <v>6</v>
      </c>
      <c r="K920" s="23" t="str">
        <f t="shared" si="1"/>
        <v>679181</v>
      </c>
      <c r="L920" s="23"/>
      <c r="M920" s="26"/>
      <c r="N920" s="26"/>
      <c r="O920" s="26"/>
      <c r="P920" s="26"/>
      <c r="Q920" s="26"/>
      <c r="R920" s="26"/>
      <c r="S920" s="26"/>
      <c r="T920" s="26"/>
      <c r="U920" s="26"/>
      <c r="V920" s="26"/>
      <c r="W920" s="26"/>
      <c r="X920" s="26"/>
    </row>
    <row r="921" hidden="1">
      <c r="A921" s="10" t="s">
        <v>427</v>
      </c>
      <c r="B921" s="10" t="s">
        <v>2984</v>
      </c>
      <c r="C921" s="27" t="s">
        <v>2985</v>
      </c>
      <c r="D921" s="10" t="s">
        <v>2986</v>
      </c>
      <c r="E921" s="28" t="s">
        <v>431</v>
      </c>
      <c r="F921" s="23" t="s">
        <v>950</v>
      </c>
      <c r="G921" s="23" t="s">
        <v>203</v>
      </c>
      <c r="H921" s="23" t="s">
        <v>222</v>
      </c>
      <c r="I921" s="32"/>
      <c r="J921" s="23" t="s">
        <v>6</v>
      </c>
      <c r="K921" s="23" t="str">
        <f t="shared" si="1"/>
        <v>627939</v>
      </c>
      <c r="L921" s="23"/>
      <c r="M921" s="26"/>
      <c r="N921" s="26"/>
      <c r="O921" s="26"/>
      <c r="P921" s="26"/>
      <c r="Q921" s="26"/>
      <c r="R921" s="26"/>
      <c r="S921" s="26"/>
      <c r="T921" s="26"/>
      <c r="U921" s="26"/>
      <c r="V921" s="26"/>
      <c r="W921" s="26"/>
      <c r="X921" s="26"/>
    </row>
    <row r="922" hidden="1">
      <c r="A922" s="10" t="s">
        <v>427</v>
      </c>
      <c r="B922" s="10" t="s">
        <v>2987</v>
      </c>
      <c r="C922" s="27" t="s">
        <v>2988</v>
      </c>
      <c r="D922" s="10" t="s">
        <v>2989</v>
      </c>
      <c r="E922" s="28" t="s">
        <v>534</v>
      </c>
      <c r="F922" s="23" t="s">
        <v>1238</v>
      </c>
      <c r="G922" s="23" t="s">
        <v>203</v>
      </c>
      <c r="H922" s="23" t="s">
        <v>222</v>
      </c>
      <c r="I922" s="32"/>
      <c r="J922" s="23" t="s">
        <v>6</v>
      </c>
      <c r="K922" s="23" t="str">
        <f t="shared" si="1"/>
        <v>644004</v>
      </c>
      <c r="L922" s="23"/>
      <c r="M922" s="26"/>
      <c r="N922" s="26"/>
      <c r="O922" s="26"/>
      <c r="P922" s="26"/>
      <c r="Q922" s="26"/>
      <c r="R922" s="26"/>
      <c r="S922" s="26"/>
      <c r="T922" s="26"/>
      <c r="U922" s="26"/>
      <c r="V922" s="26"/>
      <c r="W922" s="26"/>
      <c r="X922" s="26"/>
    </row>
    <row r="923" hidden="1">
      <c r="A923" s="10" t="s">
        <v>427</v>
      </c>
      <c r="B923" s="10" t="s">
        <v>2990</v>
      </c>
      <c r="C923" s="27" t="s">
        <v>2991</v>
      </c>
      <c r="D923" s="10" t="s">
        <v>2992</v>
      </c>
      <c r="E923" s="28" t="s">
        <v>431</v>
      </c>
      <c r="F923" s="23" t="s">
        <v>946</v>
      </c>
      <c r="G923" s="23" t="s">
        <v>203</v>
      </c>
      <c r="H923" s="23" t="s">
        <v>222</v>
      </c>
      <c r="I923" s="32"/>
      <c r="J923" s="23" t="s">
        <v>6</v>
      </c>
      <c r="K923" s="23" t="str">
        <f t="shared" si="1"/>
        <v>616728</v>
      </c>
      <c r="L923" s="23"/>
      <c r="M923" s="26"/>
      <c r="N923" s="26"/>
      <c r="O923" s="26"/>
      <c r="P923" s="26"/>
      <c r="Q923" s="26"/>
      <c r="R923" s="26"/>
      <c r="S923" s="26"/>
      <c r="T923" s="26"/>
      <c r="U923" s="26"/>
      <c r="V923" s="26"/>
      <c r="W923" s="26"/>
      <c r="X923" s="26"/>
    </row>
    <row r="924" hidden="1">
      <c r="A924" s="10" t="s">
        <v>427</v>
      </c>
      <c r="B924" s="10" t="s">
        <v>2993</v>
      </c>
      <c r="C924" s="27" t="s">
        <v>2994</v>
      </c>
      <c r="D924" s="10" t="s">
        <v>2995</v>
      </c>
      <c r="E924" s="28" t="s">
        <v>534</v>
      </c>
      <c r="F924" s="23" t="s">
        <v>1242</v>
      </c>
      <c r="G924" s="23" t="s">
        <v>203</v>
      </c>
      <c r="H924" s="23" t="s">
        <v>222</v>
      </c>
      <c r="I924" s="32"/>
      <c r="J924" s="23" t="s">
        <v>6</v>
      </c>
      <c r="K924" s="23" t="str">
        <f t="shared" si="1"/>
        <v>638409</v>
      </c>
      <c r="L924" s="23"/>
      <c r="M924" s="26"/>
      <c r="N924" s="26"/>
      <c r="O924" s="26"/>
      <c r="P924" s="26"/>
      <c r="Q924" s="26"/>
      <c r="R924" s="26"/>
      <c r="S924" s="26"/>
      <c r="T924" s="26"/>
      <c r="U924" s="26"/>
      <c r="V924" s="26"/>
      <c r="W924" s="26"/>
      <c r="X924" s="26"/>
    </row>
    <row r="925" hidden="1">
      <c r="A925" s="10" t="s">
        <v>427</v>
      </c>
      <c r="B925" s="10" t="s">
        <v>2996</v>
      </c>
      <c r="C925" s="27" t="s">
        <v>2997</v>
      </c>
      <c r="D925" s="10" t="s">
        <v>2998</v>
      </c>
      <c r="E925" s="28" t="s">
        <v>431</v>
      </c>
      <c r="F925" s="23" t="s">
        <v>1231</v>
      </c>
      <c r="G925" s="23" t="s">
        <v>203</v>
      </c>
      <c r="H925" s="23" t="s">
        <v>222</v>
      </c>
      <c r="I925" s="32"/>
      <c r="J925" s="23" t="s">
        <v>6</v>
      </c>
      <c r="K925" s="23" t="str">
        <f t="shared" si="1"/>
        <v>638157</v>
      </c>
      <c r="L925" s="23"/>
      <c r="M925" s="26"/>
      <c r="N925" s="26"/>
      <c r="O925" s="26"/>
      <c r="P925" s="26"/>
      <c r="Q925" s="26"/>
      <c r="R925" s="26"/>
      <c r="S925" s="26"/>
      <c r="T925" s="26"/>
      <c r="U925" s="26"/>
      <c r="V925" s="26"/>
      <c r="W925" s="26"/>
      <c r="X925" s="26"/>
    </row>
    <row r="926" hidden="1">
      <c r="A926" s="10" t="s">
        <v>427</v>
      </c>
      <c r="B926" s="10" t="s">
        <v>2999</v>
      </c>
      <c r="C926" s="27" t="s">
        <v>3000</v>
      </c>
      <c r="D926" s="10" t="s">
        <v>3001</v>
      </c>
      <c r="E926" s="28" t="s">
        <v>431</v>
      </c>
      <c r="F926" s="23" t="s">
        <v>1231</v>
      </c>
      <c r="G926" s="23" t="s">
        <v>203</v>
      </c>
      <c r="H926" s="23" t="s">
        <v>222</v>
      </c>
      <c r="I926" s="32"/>
      <c r="J926" s="23" t="s">
        <v>6</v>
      </c>
      <c r="K926" s="23" t="str">
        <f t="shared" si="1"/>
        <v>662602</v>
      </c>
      <c r="L926" s="23"/>
      <c r="M926" s="26"/>
      <c r="N926" s="26"/>
      <c r="O926" s="26"/>
      <c r="P926" s="26"/>
      <c r="Q926" s="26"/>
      <c r="R926" s="26"/>
      <c r="S926" s="26"/>
      <c r="T926" s="26"/>
      <c r="U926" s="26"/>
      <c r="V926" s="26"/>
      <c r="W926" s="26"/>
      <c r="X926" s="26"/>
    </row>
    <row r="927" hidden="1">
      <c r="A927" s="10" t="s">
        <v>427</v>
      </c>
      <c r="B927" s="10" t="s">
        <v>3002</v>
      </c>
      <c r="C927" s="27" t="s">
        <v>3003</v>
      </c>
      <c r="D927" s="10" t="s">
        <v>3004</v>
      </c>
      <c r="E927" s="28" t="s">
        <v>534</v>
      </c>
      <c r="F927" s="23" t="s">
        <v>535</v>
      </c>
      <c r="G927" s="23" t="s">
        <v>203</v>
      </c>
      <c r="H927" s="23" t="s">
        <v>222</v>
      </c>
      <c r="I927" s="32"/>
      <c r="J927" s="23" t="s">
        <v>6</v>
      </c>
      <c r="K927" s="23" t="str">
        <f t="shared" si="1"/>
        <v>663364</v>
      </c>
      <c r="L927" s="23"/>
      <c r="M927" s="26"/>
      <c r="N927" s="26"/>
      <c r="O927" s="26"/>
      <c r="P927" s="26"/>
      <c r="Q927" s="26"/>
      <c r="R927" s="26"/>
      <c r="S927" s="26"/>
      <c r="T927" s="26"/>
      <c r="U927" s="26"/>
      <c r="V927" s="26"/>
      <c r="W927" s="26"/>
      <c r="X927" s="26"/>
    </row>
    <row r="928" hidden="1">
      <c r="A928" s="10" t="s">
        <v>427</v>
      </c>
      <c r="B928" s="10" t="s">
        <v>3005</v>
      </c>
      <c r="C928" s="27" t="s">
        <v>3006</v>
      </c>
      <c r="D928" s="10" t="s">
        <v>3007</v>
      </c>
      <c r="E928" s="28" t="s">
        <v>534</v>
      </c>
      <c r="F928" s="23" t="s">
        <v>954</v>
      </c>
      <c r="G928" s="23" t="s">
        <v>203</v>
      </c>
      <c r="H928" s="23" t="s">
        <v>222</v>
      </c>
      <c r="I928" s="32"/>
      <c r="J928" s="23" t="s">
        <v>6</v>
      </c>
      <c r="K928" s="23" t="str">
        <f t="shared" si="1"/>
        <v>650029</v>
      </c>
      <c r="L928" s="23"/>
      <c r="M928" s="26"/>
      <c r="N928" s="26"/>
      <c r="O928" s="26"/>
      <c r="P928" s="26"/>
      <c r="Q928" s="26"/>
      <c r="R928" s="26"/>
      <c r="S928" s="26"/>
      <c r="T928" s="26"/>
      <c r="U928" s="26"/>
      <c r="V928" s="26"/>
      <c r="W928" s="26"/>
      <c r="X928" s="26"/>
    </row>
    <row r="929" hidden="1">
      <c r="A929" s="10" t="s">
        <v>427</v>
      </c>
      <c r="B929" s="10" t="s">
        <v>3008</v>
      </c>
      <c r="C929" s="27" t="s">
        <v>3009</v>
      </c>
      <c r="D929" s="10" t="s">
        <v>3010</v>
      </c>
      <c r="E929" s="28" t="s">
        <v>431</v>
      </c>
      <c r="F929" s="23" t="s">
        <v>933</v>
      </c>
      <c r="G929" s="23" t="s">
        <v>203</v>
      </c>
      <c r="H929" s="23" t="s">
        <v>222</v>
      </c>
      <c r="I929" s="32"/>
      <c r="J929" s="23" t="s">
        <v>6</v>
      </c>
      <c r="K929" s="23" t="str">
        <f t="shared" si="1"/>
        <v>654140</v>
      </c>
      <c r="L929" s="23"/>
      <c r="M929" s="26"/>
      <c r="N929" s="26"/>
      <c r="O929" s="26"/>
      <c r="P929" s="26"/>
      <c r="Q929" s="26"/>
      <c r="R929" s="26"/>
      <c r="S929" s="26"/>
      <c r="T929" s="26"/>
      <c r="U929" s="26"/>
      <c r="V929" s="26"/>
      <c r="W929" s="26"/>
      <c r="X929" s="26"/>
    </row>
    <row r="930" hidden="1">
      <c r="A930" s="10" t="s">
        <v>427</v>
      </c>
      <c r="B930" s="10" t="s">
        <v>3011</v>
      </c>
      <c r="C930" s="27" t="s">
        <v>3012</v>
      </c>
      <c r="D930" s="10" t="s">
        <v>3010</v>
      </c>
      <c r="E930" s="28" t="s">
        <v>431</v>
      </c>
      <c r="F930" s="23" t="s">
        <v>933</v>
      </c>
      <c r="G930" s="23" t="s">
        <v>203</v>
      </c>
      <c r="H930" s="23" t="s">
        <v>222</v>
      </c>
      <c r="I930" s="32"/>
      <c r="J930" s="23" t="s">
        <v>6</v>
      </c>
      <c r="K930" s="23" t="str">
        <f t="shared" si="1"/>
        <v>670607</v>
      </c>
      <c r="L930" s="23"/>
      <c r="M930" s="26"/>
      <c r="N930" s="26"/>
      <c r="O930" s="26"/>
      <c r="P930" s="26"/>
      <c r="Q930" s="26"/>
      <c r="R930" s="26"/>
      <c r="S930" s="26"/>
      <c r="T930" s="26"/>
      <c r="U930" s="26"/>
      <c r="V930" s="26"/>
      <c r="W930" s="26"/>
      <c r="X930" s="26"/>
    </row>
    <row r="931" hidden="1">
      <c r="A931" s="10" t="s">
        <v>427</v>
      </c>
      <c r="B931" s="10" t="s">
        <v>3013</v>
      </c>
      <c r="C931" s="27" t="s">
        <v>3014</v>
      </c>
      <c r="D931" s="10" t="s">
        <v>3015</v>
      </c>
      <c r="E931" s="28" t="s">
        <v>431</v>
      </c>
      <c r="F931" s="23" t="s">
        <v>1867</v>
      </c>
      <c r="G931" s="23" t="s">
        <v>203</v>
      </c>
      <c r="H931" s="23" t="s">
        <v>222</v>
      </c>
      <c r="I931" s="32"/>
      <c r="J931" s="23" t="s">
        <v>6</v>
      </c>
      <c r="K931" s="23" t="str">
        <f t="shared" si="1"/>
        <v>638034</v>
      </c>
      <c r="L931" s="23"/>
      <c r="M931" s="26"/>
      <c r="N931" s="26"/>
      <c r="O931" s="26"/>
      <c r="P931" s="26"/>
      <c r="Q931" s="26"/>
      <c r="R931" s="26"/>
      <c r="S931" s="26"/>
      <c r="T931" s="26"/>
      <c r="U931" s="26"/>
      <c r="V931" s="26"/>
      <c r="W931" s="26"/>
      <c r="X931" s="26"/>
    </row>
    <row r="932" hidden="1">
      <c r="A932" s="10" t="s">
        <v>427</v>
      </c>
      <c r="B932" s="10" t="s">
        <v>3016</v>
      </c>
      <c r="C932" s="27" t="s">
        <v>3017</v>
      </c>
      <c r="D932" s="10" t="s">
        <v>3018</v>
      </c>
      <c r="E932" s="28" t="s">
        <v>534</v>
      </c>
      <c r="F932" s="23" t="s">
        <v>757</v>
      </c>
      <c r="G932" s="23" t="s">
        <v>203</v>
      </c>
      <c r="H932" s="23" t="s">
        <v>222</v>
      </c>
      <c r="I932" s="32"/>
      <c r="J932" s="23" t="s">
        <v>6</v>
      </c>
      <c r="K932" s="23" t="str">
        <f t="shared" si="1"/>
        <v>657684</v>
      </c>
      <c r="L932" s="23"/>
      <c r="M932" s="26"/>
      <c r="N932" s="26"/>
      <c r="O932" s="26"/>
      <c r="P932" s="26"/>
      <c r="Q932" s="26"/>
      <c r="R932" s="26"/>
      <c r="S932" s="26"/>
      <c r="T932" s="26"/>
      <c r="U932" s="26"/>
      <c r="V932" s="26"/>
      <c r="W932" s="26"/>
      <c r="X932" s="26"/>
    </row>
    <row r="933" hidden="1">
      <c r="A933" s="10" t="s">
        <v>427</v>
      </c>
      <c r="B933" s="10" t="s">
        <v>3019</v>
      </c>
      <c r="C933" s="27" t="s">
        <v>3020</v>
      </c>
      <c r="D933" s="10" t="s">
        <v>3021</v>
      </c>
      <c r="E933" s="28" t="s">
        <v>604</v>
      </c>
      <c r="F933" s="23" t="s">
        <v>605</v>
      </c>
      <c r="G933" s="23" t="s">
        <v>203</v>
      </c>
      <c r="H933" s="23" t="s">
        <v>222</v>
      </c>
      <c r="I933" s="32"/>
      <c r="J933" s="23" t="s">
        <v>6</v>
      </c>
      <c r="K933" s="23" t="str">
        <f t="shared" si="1"/>
        <v>677927</v>
      </c>
      <c r="L933" s="23"/>
      <c r="M933" s="26"/>
      <c r="N933" s="26"/>
      <c r="O933" s="26"/>
      <c r="P933" s="26"/>
      <c r="Q933" s="26"/>
      <c r="R933" s="26"/>
      <c r="S933" s="26"/>
      <c r="T933" s="26"/>
      <c r="U933" s="26"/>
      <c r="V933" s="26"/>
      <c r="W933" s="26"/>
      <c r="X933" s="26"/>
    </row>
    <row r="934" hidden="1">
      <c r="A934" s="10" t="s">
        <v>427</v>
      </c>
      <c r="B934" s="10" t="s">
        <v>3022</v>
      </c>
      <c r="C934" s="27" t="s">
        <v>3023</v>
      </c>
      <c r="D934" s="10" t="s">
        <v>3024</v>
      </c>
      <c r="E934" s="28" t="s">
        <v>1047</v>
      </c>
      <c r="F934" s="23" t="s">
        <v>1848</v>
      </c>
      <c r="G934" s="23" t="s">
        <v>203</v>
      </c>
      <c r="H934" s="23" t="s">
        <v>222</v>
      </c>
      <c r="I934" s="32"/>
      <c r="J934" s="23" t="s">
        <v>6</v>
      </c>
      <c r="K934" s="23" t="str">
        <f t="shared" si="1"/>
        <v>672892</v>
      </c>
      <c r="L934" s="23"/>
      <c r="M934" s="26"/>
      <c r="N934" s="26"/>
      <c r="O934" s="26"/>
      <c r="P934" s="26"/>
      <c r="Q934" s="26"/>
      <c r="R934" s="26"/>
      <c r="S934" s="26"/>
      <c r="T934" s="26"/>
      <c r="U934" s="26"/>
      <c r="V934" s="26"/>
      <c r="W934" s="26"/>
      <c r="X934" s="26"/>
    </row>
    <row r="935" hidden="1">
      <c r="A935" s="10" t="s">
        <v>427</v>
      </c>
      <c r="B935" s="10" t="s">
        <v>3025</v>
      </c>
      <c r="C935" s="27" t="s">
        <v>3026</v>
      </c>
      <c r="D935" s="10" t="s">
        <v>3027</v>
      </c>
      <c r="E935" s="28" t="s">
        <v>534</v>
      </c>
      <c r="F935" s="23" t="s">
        <v>757</v>
      </c>
      <c r="G935" s="23" t="s">
        <v>203</v>
      </c>
      <c r="H935" s="23" t="s">
        <v>222</v>
      </c>
      <c r="I935" s="32"/>
      <c r="J935" s="23" t="s">
        <v>6</v>
      </c>
      <c r="K935" s="23" t="str">
        <f t="shared" si="1"/>
        <v>681917</v>
      </c>
      <c r="L935" s="23"/>
      <c r="M935" s="26"/>
      <c r="N935" s="26"/>
      <c r="O935" s="26"/>
      <c r="P935" s="26"/>
      <c r="Q935" s="26"/>
      <c r="R935" s="26"/>
      <c r="S935" s="26"/>
      <c r="T935" s="26"/>
      <c r="U935" s="26"/>
      <c r="V935" s="26"/>
      <c r="W935" s="26"/>
      <c r="X935" s="26"/>
    </row>
    <row r="936" hidden="1">
      <c r="A936" s="10" t="s">
        <v>427</v>
      </c>
      <c r="B936" s="10" t="s">
        <v>3028</v>
      </c>
      <c r="C936" s="27" t="s">
        <v>3029</v>
      </c>
      <c r="D936" s="10" t="s">
        <v>3030</v>
      </c>
      <c r="E936" s="28" t="s">
        <v>431</v>
      </c>
      <c r="F936" s="23" t="s">
        <v>946</v>
      </c>
      <c r="G936" s="23" t="s">
        <v>203</v>
      </c>
      <c r="H936" s="23" t="s">
        <v>222</v>
      </c>
      <c r="I936" s="32"/>
      <c r="J936" s="23" t="s">
        <v>6</v>
      </c>
      <c r="K936" s="23" t="str">
        <f t="shared" si="1"/>
        <v>657486</v>
      </c>
      <c r="L936" s="23"/>
      <c r="M936" s="26"/>
      <c r="N936" s="26"/>
      <c r="O936" s="26"/>
      <c r="P936" s="26"/>
      <c r="Q936" s="26"/>
      <c r="R936" s="26"/>
      <c r="S936" s="26"/>
      <c r="T936" s="26"/>
      <c r="U936" s="26"/>
      <c r="V936" s="26"/>
      <c r="W936" s="26"/>
      <c r="X936" s="26"/>
    </row>
    <row r="937" hidden="1">
      <c r="A937" s="10" t="s">
        <v>427</v>
      </c>
      <c r="B937" s="10" t="s">
        <v>3031</v>
      </c>
      <c r="C937" s="27" t="s">
        <v>3032</v>
      </c>
      <c r="D937" s="10" t="s">
        <v>3033</v>
      </c>
      <c r="E937" s="28" t="s">
        <v>431</v>
      </c>
      <c r="F937" s="23" t="s">
        <v>933</v>
      </c>
      <c r="G937" s="23" t="s">
        <v>203</v>
      </c>
      <c r="H937" s="23" t="s">
        <v>222</v>
      </c>
      <c r="I937" s="32"/>
      <c r="J937" s="23" t="s">
        <v>6</v>
      </c>
      <c r="K937" s="23" t="str">
        <f t="shared" si="1"/>
        <v>657462</v>
      </c>
      <c r="L937" s="23"/>
      <c r="M937" s="26"/>
      <c r="N937" s="26"/>
      <c r="O937" s="26"/>
      <c r="P937" s="26"/>
      <c r="Q937" s="26"/>
      <c r="R937" s="26"/>
      <c r="S937" s="26"/>
      <c r="T937" s="26"/>
      <c r="U937" s="26"/>
      <c r="V937" s="26"/>
      <c r="W937" s="26"/>
      <c r="X937" s="26"/>
    </row>
    <row r="938" hidden="1">
      <c r="A938" s="10" t="s">
        <v>427</v>
      </c>
      <c r="B938" s="10" t="s">
        <v>3034</v>
      </c>
      <c r="C938" s="27" t="s">
        <v>3035</v>
      </c>
      <c r="D938" s="10" t="s">
        <v>3036</v>
      </c>
      <c r="E938" s="28" t="s">
        <v>534</v>
      </c>
      <c r="F938" s="23" t="s">
        <v>757</v>
      </c>
      <c r="G938" s="23" t="s">
        <v>203</v>
      </c>
      <c r="H938" s="23" t="s">
        <v>222</v>
      </c>
      <c r="I938" s="32"/>
      <c r="J938" s="23" t="s">
        <v>6</v>
      </c>
      <c r="K938" s="23" t="str">
        <f t="shared" si="1"/>
        <v>657936</v>
      </c>
      <c r="L938" s="23"/>
      <c r="M938" s="26"/>
      <c r="N938" s="26"/>
      <c r="O938" s="26"/>
      <c r="P938" s="26"/>
      <c r="Q938" s="26"/>
      <c r="R938" s="26"/>
      <c r="S938" s="26"/>
      <c r="T938" s="26"/>
      <c r="U938" s="26"/>
      <c r="V938" s="26"/>
      <c r="W938" s="26"/>
      <c r="X938" s="26"/>
    </row>
    <row r="939" hidden="1">
      <c r="A939" s="10" t="s">
        <v>427</v>
      </c>
      <c r="B939" s="10" t="s">
        <v>3037</v>
      </c>
      <c r="C939" s="27" t="s">
        <v>3038</v>
      </c>
      <c r="D939" s="10" t="s">
        <v>3039</v>
      </c>
      <c r="E939" s="28" t="s">
        <v>431</v>
      </c>
      <c r="F939" s="23" t="s">
        <v>950</v>
      </c>
      <c r="G939" s="23" t="s">
        <v>203</v>
      </c>
      <c r="H939" s="23" t="s">
        <v>222</v>
      </c>
      <c r="I939" s="32"/>
      <c r="J939" s="23" t="s">
        <v>6</v>
      </c>
      <c r="K939" s="23" t="str">
        <f t="shared" si="1"/>
        <v>632018</v>
      </c>
      <c r="L939" s="23"/>
      <c r="M939" s="26"/>
      <c r="N939" s="26"/>
      <c r="O939" s="26"/>
      <c r="P939" s="26"/>
      <c r="Q939" s="26"/>
      <c r="R939" s="26"/>
      <c r="S939" s="26"/>
      <c r="T939" s="26"/>
      <c r="U939" s="26"/>
      <c r="V939" s="26"/>
      <c r="W939" s="26"/>
      <c r="X939" s="26"/>
    </row>
    <row r="940" hidden="1">
      <c r="A940" s="10" t="s">
        <v>427</v>
      </c>
      <c r="B940" s="10" t="s">
        <v>3040</v>
      </c>
      <c r="C940" s="27" t="s">
        <v>3041</v>
      </c>
      <c r="D940" s="10" t="s">
        <v>3042</v>
      </c>
      <c r="E940" s="28" t="s">
        <v>431</v>
      </c>
      <c r="F940" s="23" t="s">
        <v>946</v>
      </c>
      <c r="G940" s="23" t="s">
        <v>203</v>
      </c>
      <c r="H940" s="23" t="s">
        <v>222</v>
      </c>
      <c r="I940" s="32"/>
      <c r="J940" s="23" t="s">
        <v>6</v>
      </c>
      <c r="K940" s="23" t="str">
        <f t="shared" si="1"/>
        <v>632575</v>
      </c>
      <c r="L940" s="23"/>
      <c r="M940" s="26"/>
      <c r="N940" s="26"/>
      <c r="O940" s="26"/>
      <c r="P940" s="26"/>
      <c r="Q940" s="26"/>
      <c r="R940" s="26"/>
      <c r="S940" s="26"/>
      <c r="T940" s="26"/>
      <c r="U940" s="26"/>
      <c r="V940" s="26"/>
      <c r="W940" s="26"/>
      <c r="X940" s="26"/>
    </row>
    <row r="941" hidden="1">
      <c r="A941" s="10" t="s">
        <v>427</v>
      </c>
      <c r="B941" s="10" t="s">
        <v>3043</v>
      </c>
      <c r="C941" s="27" t="s">
        <v>3044</v>
      </c>
      <c r="D941" s="10" t="s">
        <v>3045</v>
      </c>
      <c r="E941" s="28" t="s">
        <v>431</v>
      </c>
      <c r="F941" s="23" t="s">
        <v>933</v>
      </c>
      <c r="G941" s="23" t="s">
        <v>203</v>
      </c>
      <c r="H941" s="23" t="s">
        <v>222</v>
      </c>
      <c r="I941" s="32"/>
      <c r="J941" s="23" t="s">
        <v>6</v>
      </c>
      <c r="K941" s="23" t="str">
        <f t="shared" si="1"/>
        <v>680453</v>
      </c>
      <c r="L941" s="23"/>
      <c r="M941" s="26"/>
      <c r="N941" s="26"/>
      <c r="O941" s="26"/>
      <c r="P941" s="26"/>
      <c r="Q941" s="26"/>
      <c r="R941" s="26"/>
      <c r="S941" s="26"/>
      <c r="T941" s="26"/>
      <c r="U941" s="26"/>
      <c r="V941" s="26"/>
      <c r="W941" s="26"/>
      <c r="X941" s="26"/>
    </row>
    <row r="942" hidden="1">
      <c r="A942" s="10" t="s">
        <v>427</v>
      </c>
      <c r="B942" s="10" t="s">
        <v>3046</v>
      </c>
      <c r="C942" s="27" t="s">
        <v>3047</v>
      </c>
      <c r="D942" s="10" t="s">
        <v>3048</v>
      </c>
      <c r="E942" s="28" t="s">
        <v>534</v>
      </c>
      <c r="F942" s="23" t="s">
        <v>535</v>
      </c>
      <c r="G942" s="23" t="s">
        <v>203</v>
      </c>
      <c r="H942" s="23" t="s">
        <v>222</v>
      </c>
      <c r="I942" s="32"/>
      <c r="J942" s="23" t="s">
        <v>6</v>
      </c>
      <c r="K942" s="23" t="str">
        <f t="shared" si="1"/>
        <v>690261</v>
      </c>
      <c r="L942" s="23"/>
      <c r="M942" s="26"/>
      <c r="N942" s="26"/>
      <c r="O942" s="26"/>
      <c r="P942" s="26"/>
      <c r="Q942" s="26"/>
      <c r="R942" s="26"/>
      <c r="S942" s="26"/>
      <c r="T942" s="26"/>
      <c r="U942" s="26"/>
      <c r="V942" s="26"/>
      <c r="W942" s="26"/>
      <c r="X942" s="26"/>
    </row>
    <row r="943" hidden="1">
      <c r="A943" s="10" t="s">
        <v>427</v>
      </c>
      <c r="B943" s="10" t="s">
        <v>3049</v>
      </c>
      <c r="C943" s="27" t="s">
        <v>3050</v>
      </c>
      <c r="D943" s="10" t="s">
        <v>3051</v>
      </c>
      <c r="E943" s="28" t="s">
        <v>431</v>
      </c>
      <c r="F943" s="23" t="s">
        <v>933</v>
      </c>
      <c r="G943" s="23" t="s">
        <v>203</v>
      </c>
      <c r="H943" s="23" t="s">
        <v>222</v>
      </c>
      <c r="I943" s="32"/>
      <c r="J943" s="23" t="s">
        <v>6</v>
      </c>
      <c r="K943" s="23" t="str">
        <f t="shared" si="1"/>
        <v>690278</v>
      </c>
      <c r="L943" s="23"/>
      <c r="M943" s="26"/>
      <c r="N943" s="26"/>
      <c r="O943" s="26"/>
      <c r="P943" s="26"/>
      <c r="Q943" s="26"/>
      <c r="R943" s="26"/>
      <c r="S943" s="26"/>
      <c r="T943" s="26"/>
      <c r="U943" s="26"/>
      <c r="V943" s="26"/>
      <c r="W943" s="26"/>
      <c r="X943" s="26"/>
    </row>
    <row r="944" hidden="1">
      <c r="A944" s="10" t="s">
        <v>427</v>
      </c>
      <c r="B944" s="10" t="s">
        <v>3052</v>
      </c>
      <c r="C944" s="27" t="s">
        <v>3053</v>
      </c>
      <c r="D944" s="10" t="s">
        <v>3054</v>
      </c>
      <c r="E944" s="28" t="s">
        <v>418</v>
      </c>
      <c r="F944" s="23" t="s">
        <v>419</v>
      </c>
      <c r="G944" s="23" t="s">
        <v>203</v>
      </c>
      <c r="H944" s="23" t="s">
        <v>222</v>
      </c>
      <c r="I944" s="32"/>
      <c r="J944" s="23" t="s">
        <v>6</v>
      </c>
      <c r="K944" s="23" t="str">
        <f t="shared" si="1"/>
        <v>690285</v>
      </c>
      <c r="L944" s="23"/>
      <c r="M944" s="26"/>
      <c r="N944" s="26"/>
      <c r="O944" s="26"/>
      <c r="P944" s="26"/>
      <c r="Q944" s="26"/>
      <c r="R944" s="26"/>
      <c r="S944" s="26"/>
      <c r="T944" s="26"/>
      <c r="U944" s="26"/>
      <c r="V944" s="26"/>
      <c r="W944" s="26"/>
      <c r="X944" s="26"/>
    </row>
    <row r="945" hidden="1">
      <c r="A945" s="10" t="s">
        <v>427</v>
      </c>
      <c r="B945" s="10" t="s">
        <v>3055</v>
      </c>
      <c r="C945" s="27" t="s">
        <v>3056</v>
      </c>
      <c r="D945" s="10" t="s">
        <v>3057</v>
      </c>
      <c r="E945" s="28" t="s">
        <v>431</v>
      </c>
      <c r="F945" s="23" t="s">
        <v>933</v>
      </c>
      <c r="G945" s="23" t="s">
        <v>203</v>
      </c>
      <c r="H945" s="23" t="s">
        <v>222</v>
      </c>
      <c r="I945" s="32"/>
      <c r="J945" s="23" t="s">
        <v>6</v>
      </c>
      <c r="K945" s="23" t="str">
        <f t="shared" si="1"/>
        <v>672854</v>
      </c>
      <c r="L945" s="23"/>
      <c r="M945" s="26"/>
      <c r="N945" s="26"/>
      <c r="O945" s="26"/>
      <c r="P945" s="26"/>
      <c r="Q945" s="26"/>
      <c r="R945" s="26"/>
      <c r="S945" s="26"/>
      <c r="T945" s="26"/>
      <c r="U945" s="26"/>
      <c r="V945" s="26"/>
      <c r="W945" s="26"/>
      <c r="X945" s="26"/>
    </row>
    <row r="946" hidden="1">
      <c r="A946" s="10" t="s">
        <v>427</v>
      </c>
      <c r="B946" s="10" t="s">
        <v>3058</v>
      </c>
      <c r="C946" s="27" t="s">
        <v>3059</v>
      </c>
      <c r="D946" s="10" t="s">
        <v>3060</v>
      </c>
      <c r="E946" s="28" t="s">
        <v>431</v>
      </c>
      <c r="F946" s="23" t="s">
        <v>1231</v>
      </c>
      <c r="G946" s="23" t="s">
        <v>203</v>
      </c>
      <c r="H946" s="23" t="s">
        <v>222</v>
      </c>
      <c r="I946" s="32"/>
      <c r="J946" s="23" t="s">
        <v>6</v>
      </c>
      <c r="K946" s="23" t="str">
        <f t="shared" si="1"/>
        <v>678078</v>
      </c>
      <c r="L946" s="23"/>
      <c r="M946" s="26"/>
      <c r="N946" s="26"/>
      <c r="O946" s="26"/>
      <c r="P946" s="26"/>
      <c r="Q946" s="26"/>
      <c r="R946" s="26"/>
      <c r="S946" s="26"/>
      <c r="T946" s="26"/>
      <c r="U946" s="26"/>
      <c r="V946" s="26"/>
      <c r="W946" s="26"/>
      <c r="X946" s="26"/>
    </row>
    <row r="947" hidden="1">
      <c r="A947" s="10" t="s">
        <v>427</v>
      </c>
      <c r="B947" s="10" t="s">
        <v>3061</v>
      </c>
      <c r="C947" s="27" t="s">
        <v>3062</v>
      </c>
      <c r="D947" s="10" t="s">
        <v>3063</v>
      </c>
      <c r="E947" s="28" t="s">
        <v>431</v>
      </c>
      <c r="F947" s="23" t="s">
        <v>1053</v>
      </c>
      <c r="G947" s="23" t="s">
        <v>203</v>
      </c>
      <c r="H947" s="23" t="s">
        <v>222</v>
      </c>
      <c r="I947" s="32"/>
      <c r="J947" s="23" t="s">
        <v>6</v>
      </c>
      <c r="K947" s="23" t="str">
        <f t="shared" si="1"/>
        <v>670331</v>
      </c>
      <c r="L947" s="23"/>
      <c r="M947" s="26"/>
      <c r="N947" s="26"/>
      <c r="O947" s="26"/>
      <c r="P947" s="26"/>
      <c r="Q947" s="26"/>
      <c r="R947" s="26"/>
      <c r="S947" s="26"/>
      <c r="T947" s="26"/>
      <c r="U947" s="26"/>
      <c r="V947" s="26"/>
      <c r="W947" s="26"/>
      <c r="X947" s="26"/>
    </row>
    <row r="948" hidden="1">
      <c r="A948" s="10" t="s">
        <v>414</v>
      </c>
      <c r="B948" s="10" t="s">
        <v>3064</v>
      </c>
      <c r="C948" s="27" t="s">
        <v>3065</v>
      </c>
      <c r="D948" s="10" t="s">
        <v>3066</v>
      </c>
      <c r="E948" s="28" t="s">
        <v>418</v>
      </c>
      <c r="F948" s="23" t="s">
        <v>419</v>
      </c>
      <c r="G948" s="23" t="s">
        <v>521</v>
      </c>
      <c r="H948" s="23" t="s">
        <v>222</v>
      </c>
      <c r="I948" s="32"/>
      <c r="J948" s="23" t="s">
        <v>6</v>
      </c>
      <c r="K948" s="23" t="str">
        <f t="shared" si="1"/>
        <v>629711P</v>
      </c>
      <c r="L948" s="23"/>
      <c r="M948" s="26"/>
      <c r="N948" s="26"/>
      <c r="O948" s="26"/>
      <c r="P948" s="26"/>
      <c r="Q948" s="26"/>
      <c r="R948" s="26"/>
      <c r="S948" s="26"/>
      <c r="T948" s="26"/>
      <c r="U948" s="26"/>
      <c r="V948" s="26"/>
      <c r="W948" s="26"/>
      <c r="X948" s="26"/>
    </row>
    <row r="949" hidden="1">
      <c r="A949" s="10" t="s">
        <v>190</v>
      </c>
      <c r="B949" s="10" t="s">
        <v>3067</v>
      </c>
      <c r="C949" s="27" t="s">
        <v>3068</v>
      </c>
      <c r="D949" s="10" t="s">
        <v>3069</v>
      </c>
      <c r="E949" s="28" t="s">
        <v>194</v>
      </c>
      <c r="F949" s="23" t="s">
        <v>195</v>
      </c>
      <c r="G949" s="23" t="s">
        <v>203</v>
      </c>
      <c r="H949" s="23" t="s">
        <v>349</v>
      </c>
      <c r="I949" s="23" t="s">
        <v>423</v>
      </c>
      <c r="J949" s="23" t="s">
        <v>6</v>
      </c>
      <c r="K949" s="23" t="str">
        <f t="shared" si="1"/>
        <v>684086</v>
      </c>
      <c r="L949" s="23"/>
      <c r="M949" s="26"/>
      <c r="N949" s="26"/>
      <c r="O949" s="26"/>
      <c r="P949" s="26"/>
      <c r="Q949" s="26"/>
      <c r="R949" s="26"/>
      <c r="S949" s="26"/>
      <c r="T949" s="26"/>
      <c r="U949" s="26"/>
      <c r="V949" s="26"/>
      <c r="W949" s="26"/>
      <c r="X949" s="26"/>
    </row>
    <row r="950" hidden="1">
      <c r="A950" s="10" t="s">
        <v>190</v>
      </c>
      <c r="B950" s="10" t="s">
        <v>3070</v>
      </c>
      <c r="C950" s="27" t="s">
        <v>3071</v>
      </c>
      <c r="D950" s="10" t="s">
        <v>3072</v>
      </c>
      <c r="E950" s="28" t="s">
        <v>194</v>
      </c>
      <c r="F950" s="23" t="s">
        <v>195</v>
      </c>
      <c r="G950" s="23" t="s">
        <v>203</v>
      </c>
      <c r="H950" s="23" t="s">
        <v>349</v>
      </c>
      <c r="I950" s="23" t="s">
        <v>423</v>
      </c>
      <c r="J950" s="23" t="s">
        <v>198</v>
      </c>
      <c r="K950" s="23" t="str">
        <f t="shared" si="1"/>
        <v>691855</v>
      </c>
      <c r="L950" s="23"/>
      <c r="M950" s="26"/>
      <c r="N950" s="26"/>
      <c r="O950" s="26"/>
      <c r="P950" s="26"/>
      <c r="Q950" s="26"/>
      <c r="R950" s="26"/>
      <c r="S950" s="26"/>
      <c r="T950" s="26"/>
      <c r="U950" s="26"/>
      <c r="V950" s="26"/>
      <c r="W950" s="26"/>
      <c r="X950" s="26"/>
    </row>
    <row r="951" hidden="1">
      <c r="A951" s="10" t="s">
        <v>190</v>
      </c>
      <c r="B951" s="10" t="s">
        <v>3073</v>
      </c>
      <c r="C951" s="27" t="s">
        <v>3074</v>
      </c>
      <c r="D951" s="10" t="s">
        <v>3075</v>
      </c>
      <c r="E951" s="28" t="s">
        <v>194</v>
      </c>
      <c r="F951" s="23" t="s">
        <v>195</v>
      </c>
      <c r="G951" s="23" t="s">
        <v>203</v>
      </c>
      <c r="H951" s="23" t="s">
        <v>349</v>
      </c>
      <c r="I951" s="23" t="s">
        <v>223</v>
      </c>
      <c r="J951" s="23" t="s">
        <v>238</v>
      </c>
      <c r="K951" s="23" t="str">
        <f t="shared" si="1"/>
        <v>634142</v>
      </c>
      <c r="L951" s="23"/>
      <c r="M951" s="26"/>
      <c r="N951" s="26"/>
      <c r="O951" s="26"/>
      <c r="P951" s="26"/>
      <c r="Q951" s="26"/>
      <c r="R951" s="26"/>
      <c r="S951" s="26"/>
      <c r="T951" s="26"/>
      <c r="U951" s="26"/>
      <c r="V951" s="26"/>
      <c r="W951" s="26"/>
      <c r="X951" s="26"/>
    </row>
    <row r="952" hidden="1">
      <c r="A952" s="10" t="s">
        <v>190</v>
      </c>
      <c r="B952" s="10" t="s">
        <v>3076</v>
      </c>
      <c r="C952" s="27" t="s">
        <v>3077</v>
      </c>
      <c r="D952" s="10" t="s">
        <v>3078</v>
      </c>
      <c r="E952" s="28" t="s">
        <v>194</v>
      </c>
      <c r="F952" s="23" t="s">
        <v>195</v>
      </c>
      <c r="G952" s="23" t="s">
        <v>203</v>
      </c>
      <c r="H952" s="23" t="s">
        <v>349</v>
      </c>
      <c r="I952" s="23" t="s">
        <v>223</v>
      </c>
      <c r="J952" s="23" t="s">
        <v>238</v>
      </c>
      <c r="K952" s="23" t="str">
        <f t="shared" si="1"/>
        <v>643250</v>
      </c>
      <c r="L952" s="23"/>
      <c r="M952" s="26"/>
      <c r="N952" s="26"/>
      <c r="O952" s="26"/>
      <c r="P952" s="26"/>
      <c r="Q952" s="26"/>
      <c r="R952" s="26"/>
      <c r="S952" s="26"/>
      <c r="T952" s="26"/>
      <c r="U952" s="26"/>
      <c r="V952" s="26"/>
      <c r="W952" s="26"/>
      <c r="X952" s="26"/>
    </row>
    <row r="953" hidden="1">
      <c r="A953" s="10" t="s">
        <v>190</v>
      </c>
      <c r="B953" s="10" t="s">
        <v>3079</v>
      </c>
      <c r="C953" s="27" t="s">
        <v>3080</v>
      </c>
      <c r="D953" s="10" t="s">
        <v>3081</v>
      </c>
      <c r="E953" s="28" t="s">
        <v>194</v>
      </c>
      <c r="F953" s="23" t="s">
        <v>195</v>
      </c>
      <c r="G953" s="23" t="s">
        <v>203</v>
      </c>
      <c r="H953" s="23" t="s">
        <v>349</v>
      </c>
      <c r="I953" s="23" t="s">
        <v>766</v>
      </c>
      <c r="J953" s="23" t="s">
        <v>198</v>
      </c>
      <c r="K953" s="23" t="str">
        <f t="shared" si="1"/>
        <v>684079</v>
      </c>
      <c r="L953" s="23"/>
      <c r="M953" s="26"/>
      <c r="N953" s="26"/>
      <c r="O953" s="26"/>
      <c r="P953" s="26"/>
      <c r="Q953" s="26"/>
      <c r="R953" s="26"/>
      <c r="S953" s="26"/>
      <c r="T953" s="26"/>
      <c r="U953" s="26"/>
      <c r="V953" s="26"/>
      <c r="W953" s="26"/>
      <c r="X953" s="26"/>
    </row>
    <row r="954" hidden="1">
      <c r="A954" s="10" t="s">
        <v>190</v>
      </c>
      <c r="B954" s="10" t="s">
        <v>3082</v>
      </c>
      <c r="C954" s="27" t="s">
        <v>3083</v>
      </c>
      <c r="D954" s="10" t="s">
        <v>3084</v>
      </c>
      <c r="E954" s="28" t="s">
        <v>194</v>
      </c>
      <c r="F954" s="23" t="s">
        <v>195</v>
      </c>
      <c r="G954" s="23" t="s">
        <v>203</v>
      </c>
      <c r="H954" s="23" t="s">
        <v>349</v>
      </c>
      <c r="I954" s="23" t="s">
        <v>423</v>
      </c>
      <c r="J954" s="23" t="s">
        <v>229</v>
      </c>
      <c r="K954" s="23" t="str">
        <f t="shared" si="1"/>
        <v>684147</v>
      </c>
      <c r="L954" s="23"/>
      <c r="M954" s="26"/>
      <c r="N954" s="26"/>
      <c r="O954" s="26"/>
      <c r="P954" s="26"/>
      <c r="Q954" s="26"/>
      <c r="R954" s="26"/>
      <c r="S954" s="26"/>
      <c r="T954" s="26"/>
      <c r="U954" s="26"/>
      <c r="V954" s="26"/>
      <c r="W954" s="26"/>
      <c r="X954" s="26"/>
    </row>
    <row r="955" hidden="1">
      <c r="A955" s="10" t="s">
        <v>190</v>
      </c>
      <c r="B955" s="10" t="s">
        <v>3085</v>
      </c>
      <c r="C955" s="27" t="s">
        <v>3086</v>
      </c>
      <c r="D955" s="10" t="s">
        <v>3087</v>
      </c>
      <c r="E955" s="28" t="s">
        <v>194</v>
      </c>
      <c r="F955" s="23" t="s">
        <v>195</v>
      </c>
      <c r="G955" s="23" t="s">
        <v>203</v>
      </c>
      <c r="H955" s="23" t="s">
        <v>349</v>
      </c>
      <c r="I955" s="23" t="s">
        <v>223</v>
      </c>
      <c r="J955" s="23" t="s">
        <v>198</v>
      </c>
      <c r="K955" s="23" t="str">
        <f t="shared" si="1"/>
        <v>687704</v>
      </c>
      <c r="L955" s="23"/>
      <c r="M955" s="26"/>
      <c r="N955" s="26"/>
      <c r="O955" s="26"/>
      <c r="P955" s="26"/>
      <c r="Q955" s="26"/>
      <c r="R955" s="26"/>
      <c r="S955" s="26"/>
      <c r="T955" s="26"/>
      <c r="U955" s="26"/>
      <c r="V955" s="26"/>
      <c r="W955" s="26"/>
      <c r="X955" s="26"/>
    </row>
    <row r="956" hidden="1">
      <c r="A956" s="10" t="s">
        <v>499</v>
      </c>
      <c r="B956" s="10" t="s">
        <v>3088</v>
      </c>
      <c r="C956" s="27" t="s">
        <v>3089</v>
      </c>
      <c r="D956" s="10" t="s">
        <v>3090</v>
      </c>
      <c r="E956" s="28" t="s">
        <v>194</v>
      </c>
      <c r="F956" s="23" t="s">
        <v>195</v>
      </c>
      <c r="G956" s="23" t="s">
        <v>203</v>
      </c>
      <c r="H956" s="23" t="s">
        <v>349</v>
      </c>
      <c r="I956" s="32"/>
      <c r="J956" s="23" t="s">
        <v>6</v>
      </c>
      <c r="K956" s="23" t="str">
        <f t="shared" si="1"/>
        <v>628158</v>
      </c>
      <c r="L956" s="23"/>
      <c r="M956" s="26"/>
      <c r="N956" s="26"/>
      <c r="O956" s="26"/>
      <c r="P956" s="26"/>
      <c r="Q956" s="26"/>
      <c r="R956" s="26"/>
      <c r="S956" s="26"/>
      <c r="T956" s="26"/>
      <c r="U956" s="26"/>
      <c r="V956" s="26"/>
      <c r="W956" s="26"/>
      <c r="X956" s="26"/>
    </row>
    <row r="957" hidden="1">
      <c r="A957" s="10" t="s">
        <v>499</v>
      </c>
      <c r="B957" s="10" t="s">
        <v>3091</v>
      </c>
      <c r="C957" s="27" t="s">
        <v>3092</v>
      </c>
      <c r="D957" s="10" t="s">
        <v>3093</v>
      </c>
      <c r="E957" s="28" t="s">
        <v>194</v>
      </c>
      <c r="F957" s="23" t="s">
        <v>195</v>
      </c>
      <c r="G957" s="23" t="s">
        <v>203</v>
      </c>
      <c r="H957" s="23" t="s">
        <v>349</v>
      </c>
      <c r="I957" s="23" t="s">
        <v>766</v>
      </c>
      <c r="J957" s="23" t="s">
        <v>6</v>
      </c>
      <c r="K957" s="23" t="str">
        <f t="shared" si="1"/>
        <v>633480</v>
      </c>
      <c r="L957" s="23"/>
      <c r="M957" s="26"/>
      <c r="N957" s="26"/>
      <c r="O957" s="26"/>
      <c r="P957" s="26"/>
      <c r="Q957" s="26"/>
      <c r="R957" s="26"/>
      <c r="S957" s="26"/>
      <c r="T957" s="26"/>
      <c r="U957" s="26"/>
      <c r="V957" s="26"/>
      <c r="W957" s="26"/>
      <c r="X957" s="26"/>
    </row>
    <row r="958" hidden="1">
      <c r="A958" s="10" t="s">
        <v>499</v>
      </c>
      <c r="B958" s="10" t="s">
        <v>3094</v>
      </c>
      <c r="C958" s="27" t="s">
        <v>3095</v>
      </c>
      <c r="D958" s="10" t="s">
        <v>3096</v>
      </c>
      <c r="E958" s="28" t="s">
        <v>194</v>
      </c>
      <c r="F958" s="23" t="s">
        <v>195</v>
      </c>
      <c r="G958" s="23" t="s">
        <v>203</v>
      </c>
      <c r="H958" s="23" t="s">
        <v>349</v>
      </c>
      <c r="I958" s="32"/>
      <c r="J958" s="23" t="s">
        <v>6</v>
      </c>
      <c r="K958" s="23" t="str">
        <f t="shared" si="1"/>
        <v>659459</v>
      </c>
      <c r="L958" s="23"/>
      <c r="M958" s="26"/>
      <c r="N958" s="26"/>
      <c r="O958" s="26"/>
      <c r="P958" s="26"/>
      <c r="Q958" s="26"/>
      <c r="R958" s="26"/>
      <c r="S958" s="26"/>
      <c r="T958" s="26"/>
      <c r="U958" s="26"/>
      <c r="V958" s="26"/>
      <c r="W958" s="26"/>
      <c r="X958" s="26"/>
    </row>
    <row r="959" hidden="1">
      <c r="A959" s="10" t="s">
        <v>499</v>
      </c>
      <c r="B959" s="10" t="s">
        <v>3097</v>
      </c>
      <c r="C959" s="27" t="s">
        <v>3098</v>
      </c>
      <c r="D959" s="10" t="s">
        <v>3099</v>
      </c>
      <c r="E959" s="28" t="s">
        <v>194</v>
      </c>
      <c r="F959" s="23" t="s">
        <v>195</v>
      </c>
      <c r="G959" s="23" t="s">
        <v>203</v>
      </c>
      <c r="H959" s="23" t="s">
        <v>349</v>
      </c>
      <c r="I959" s="32"/>
      <c r="J959" s="23" t="s">
        <v>6</v>
      </c>
      <c r="K959" s="23" t="str">
        <f t="shared" si="1"/>
        <v>659435</v>
      </c>
      <c r="L959" s="23"/>
      <c r="M959" s="26"/>
      <c r="N959" s="26"/>
      <c r="O959" s="26"/>
      <c r="P959" s="26"/>
      <c r="Q959" s="26"/>
      <c r="R959" s="26"/>
      <c r="S959" s="26"/>
      <c r="T959" s="26"/>
      <c r="U959" s="26"/>
      <c r="V959" s="26"/>
      <c r="W959" s="26"/>
      <c r="X959" s="26"/>
    </row>
    <row r="960" hidden="1">
      <c r="A960" s="10" t="s">
        <v>499</v>
      </c>
      <c r="B960" s="10" t="s">
        <v>3100</v>
      </c>
      <c r="C960" s="27" t="s">
        <v>3101</v>
      </c>
      <c r="D960" s="10" t="s">
        <v>3102</v>
      </c>
      <c r="E960" s="28" t="s">
        <v>194</v>
      </c>
      <c r="F960" s="23" t="s">
        <v>195</v>
      </c>
      <c r="G960" s="23" t="s">
        <v>203</v>
      </c>
      <c r="H960" s="23" t="s">
        <v>349</v>
      </c>
      <c r="I960" s="32"/>
      <c r="J960" s="23" t="s">
        <v>6</v>
      </c>
      <c r="K960" s="23" t="str">
        <f t="shared" si="1"/>
        <v>662350</v>
      </c>
      <c r="L960" s="23"/>
      <c r="M960" s="26"/>
      <c r="N960" s="26"/>
      <c r="O960" s="26"/>
      <c r="P960" s="26"/>
      <c r="Q960" s="26"/>
      <c r="R960" s="26"/>
      <c r="S960" s="26"/>
      <c r="T960" s="26"/>
      <c r="U960" s="26"/>
      <c r="V960" s="26"/>
      <c r="W960" s="26"/>
      <c r="X960" s="26"/>
    </row>
    <row r="961" hidden="1">
      <c r="A961" s="10" t="s">
        <v>499</v>
      </c>
      <c r="B961" s="10" t="s">
        <v>3103</v>
      </c>
      <c r="C961" s="27" t="s">
        <v>3104</v>
      </c>
      <c r="D961" s="10" t="s">
        <v>3105</v>
      </c>
      <c r="E961" s="28" t="s">
        <v>194</v>
      </c>
      <c r="F961" s="23" t="s">
        <v>195</v>
      </c>
      <c r="G961" s="23" t="s">
        <v>203</v>
      </c>
      <c r="H961" s="23" t="s">
        <v>349</v>
      </c>
      <c r="I961" s="32"/>
      <c r="J961" s="23" t="s">
        <v>6</v>
      </c>
      <c r="K961" s="23" t="str">
        <f t="shared" si="1"/>
        <v>690896</v>
      </c>
      <c r="L961" s="23"/>
      <c r="M961" s="26"/>
      <c r="N961" s="26"/>
      <c r="O961" s="26"/>
      <c r="P961" s="26"/>
      <c r="Q961" s="26"/>
      <c r="R961" s="26"/>
      <c r="S961" s="26"/>
      <c r="T961" s="26"/>
      <c r="U961" s="26"/>
      <c r="V961" s="26"/>
      <c r="W961" s="26"/>
      <c r="X961" s="26"/>
    </row>
    <row r="962" hidden="1">
      <c r="A962" s="10" t="s">
        <v>499</v>
      </c>
      <c r="B962" s="10" t="s">
        <v>3106</v>
      </c>
      <c r="C962" s="27" t="s">
        <v>3107</v>
      </c>
      <c r="D962" s="10" t="s">
        <v>3108</v>
      </c>
      <c r="E962" s="28" t="s">
        <v>194</v>
      </c>
      <c r="F962" s="23" t="s">
        <v>195</v>
      </c>
      <c r="G962" s="23" t="s">
        <v>203</v>
      </c>
      <c r="H962" s="23" t="s">
        <v>349</v>
      </c>
      <c r="I962" s="32"/>
      <c r="J962" s="23" t="s">
        <v>6</v>
      </c>
      <c r="K962" s="23" t="str">
        <f t="shared" si="1"/>
        <v>628172</v>
      </c>
      <c r="L962" s="23"/>
      <c r="M962" s="26"/>
      <c r="N962" s="26"/>
      <c r="O962" s="26"/>
      <c r="P962" s="26"/>
      <c r="Q962" s="26"/>
      <c r="R962" s="26"/>
      <c r="S962" s="26"/>
      <c r="T962" s="26"/>
      <c r="U962" s="26"/>
      <c r="V962" s="26"/>
      <c r="W962" s="26"/>
      <c r="X962" s="26"/>
    </row>
    <row r="963" hidden="1">
      <c r="A963" s="10" t="s">
        <v>499</v>
      </c>
      <c r="B963" s="10" t="s">
        <v>3109</v>
      </c>
      <c r="C963" s="27" t="s">
        <v>3110</v>
      </c>
      <c r="D963" s="10" t="s">
        <v>3111</v>
      </c>
      <c r="E963" s="28" t="s">
        <v>194</v>
      </c>
      <c r="F963" s="23" t="s">
        <v>195</v>
      </c>
      <c r="G963" s="23" t="s">
        <v>203</v>
      </c>
      <c r="H963" s="23" t="s">
        <v>349</v>
      </c>
      <c r="I963" s="23" t="s">
        <v>423</v>
      </c>
      <c r="J963" s="23" t="s">
        <v>6</v>
      </c>
      <c r="K963" s="23" t="str">
        <f t="shared" si="1"/>
        <v>686943</v>
      </c>
      <c r="L963" s="23"/>
      <c r="M963" s="26"/>
      <c r="N963" s="26"/>
      <c r="O963" s="26"/>
      <c r="P963" s="26"/>
      <c r="Q963" s="26"/>
      <c r="R963" s="26"/>
      <c r="S963" s="26"/>
      <c r="T963" s="26"/>
      <c r="U963" s="26"/>
      <c r="V963" s="26"/>
      <c r="W963" s="26"/>
      <c r="X963" s="26"/>
    </row>
    <row r="964" hidden="1">
      <c r="A964" s="10" t="s">
        <v>499</v>
      </c>
      <c r="B964" s="10" t="s">
        <v>3112</v>
      </c>
      <c r="C964" s="27" t="s">
        <v>3113</v>
      </c>
      <c r="D964" s="10" t="s">
        <v>3114</v>
      </c>
      <c r="E964" s="28" t="s">
        <v>194</v>
      </c>
      <c r="F964" s="23" t="s">
        <v>195</v>
      </c>
      <c r="G964" s="23" t="s">
        <v>203</v>
      </c>
      <c r="H964" s="23" t="s">
        <v>349</v>
      </c>
      <c r="I964" s="32"/>
      <c r="J964" s="23" t="s">
        <v>6</v>
      </c>
      <c r="K964" s="23" t="str">
        <f t="shared" si="1"/>
        <v>681351</v>
      </c>
      <c r="L964" s="23"/>
      <c r="M964" s="26"/>
      <c r="N964" s="26"/>
      <c r="O964" s="26"/>
      <c r="P964" s="26"/>
      <c r="Q964" s="26"/>
      <c r="R964" s="26"/>
      <c r="S964" s="26"/>
      <c r="T964" s="26"/>
      <c r="U964" s="26"/>
      <c r="V964" s="26"/>
      <c r="W964" s="26"/>
      <c r="X964" s="26"/>
    </row>
    <row r="965" hidden="1">
      <c r="A965" s="10" t="s">
        <v>499</v>
      </c>
      <c r="B965" s="10" t="s">
        <v>3115</v>
      </c>
      <c r="C965" s="27" t="s">
        <v>3116</v>
      </c>
      <c r="D965" s="10" t="s">
        <v>3117</v>
      </c>
      <c r="E965" s="28" t="s">
        <v>194</v>
      </c>
      <c r="F965" s="23" t="s">
        <v>195</v>
      </c>
      <c r="G965" s="23" t="s">
        <v>203</v>
      </c>
      <c r="H965" s="23" t="s">
        <v>349</v>
      </c>
      <c r="I965" s="32"/>
      <c r="J965" s="23" t="s">
        <v>6</v>
      </c>
      <c r="K965" s="23" t="str">
        <f t="shared" si="1"/>
        <v>687698</v>
      </c>
      <c r="L965" s="23"/>
      <c r="M965" s="26"/>
      <c r="N965" s="26"/>
      <c r="O965" s="26"/>
      <c r="P965" s="26"/>
      <c r="Q965" s="26"/>
      <c r="R965" s="26"/>
      <c r="S965" s="26"/>
      <c r="T965" s="26"/>
      <c r="U965" s="26"/>
      <c r="V965" s="26"/>
      <c r="W965" s="26"/>
      <c r="X965" s="26"/>
    </row>
    <row r="966" hidden="1">
      <c r="A966" s="10" t="s">
        <v>499</v>
      </c>
      <c r="B966" s="10" t="s">
        <v>3118</v>
      </c>
      <c r="C966" s="27" t="s">
        <v>3119</v>
      </c>
      <c r="D966" s="10" t="s">
        <v>3120</v>
      </c>
      <c r="E966" s="28" t="s">
        <v>194</v>
      </c>
      <c r="F966" s="23" t="s">
        <v>195</v>
      </c>
      <c r="G966" s="23" t="s">
        <v>203</v>
      </c>
      <c r="H966" s="23" t="s">
        <v>349</v>
      </c>
      <c r="I966" s="23" t="s">
        <v>2361</v>
      </c>
      <c r="J966" s="23" t="s">
        <v>6</v>
      </c>
      <c r="K966" s="23" t="str">
        <f t="shared" si="1"/>
        <v>687636</v>
      </c>
      <c r="L966" s="23"/>
      <c r="M966" s="26"/>
      <c r="N966" s="26"/>
      <c r="O966" s="26"/>
      <c r="P966" s="26"/>
      <c r="Q966" s="26"/>
      <c r="R966" s="26"/>
      <c r="S966" s="26"/>
      <c r="T966" s="26"/>
      <c r="U966" s="26"/>
      <c r="V966" s="26"/>
      <c r="W966" s="26"/>
      <c r="X966" s="26"/>
    </row>
    <row r="967" hidden="1">
      <c r="A967" s="10" t="s">
        <v>499</v>
      </c>
      <c r="B967" s="10" t="s">
        <v>3121</v>
      </c>
      <c r="C967" s="27" t="s">
        <v>3122</v>
      </c>
      <c r="D967" s="10" t="s">
        <v>3123</v>
      </c>
      <c r="E967" s="28" t="s">
        <v>194</v>
      </c>
      <c r="F967" s="23" t="s">
        <v>195</v>
      </c>
      <c r="G967" s="23" t="s">
        <v>203</v>
      </c>
      <c r="H967" s="23" t="s">
        <v>349</v>
      </c>
      <c r="I967" s="23" t="s">
        <v>2361</v>
      </c>
      <c r="J967" s="23" t="s">
        <v>6</v>
      </c>
      <c r="K967" s="23" t="str">
        <f t="shared" si="1"/>
        <v>660349</v>
      </c>
      <c r="L967" s="23"/>
      <c r="M967" s="26"/>
      <c r="N967" s="26"/>
      <c r="O967" s="26"/>
      <c r="P967" s="26"/>
      <c r="Q967" s="26"/>
      <c r="R967" s="26"/>
      <c r="S967" s="26"/>
      <c r="T967" s="26"/>
      <c r="U967" s="26"/>
      <c r="V967" s="26"/>
      <c r="W967" s="26"/>
      <c r="X967" s="26"/>
    </row>
    <row r="968" hidden="1">
      <c r="A968" s="10" t="s">
        <v>499</v>
      </c>
      <c r="B968" s="10" t="s">
        <v>3124</v>
      </c>
      <c r="C968" s="27" t="s">
        <v>3125</v>
      </c>
      <c r="D968" s="10" t="s">
        <v>3126</v>
      </c>
      <c r="E968" s="28" t="s">
        <v>194</v>
      </c>
      <c r="F968" s="23" t="s">
        <v>835</v>
      </c>
      <c r="G968" s="23" t="s">
        <v>203</v>
      </c>
      <c r="H968" s="23" t="s">
        <v>349</v>
      </c>
      <c r="I968" s="32"/>
      <c r="J968" s="23" t="s">
        <v>6</v>
      </c>
      <c r="K968" s="23" t="str">
        <f t="shared" si="1"/>
        <v>683966</v>
      </c>
      <c r="L968" s="23"/>
      <c r="M968" s="26"/>
      <c r="N968" s="26"/>
      <c r="O968" s="26"/>
      <c r="P968" s="26"/>
      <c r="Q968" s="26"/>
      <c r="R968" s="26"/>
      <c r="S968" s="26"/>
      <c r="T968" s="26"/>
      <c r="U968" s="26"/>
      <c r="V968" s="26"/>
      <c r="W968" s="26"/>
      <c r="X968" s="26"/>
    </row>
    <row r="969" hidden="1">
      <c r="A969" s="10" t="s">
        <v>499</v>
      </c>
      <c r="B969" s="10" t="s">
        <v>3127</v>
      </c>
      <c r="C969" s="27" t="s">
        <v>3128</v>
      </c>
      <c r="D969" s="10" t="s">
        <v>3129</v>
      </c>
      <c r="E969" s="28" t="s">
        <v>194</v>
      </c>
      <c r="F969" s="23" t="s">
        <v>195</v>
      </c>
      <c r="G969" s="23" t="s">
        <v>203</v>
      </c>
      <c r="H969" s="23" t="s">
        <v>349</v>
      </c>
      <c r="I969" s="32"/>
      <c r="J969" s="23" t="s">
        <v>6</v>
      </c>
      <c r="K969" s="23" t="str">
        <f t="shared" si="1"/>
        <v>690865</v>
      </c>
      <c r="L969" s="23"/>
      <c r="M969" s="26"/>
      <c r="N969" s="26"/>
      <c r="O969" s="26"/>
      <c r="P969" s="26"/>
      <c r="Q969" s="26"/>
      <c r="R969" s="26"/>
      <c r="S969" s="26"/>
      <c r="T969" s="26"/>
      <c r="U969" s="26"/>
      <c r="V969" s="26"/>
      <c r="W969" s="26"/>
      <c r="X969" s="26"/>
    </row>
    <row r="970" hidden="1">
      <c r="A970" s="10" t="s">
        <v>427</v>
      </c>
      <c r="B970" s="10" t="s">
        <v>3130</v>
      </c>
      <c r="C970" s="27" t="s">
        <v>3131</v>
      </c>
      <c r="D970" s="10" t="s">
        <v>3132</v>
      </c>
      <c r="E970" s="28" t="s">
        <v>534</v>
      </c>
      <c r="F970" s="23" t="s">
        <v>757</v>
      </c>
      <c r="G970" s="23" t="s">
        <v>203</v>
      </c>
      <c r="H970" s="23" t="s">
        <v>349</v>
      </c>
      <c r="I970" s="32"/>
      <c r="J970" s="23" t="s">
        <v>6</v>
      </c>
      <c r="K970" s="23" t="str">
        <f t="shared" si="1"/>
        <v>678955</v>
      </c>
      <c r="L970" s="23"/>
      <c r="M970" s="26"/>
      <c r="N970" s="26"/>
      <c r="O970" s="26"/>
      <c r="P970" s="26"/>
      <c r="Q970" s="26"/>
      <c r="R970" s="26"/>
      <c r="S970" s="26"/>
      <c r="T970" s="26"/>
      <c r="U970" s="26"/>
      <c r="V970" s="26"/>
      <c r="W970" s="26"/>
      <c r="X970" s="26"/>
    </row>
    <row r="971" hidden="1">
      <c r="A971" s="10" t="s">
        <v>427</v>
      </c>
      <c r="B971" s="10" t="s">
        <v>3133</v>
      </c>
      <c r="C971" s="27" t="s">
        <v>3134</v>
      </c>
      <c r="D971" s="10" t="s">
        <v>3135</v>
      </c>
      <c r="E971" s="28" t="s">
        <v>1047</v>
      </c>
      <c r="F971" s="23" t="s">
        <v>1848</v>
      </c>
      <c r="G971" s="23" t="s">
        <v>203</v>
      </c>
      <c r="H971" s="23" t="s">
        <v>349</v>
      </c>
      <c r="I971" s="32"/>
      <c r="J971" s="23" t="s">
        <v>6</v>
      </c>
      <c r="K971" s="23" t="str">
        <f t="shared" si="1"/>
        <v>673059</v>
      </c>
      <c r="L971" s="23"/>
      <c r="M971" s="26"/>
      <c r="N971" s="26"/>
      <c r="O971" s="26"/>
      <c r="P971" s="26"/>
      <c r="Q971" s="26"/>
      <c r="R971" s="26"/>
      <c r="S971" s="26"/>
      <c r="T971" s="26"/>
      <c r="U971" s="26"/>
      <c r="V971" s="26"/>
      <c r="W971" s="26"/>
      <c r="X971" s="26"/>
    </row>
    <row r="972" hidden="1">
      <c r="A972" s="10" t="s">
        <v>427</v>
      </c>
      <c r="B972" s="10" t="s">
        <v>3136</v>
      </c>
      <c r="C972" s="27" t="s">
        <v>3137</v>
      </c>
      <c r="D972" s="10" t="s">
        <v>3138</v>
      </c>
      <c r="E972" s="28" t="s">
        <v>418</v>
      </c>
      <c r="F972" s="23" t="s">
        <v>977</v>
      </c>
      <c r="G972" s="23" t="s">
        <v>203</v>
      </c>
      <c r="H972" s="23" t="s">
        <v>349</v>
      </c>
      <c r="I972" s="32"/>
      <c r="J972" s="23" t="s">
        <v>6</v>
      </c>
      <c r="K972" s="23" t="str">
        <f t="shared" si="1"/>
        <v>690339</v>
      </c>
      <c r="L972" s="23"/>
      <c r="M972" s="26"/>
      <c r="N972" s="26"/>
      <c r="O972" s="26"/>
      <c r="P972" s="26"/>
      <c r="Q972" s="26"/>
      <c r="R972" s="26"/>
      <c r="S972" s="26"/>
      <c r="T972" s="26"/>
      <c r="U972" s="26"/>
      <c r="V972" s="26"/>
      <c r="W972" s="26"/>
      <c r="X972" s="26"/>
    </row>
    <row r="973" hidden="1">
      <c r="A973" s="10" t="s">
        <v>427</v>
      </c>
      <c r="B973" s="10" t="s">
        <v>3139</v>
      </c>
      <c r="C973" s="27" t="s">
        <v>3140</v>
      </c>
      <c r="D973" s="10" t="s">
        <v>3141</v>
      </c>
      <c r="E973" s="28" t="s">
        <v>431</v>
      </c>
      <c r="F973" s="23" t="s">
        <v>1231</v>
      </c>
      <c r="G973" s="23" t="s">
        <v>203</v>
      </c>
      <c r="H973" s="23" t="s">
        <v>349</v>
      </c>
      <c r="I973" s="32"/>
      <c r="J973" s="23" t="s">
        <v>6</v>
      </c>
      <c r="K973" s="23" t="str">
        <f t="shared" si="1"/>
        <v>678177</v>
      </c>
      <c r="L973" s="23"/>
      <c r="M973" s="26"/>
      <c r="N973" s="26"/>
      <c r="O973" s="26"/>
      <c r="P973" s="26"/>
      <c r="Q973" s="26"/>
      <c r="R973" s="26"/>
      <c r="S973" s="26"/>
      <c r="T973" s="26"/>
      <c r="U973" s="26"/>
      <c r="V973" s="26"/>
      <c r="W973" s="26"/>
      <c r="X973" s="26"/>
    </row>
    <row r="974" hidden="1">
      <c r="A974" s="10" t="s">
        <v>427</v>
      </c>
      <c r="B974" s="10" t="s">
        <v>3142</v>
      </c>
      <c r="C974" s="27" t="s">
        <v>3143</v>
      </c>
      <c r="D974" s="10" t="s">
        <v>3144</v>
      </c>
      <c r="E974" s="28" t="s">
        <v>431</v>
      </c>
      <c r="F974" s="23" t="s">
        <v>933</v>
      </c>
      <c r="G974" s="23" t="s">
        <v>203</v>
      </c>
      <c r="H974" s="23" t="s">
        <v>349</v>
      </c>
      <c r="I974" s="32"/>
      <c r="J974" s="23" t="s">
        <v>6</v>
      </c>
      <c r="K974" s="23" t="str">
        <f t="shared" si="1"/>
        <v>678993</v>
      </c>
      <c r="L974" s="23"/>
      <c r="M974" s="26"/>
      <c r="N974" s="26"/>
      <c r="O974" s="26"/>
      <c r="P974" s="26"/>
      <c r="Q974" s="26"/>
      <c r="R974" s="26"/>
      <c r="S974" s="26"/>
      <c r="T974" s="26"/>
      <c r="U974" s="26"/>
      <c r="V974" s="26"/>
      <c r="W974" s="26"/>
      <c r="X974" s="26"/>
    </row>
    <row r="975" hidden="1">
      <c r="A975" s="10" t="s">
        <v>427</v>
      </c>
      <c r="B975" s="10" t="s">
        <v>3145</v>
      </c>
      <c r="C975" s="27" t="s">
        <v>3146</v>
      </c>
      <c r="D975" s="10" t="s">
        <v>3147</v>
      </c>
      <c r="E975" s="28" t="s">
        <v>418</v>
      </c>
      <c r="F975" s="23" t="s">
        <v>419</v>
      </c>
      <c r="G975" s="23" t="s">
        <v>203</v>
      </c>
      <c r="H975" s="23" t="s">
        <v>349</v>
      </c>
      <c r="I975" s="32"/>
      <c r="J975" s="23" t="s">
        <v>6</v>
      </c>
      <c r="K975" s="23" t="str">
        <f t="shared" si="1"/>
        <v>679006</v>
      </c>
      <c r="L975" s="23"/>
      <c r="M975" s="26"/>
      <c r="N975" s="26"/>
      <c r="O975" s="26"/>
      <c r="P975" s="26"/>
      <c r="Q975" s="26"/>
      <c r="R975" s="26"/>
      <c r="S975" s="26"/>
      <c r="T975" s="26"/>
      <c r="U975" s="26"/>
      <c r="V975" s="26"/>
      <c r="W975" s="26"/>
      <c r="X975" s="26"/>
    </row>
    <row r="976" hidden="1">
      <c r="A976" s="10" t="s">
        <v>427</v>
      </c>
      <c r="B976" s="10" t="s">
        <v>3148</v>
      </c>
      <c r="C976" s="27" t="s">
        <v>3149</v>
      </c>
      <c r="D976" s="10" t="s">
        <v>3150</v>
      </c>
      <c r="E976" s="28" t="s">
        <v>604</v>
      </c>
      <c r="F976" s="23" t="s">
        <v>605</v>
      </c>
      <c r="G976" s="23" t="s">
        <v>203</v>
      </c>
      <c r="H976" s="23" t="s">
        <v>349</v>
      </c>
      <c r="I976" s="32"/>
      <c r="J976" s="23" t="s">
        <v>6</v>
      </c>
      <c r="K976" s="23" t="str">
        <f t="shared" si="1"/>
        <v>677910</v>
      </c>
      <c r="L976" s="23"/>
      <c r="M976" s="26"/>
      <c r="N976" s="26"/>
      <c r="O976" s="26"/>
      <c r="P976" s="26"/>
      <c r="Q976" s="26"/>
      <c r="R976" s="26"/>
      <c r="S976" s="26"/>
      <c r="T976" s="26"/>
      <c r="U976" s="26"/>
      <c r="V976" s="26"/>
      <c r="W976" s="26"/>
      <c r="X976" s="26"/>
    </row>
    <row r="977" hidden="1">
      <c r="A977" s="10" t="s">
        <v>427</v>
      </c>
      <c r="B977" s="10" t="s">
        <v>3151</v>
      </c>
      <c r="C977" s="27" t="s">
        <v>3152</v>
      </c>
      <c r="D977" s="10" t="s">
        <v>3153</v>
      </c>
      <c r="E977" s="28" t="s">
        <v>431</v>
      </c>
      <c r="F977" s="23" t="s">
        <v>432</v>
      </c>
      <c r="G977" s="23" t="s">
        <v>203</v>
      </c>
      <c r="H977" s="23" t="s">
        <v>349</v>
      </c>
      <c r="I977" s="32"/>
      <c r="J977" s="23" t="s">
        <v>6</v>
      </c>
      <c r="K977" s="23" t="str">
        <f t="shared" si="1"/>
        <v>678849</v>
      </c>
      <c r="L977" s="23"/>
      <c r="M977" s="26"/>
      <c r="N977" s="26"/>
      <c r="O977" s="26"/>
      <c r="P977" s="26"/>
      <c r="Q977" s="26"/>
      <c r="R977" s="26"/>
      <c r="S977" s="26"/>
      <c r="T977" s="26"/>
      <c r="U977" s="26"/>
      <c r="V977" s="26"/>
      <c r="W977" s="26"/>
      <c r="X977" s="26"/>
    </row>
    <row r="978" hidden="1">
      <c r="A978" s="10" t="s">
        <v>427</v>
      </c>
      <c r="B978" s="10" t="s">
        <v>3154</v>
      </c>
      <c r="C978" s="27" t="s">
        <v>3155</v>
      </c>
      <c r="D978" s="10" t="s">
        <v>3156</v>
      </c>
      <c r="E978" s="28" t="s">
        <v>431</v>
      </c>
      <c r="F978" s="23" t="s">
        <v>1867</v>
      </c>
      <c r="G978" s="23" t="s">
        <v>203</v>
      </c>
      <c r="H978" s="23" t="s">
        <v>349</v>
      </c>
      <c r="I978" s="32"/>
      <c r="J978" s="23" t="s">
        <v>6</v>
      </c>
      <c r="K978" s="23" t="str">
        <f t="shared" si="1"/>
        <v>657332</v>
      </c>
      <c r="L978" s="23"/>
      <c r="M978" s="26"/>
      <c r="N978" s="26"/>
      <c r="O978" s="26"/>
      <c r="P978" s="26"/>
      <c r="Q978" s="26"/>
      <c r="R978" s="26"/>
      <c r="S978" s="26"/>
      <c r="T978" s="26"/>
      <c r="U978" s="26"/>
      <c r="V978" s="26"/>
      <c r="W978" s="26"/>
      <c r="X978" s="26"/>
    </row>
    <row r="979" hidden="1">
      <c r="A979" s="10" t="s">
        <v>427</v>
      </c>
      <c r="B979" s="10" t="s">
        <v>3157</v>
      </c>
      <c r="C979" s="27" t="s">
        <v>3158</v>
      </c>
      <c r="D979" s="10" t="s">
        <v>3159</v>
      </c>
      <c r="E979" s="28" t="s">
        <v>604</v>
      </c>
      <c r="F979" s="23" t="s">
        <v>605</v>
      </c>
      <c r="G979" s="23" t="s">
        <v>203</v>
      </c>
      <c r="H979" s="23" t="s">
        <v>349</v>
      </c>
      <c r="I979" s="32"/>
      <c r="J979" s="23" t="s">
        <v>6</v>
      </c>
      <c r="K979" s="23" t="str">
        <f t="shared" si="1"/>
        <v>680248</v>
      </c>
      <c r="L979" s="23"/>
      <c r="M979" s="26"/>
      <c r="N979" s="26"/>
      <c r="O979" s="26"/>
      <c r="P979" s="26"/>
      <c r="Q979" s="26"/>
      <c r="R979" s="26"/>
      <c r="S979" s="26"/>
      <c r="T979" s="26"/>
      <c r="U979" s="26"/>
      <c r="V979" s="26"/>
      <c r="W979" s="26"/>
      <c r="X979" s="26"/>
    </row>
    <row r="980" hidden="1">
      <c r="A980" s="10" t="s">
        <v>427</v>
      </c>
      <c r="B980" s="10" t="s">
        <v>3160</v>
      </c>
      <c r="C980" s="27" t="s">
        <v>3161</v>
      </c>
      <c r="D980" s="10" t="s">
        <v>3162</v>
      </c>
      <c r="E980" s="28" t="s">
        <v>431</v>
      </c>
      <c r="F980" s="23" t="s">
        <v>432</v>
      </c>
      <c r="G980" s="23" t="s">
        <v>203</v>
      </c>
      <c r="H980" s="23" t="s">
        <v>349</v>
      </c>
      <c r="I980" s="32"/>
      <c r="J980" s="23" t="s">
        <v>6</v>
      </c>
      <c r="K980" s="23" t="str">
        <f t="shared" si="1"/>
        <v>679228</v>
      </c>
      <c r="L980" s="23"/>
      <c r="M980" s="26"/>
      <c r="N980" s="26"/>
      <c r="O980" s="26"/>
      <c r="P980" s="26"/>
      <c r="Q980" s="26"/>
      <c r="R980" s="26"/>
      <c r="S980" s="26"/>
      <c r="T980" s="26"/>
      <c r="U980" s="26"/>
      <c r="V980" s="26"/>
      <c r="W980" s="26"/>
      <c r="X980" s="26"/>
    </row>
    <row r="981" hidden="1">
      <c r="A981" s="10" t="s">
        <v>427</v>
      </c>
      <c r="B981" s="10" t="s">
        <v>3163</v>
      </c>
      <c r="C981" s="27" t="s">
        <v>3164</v>
      </c>
      <c r="D981" s="10" t="s">
        <v>3162</v>
      </c>
      <c r="E981" s="28" t="s">
        <v>418</v>
      </c>
      <c r="F981" s="23" t="s">
        <v>419</v>
      </c>
      <c r="G981" s="23" t="s">
        <v>203</v>
      </c>
      <c r="H981" s="23" t="s">
        <v>349</v>
      </c>
      <c r="I981" s="32"/>
      <c r="J981" s="23" t="s">
        <v>6</v>
      </c>
      <c r="K981" s="23" t="str">
        <f t="shared" si="1"/>
        <v>675572</v>
      </c>
      <c r="L981" s="23"/>
      <c r="M981" s="26"/>
      <c r="N981" s="26"/>
      <c r="O981" s="26"/>
      <c r="P981" s="26"/>
      <c r="Q981" s="26"/>
      <c r="R981" s="26"/>
      <c r="S981" s="26"/>
      <c r="T981" s="26"/>
      <c r="U981" s="26"/>
      <c r="V981" s="26"/>
      <c r="W981" s="26"/>
      <c r="X981" s="26"/>
    </row>
    <row r="982" hidden="1">
      <c r="A982" s="10" t="s">
        <v>427</v>
      </c>
      <c r="B982" s="10" t="s">
        <v>3165</v>
      </c>
      <c r="C982" s="27" t="s">
        <v>3166</v>
      </c>
      <c r="D982" s="10" t="s">
        <v>3167</v>
      </c>
      <c r="E982" s="28" t="s">
        <v>418</v>
      </c>
      <c r="F982" s="23" t="s">
        <v>977</v>
      </c>
      <c r="G982" s="23" t="s">
        <v>203</v>
      </c>
      <c r="H982" s="23" t="s">
        <v>349</v>
      </c>
      <c r="I982" s="32"/>
      <c r="J982" s="23" t="s">
        <v>6</v>
      </c>
      <c r="K982" s="23" t="str">
        <f t="shared" si="1"/>
        <v>671291</v>
      </c>
      <c r="L982" s="23"/>
      <c r="M982" s="26"/>
      <c r="N982" s="26"/>
      <c r="O982" s="26"/>
      <c r="P982" s="26"/>
      <c r="Q982" s="26"/>
      <c r="R982" s="26"/>
      <c r="S982" s="26"/>
      <c r="T982" s="26"/>
      <c r="U982" s="26"/>
      <c r="V982" s="26"/>
      <c r="W982" s="26"/>
      <c r="X982" s="26"/>
    </row>
    <row r="983" hidden="1">
      <c r="A983" s="10" t="s">
        <v>427</v>
      </c>
      <c r="B983" s="10" t="s">
        <v>3168</v>
      </c>
      <c r="C983" s="27" t="s">
        <v>3169</v>
      </c>
      <c r="D983" s="10" t="s">
        <v>3170</v>
      </c>
      <c r="E983" s="28" t="s">
        <v>534</v>
      </c>
      <c r="F983" s="23" t="s">
        <v>757</v>
      </c>
      <c r="G983" s="23" t="s">
        <v>203</v>
      </c>
      <c r="H983" s="23" t="s">
        <v>349</v>
      </c>
      <c r="I983" s="32"/>
      <c r="J983" s="23" t="s">
        <v>6</v>
      </c>
      <c r="K983" s="23" t="str">
        <f t="shared" si="1"/>
        <v>643571</v>
      </c>
      <c r="L983" s="23"/>
      <c r="M983" s="26"/>
      <c r="N983" s="26"/>
      <c r="O983" s="26"/>
      <c r="P983" s="26"/>
      <c r="Q983" s="26"/>
      <c r="R983" s="26"/>
      <c r="S983" s="26"/>
      <c r="T983" s="26"/>
      <c r="U983" s="26"/>
      <c r="V983" s="26"/>
      <c r="W983" s="26"/>
      <c r="X983" s="26"/>
    </row>
    <row r="984" hidden="1">
      <c r="A984" s="10" t="s">
        <v>427</v>
      </c>
      <c r="B984" s="10" t="s">
        <v>3171</v>
      </c>
      <c r="C984" s="27" t="s">
        <v>3172</v>
      </c>
      <c r="D984" s="10" t="s">
        <v>3170</v>
      </c>
      <c r="E984" s="28" t="s">
        <v>534</v>
      </c>
      <c r="F984" s="23" t="s">
        <v>757</v>
      </c>
      <c r="G984" s="23" t="s">
        <v>203</v>
      </c>
      <c r="H984" s="23" t="s">
        <v>349</v>
      </c>
      <c r="I984" s="32"/>
      <c r="J984" s="23" t="s">
        <v>6</v>
      </c>
      <c r="K984" s="23" t="str">
        <f t="shared" si="1"/>
        <v>657844</v>
      </c>
      <c r="L984" s="23"/>
      <c r="M984" s="26"/>
      <c r="N984" s="26"/>
      <c r="O984" s="26"/>
      <c r="P984" s="26"/>
      <c r="Q984" s="26"/>
      <c r="R984" s="26"/>
      <c r="S984" s="26"/>
      <c r="T984" s="26"/>
      <c r="U984" s="26"/>
      <c r="V984" s="26"/>
      <c r="W984" s="26"/>
      <c r="X984" s="26"/>
    </row>
    <row r="985" hidden="1">
      <c r="A985" s="10" t="s">
        <v>427</v>
      </c>
      <c r="B985" s="10" t="s">
        <v>3173</v>
      </c>
      <c r="C985" s="27" t="s">
        <v>3174</v>
      </c>
      <c r="D985" s="10" t="s">
        <v>3175</v>
      </c>
      <c r="E985" s="28" t="s">
        <v>431</v>
      </c>
      <c r="F985" s="23" t="s">
        <v>1788</v>
      </c>
      <c r="G985" s="23" t="s">
        <v>203</v>
      </c>
      <c r="H985" s="23" t="s">
        <v>349</v>
      </c>
      <c r="I985" s="32"/>
      <c r="J985" s="23" t="s">
        <v>6</v>
      </c>
      <c r="K985" s="23" t="str">
        <f t="shared" si="1"/>
        <v>637181</v>
      </c>
      <c r="L985" s="23"/>
      <c r="M985" s="26"/>
      <c r="N985" s="26"/>
      <c r="O985" s="26"/>
      <c r="P985" s="26"/>
      <c r="Q985" s="26"/>
      <c r="R985" s="26"/>
      <c r="S985" s="26"/>
      <c r="T985" s="26"/>
      <c r="U985" s="26"/>
      <c r="V985" s="26"/>
      <c r="W985" s="26"/>
      <c r="X985" s="26"/>
    </row>
    <row r="986" hidden="1">
      <c r="A986" s="10" t="s">
        <v>427</v>
      </c>
      <c r="B986" s="10" t="s">
        <v>3176</v>
      </c>
      <c r="C986" s="27" t="s">
        <v>3177</v>
      </c>
      <c r="D986" s="10" t="s">
        <v>3178</v>
      </c>
      <c r="E986" s="28" t="s">
        <v>580</v>
      </c>
      <c r="F986" s="23" t="s">
        <v>581</v>
      </c>
      <c r="G986" s="23" t="s">
        <v>203</v>
      </c>
      <c r="H986" s="23" t="s">
        <v>349</v>
      </c>
      <c r="I986" s="32"/>
      <c r="J986" s="23" t="s">
        <v>6</v>
      </c>
      <c r="K986" s="23" t="str">
        <f t="shared" si="1"/>
        <v>673608</v>
      </c>
      <c r="L986" s="23"/>
      <c r="M986" s="26"/>
      <c r="N986" s="26"/>
      <c r="O986" s="26"/>
      <c r="P986" s="26"/>
      <c r="Q986" s="26"/>
      <c r="R986" s="26"/>
      <c r="S986" s="26"/>
      <c r="T986" s="26"/>
      <c r="U986" s="26"/>
      <c r="V986" s="26"/>
      <c r="W986" s="26"/>
      <c r="X986" s="26"/>
    </row>
    <row r="987" hidden="1">
      <c r="A987" s="10" t="s">
        <v>427</v>
      </c>
      <c r="B987" s="10" t="s">
        <v>3179</v>
      </c>
      <c r="C987" s="27" t="s">
        <v>3180</v>
      </c>
      <c r="D987" s="10" t="s">
        <v>3181</v>
      </c>
      <c r="E987" s="28" t="s">
        <v>431</v>
      </c>
      <c r="F987" s="23" t="s">
        <v>950</v>
      </c>
      <c r="G987" s="23" t="s">
        <v>203</v>
      </c>
      <c r="H987" s="23" t="s">
        <v>349</v>
      </c>
      <c r="I987" s="32"/>
      <c r="J987" s="23" t="s">
        <v>6</v>
      </c>
      <c r="K987" s="23" t="str">
        <f t="shared" si="1"/>
        <v>638249</v>
      </c>
      <c r="L987" s="23"/>
      <c r="M987" s="26"/>
      <c r="N987" s="26"/>
      <c r="O987" s="26"/>
      <c r="P987" s="26"/>
      <c r="Q987" s="26"/>
      <c r="R987" s="26"/>
      <c r="S987" s="26"/>
      <c r="T987" s="26"/>
      <c r="U987" s="26"/>
      <c r="V987" s="26"/>
      <c r="W987" s="26"/>
      <c r="X987" s="26"/>
    </row>
    <row r="988" hidden="1">
      <c r="A988" s="10" t="s">
        <v>427</v>
      </c>
      <c r="B988" s="10" t="s">
        <v>3182</v>
      </c>
      <c r="C988" s="27" t="s">
        <v>3183</v>
      </c>
      <c r="D988" s="10" t="s">
        <v>3184</v>
      </c>
      <c r="E988" s="28" t="s">
        <v>534</v>
      </c>
      <c r="F988" s="23" t="s">
        <v>1238</v>
      </c>
      <c r="G988" s="23" t="s">
        <v>203</v>
      </c>
      <c r="H988" s="23" t="s">
        <v>349</v>
      </c>
      <c r="I988" s="32"/>
      <c r="J988" s="23" t="s">
        <v>6</v>
      </c>
      <c r="K988" s="23" t="str">
        <f t="shared" si="1"/>
        <v>643939</v>
      </c>
      <c r="L988" s="23"/>
      <c r="M988" s="26"/>
      <c r="N988" s="26"/>
      <c r="O988" s="26"/>
      <c r="P988" s="26"/>
      <c r="Q988" s="26"/>
      <c r="R988" s="26"/>
      <c r="S988" s="26"/>
      <c r="T988" s="26"/>
      <c r="U988" s="26"/>
      <c r="V988" s="26"/>
      <c r="W988" s="26"/>
      <c r="X988" s="26"/>
    </row>
    <row r="989" hidden="1">
      <c r="A989" s="10" t="s">
        <v>427</v>
      </c>
      <c r="B989" s="10" t="s">
        <v>3185</v>
      </c>
      <c r="C989" s="27" t="s">
        <v>3186</v>
      </c>
      <c r="D989" s="10" t="s">
        <v>3187</v>
      </c>
      <c r="E989" s="28" t="s">
        <v>431</v>
      </c>
      <c r="F989" s="23" t="s">
        <v>1053</v>
      </c>
      <c r="G989" s="23" t="s">
        <v>203</v>
      </c>
      <c r="H989" s="23" t="s">
        <v>349</v>
      </c>
      <c r="I989" s="32"/>
      <c r="J989" s="23" t="s">
        <v>6</v>
      </c>
      <c r="K989" s="23" t="str">
        <f t="shared" si="1"/>
        <v>670294</v>
      </c>
      <c r="L989" s="23"/>
      <c r="M989" s="26"/>
      <c r="N989" s="26"/>
      <c r="O989" s="26"/>
      <c r="P989" s="26"/>
      <c r="Q989" s="26"/>
      <c r="R989" s="26"/>
      <c r="S989" s="26"/>
      <c r="T989" s="26"/>
      <c r="U989" s="26"/>
      <c r="V989" s="26"/>
      <c r="W989" s="26"/>
      <c r="X989" s="26"/>
    </row>
    <row r="990" hidden="1">
      <c r="A990" s="10" t="s">
        <v>427</v>
      </c>
      <c r="B990" s="10" t="s">
        <v>3188</v>
      </c>
      <c r="C990" s="27" t="s">
        <v>3189</v>
      </c>
      <c r="D990" s="10" t="s">
        <v>3190</v>
      </c>
      <c r="E990" s="28" t="s">
        <v>431</v>
      </c>
      <c r="F990" s="23" t="s">
        <v>946</v>
      </c>
      <c r="G990" s="23" t="s">
        <v>203</v>
      </c>
      <c r="H990" s="23" t="s">
        <v>349</v>
      </c>
      <c r="I990" s="32"/>
      <c r="J990" s="23" t="s">
        <v>6</v>
      </c>
      <c r="K990" s="23" t="str">
        <f t="shared" si="1"/>
        <v>636719</v>
      </c>
      <c r="L990" s="23"/>
      <c r="M990" s="26"/>
      <c r="N990" s="26"/>
      <c r="O990" s="26"/>
      <c r="P990" s="26"/>
      <c r="Q990" s="26"/>
      <c r="R990" s="26"/>
      <c r="S990" s="26"/>
      <c r="T990" s="26"/>
      <c r="U990" s="26"/>
      <c r="V990" s="26"/>
      <c r="W990" s="26"/>
      <c r="X990" s="26"/>
    </row>
    <row r="991" hidden="1">
      <c r="A991" s="10" t="s">
        <v>427</v>
      </c>
      <c r="B991" s="10" t="s">
        <v>3191</v>
      </c>
      <c r="C991" s="27" t="s">
        <v>3192</v>
      </c>
      <c r="D991" s="10" t="s">
        <v>3193</v>
      </c>
      <c r="E991" s="28" t="s">
        <v>534</v>
      </c>
      <c r="F991" s="23" t="s">
        <v>1242</v>
      </c>
      <c r="G991" s="23" t="s">
        <v>203</v>
      </c>
      <c r="H991" s="23" t="s">
        <v>349</v>
      </c>
      <c r="I991" s="32"/>
      <c r="J991" s="23" t="s">
        <v>6</v>
      </c>
      <c r="K991" s="23" t="str">
        <f t="shared" si="1"/>
        <v>638591</v>
      </c>
      <c r="L991" s="23"/>
      <c r="M991" s="26"/>
      <c r="N991" s="26"/>
      <c r="O991" s="26"/>
      <c r="P991" s="26"/>
      <c r="Q991" s="26"/>
      <c r="R991" s="26"/>
      <c r="S991" s="26"/>
      <c r="T991" s="26"/>
      <c r="U991" s="26"/>
      <c r="V991" s="26"/>
      <c r="W991" s="26"/>
      <c r="X991" s="26"/>
    </row>
    <row r="992" hidden="1">
      <c r="A992" s="10" t="s">
        <v>427</v>
      </c>
      <c r="B992" s="10" t="s">
        <v>3194</v>
      </c>
      <c r="C992" s="27" t="s">
        <v>3195</v>
      </c>
      <c r="D992" s="10" t="s">
        <v>3196</v>
      </c>
      <c r="E992" s="28" t="s">
        <v>431</v>
      </c>
      <c r="F992" s="23" t="s">
        <v>1231</v>
      </c>
      <c r="G992" s="23" t="s">
        <v>203</v>
      </c>
      <c r="H992" s="23" t="s">
        <v>349</v>
      </c>
      <c r="I992" s="32"/>
      <c r="J992" s="23" t="s">
        <v>6</v>
      </c>
      <c r="K992" s="23" t="str">
        <f t="shared" si="1"/>
        <v>662664</v>
      </c>
      <c r="L992" s="23"/>
      <c r="M992" s="26"/>
      <c r="N992" s="26"/>
      <c r="O992" s="26"/>
      <c r="P992" s="26"/>
      <c r="Q992" s="26"/>
      <c r="R992" s="26"/>
      <c r="S992" s="26"/>
      <c r="T992" s="26"/>
      <c r="U992" s="26"/>
      <c r="V992" s="26"/>
      <c r="W992" s="26"/>
      <c r="X992" s="26"/>
    </row>
    <row r="993" hidden="1">
      <c r="A993" s="10" t="s">
        <v>427</v>
      </c>
      <c r="B993" s="10" t="s">
        <v>3197</v>
      </c>
      <c r="C993" s="27" t="s">
        <v>3198</v>
      </c>
      <c r="D993" s="10" t="s">
        <v>3199</v>
      </c>
      <c r="E993" s="28" t="s">
        <v>534</v>
      </c>
      <c r="F993" s="23" t="s">
        <v>535</v>
      </c>
      <c r="G993" s="23" t="s">
        <v>203</v>
      </c>
      <c r="H993" s="23" t="s">
        <v>349</v>
      </c>
      <c r="I993" s="32"/>
      <c r="J993" s="23" t="s">
        <v>6</v>
      </c>
      <c r="K993" s="23" t="str">
        <f t="shared" si="1"/>
        <v>663470</v>
      </c>
      <c r="L993" s="23"/>
      <c r="M993" s="26"/>
      <c r="N993" s="26"/>
      <c r="O993" s="26"/>
      <c r="P993" s="26"/>
      <c r="Q993" s="26"/>
      <c r="R993" s="26"/>
      <c r="S993" s="26"/>
      <c r="T993" s="26"/>
      <c r="U993" s="26"/>
      <c r="V993" s="26"/>
      <c r="W993" s="26"/>
      <c r="X993" s="26"/>
    </row>
    <row r="994" hidden="1">
      <c r="A994" s="10" t="s">
        <v>427</v>
      </c>
      <c r="B994" s="10" t="s">
        <v>3200</v>
      </c>
      <c r="C994" s="27" t="s">
        <v>3201</v>
      </c>
      <c r="D994" s="10" t="s">
        <v>3202</v>
      </c>
      <c r="E994" s="28" t="s">
        <v>604</v>
      </c>
      <c r="F994" s="23" t="s">
        <v>605</v>
      </c>
      <c r="G994" s="23" t="s">
        <v>203</v>
      </c>
      <c r="H994" s="23" t="s">
        <v>349</v>
      </c>
      <c r="I994" s="32"/>
      <c r="J994" s="23" t="s">
        <v>6</v>
      </c>
      <c r="K994" s="23" t="str">
        <f t="shared" si="1"/>
        <v>675053</v>
      </c>
      <c r="L994" s="23"/>
      <c r="M994" s="26"/>
      <c r="N994" s="26"/>
      <c r="O994" s="26"/>
      <c r="P994" s="26"/>
      <c r="Q994" s="26"/>
      <c r="R994" s="26"/>
      <c r="S994" s="26"/>
      <c r="T994" s="26"/>
      <c r="U994" s="26"/>
      <c r="V994" s="26"/>
      <c r="W994" s="26"/>
      <c r="X994" s="26"/>
    </row>
    <row r="995" hidden="1">
      <c r="A995" s="10" t="s">
        <v>427</v>
      </c>
      <c r="B995" s="10" t="s">
        <v>3203</v>
      </c>
      <c r="C995" s="27" t="s">
        <v>3204</v>
      </c>
      <c r="D995" s="10" t="s">
        <v>3205</v>
      </c>
      <c r="E995" s="28" t="s">
        <v>534</v>
      </c>
      <c r="F995" s="23" t="s">
        <v>954</v>
      </c>
      <c r="G995" s="23" t="s">
        <v>203</v>
      </c>
      <c r="H995" s="23" t="s">
        <v>349</v>
      </c>
      <c r="I995" s="32"/>
      <c r="J995" s="23" t="s">
        <v>6</v>
      </c>
      <c r="K995" s="23" t="str">
        <f t="shared" si="1"/>
        <v>645179</v>
      </c>
      <c r="L995" s="23"/>
      <c r="M995" s="26"/>
      <c r="N995" s="26"/>
      <c r="O995" s="26"/>
      <c r="P995" s="26"/>
      <c r="Q995" s="26"/>
      <c r="R995" s="26"/>
      <c r="S995" s="26"/>
      <c r="T995" s="26"/>
      <c r="U995" s="26"/>
      <c r="V995" s="26"/>
      <c r="W995" s="26"/>
      <c r="X995" s="26"/>
    </row>
    <row r="996" hidden="1">
      <c r="A996" s="10" t="s">
        <v>427</v>
      </c>
      <c r="B996" s="10" t="s">
        <v>3206</v>
      </c>
      <c r="C996" s="27" t="s">
        <v>3207</v>
      </c>
      <c r="D996" s="10" t="s">
        <v>3208</v>
      </c>
      <c r="E996" s="28" t="s">
        <v>431</v>
      </c>
      <c r="F996" s="23" t="s">
        <v>933</v>
      </c>
      <c r="G996" s="23" t="s">
        <v>203</v>
      </c>
      <c r="H996" s="23" t="s">
        <v>349</v>
      </c>
      <c r="I996" s="32"/>
      <c r="J996" s="23" t="s">
        <v>6</v>
      </c>
      <c r="K996" s="23" t="str">
        <f t="shared" si="1"/>
        <v>654195</v>
      </c>
      <c r="L996" s="23"/>
      <c r="M996" s="26"/>
      <c r="N996" s="26"/>
      <c r="O996" s="26"/>
      <c r="P996" s="26"/>
      <c r="Q996" s="26"/>
      <c r="R996" s="26"/>
      <c r="S996" s="26"/>
      <c r="T996" s="26"/>
      <c r="U996" s="26"/>
      <c r="V996" s="26"/>
      <c r="W996" s="26"/>
      <c r="X996" s="26"/>
    </row>
    <row r="997" hidden="1">
      <c r="A997" s="10" t="s">
        <v>427</v>
      </c>
      <c r="B997" s="10" t="s">
        <v>3209</v>
      </c>
      <c r="C997" s="27" t="s">
        <v>3210</v>
      </c>
      <c r="D997" s="10" t="s">
        <v>3211</v>
      </c>
      <c r="E997" s="28" t="s">
        <v>418</v>
      </c>
      <c r="F997" s="23" t="s">
        <v>419</v>
      </c>
      <c r="G997" s="23" t="s">
        <v>203</v>
      </c>
      <c r="H997" s="23" t="s">
        <v>349</v>
      </c>
      <c r="I997" s="32"/>
      <c r="J997" s="23" t="s">
        <v>6</v>
      </c>
      <c r="K997" s="23" t="str">
        <f t="shared" si="1"/>
        <v>662978</v>
      </c>
      <c r="L997" s="23"/>
      <c r="M997" s="26"/>
      <c r="N997" s="26"/>
      <c r="O997" s="26"/>
      <c r="P997" s="26"/>
      <c r="Q997" s="26"/>
      <c r="R997" s="26"/>
      <c r="S997" s="26"/>
      <c r="T997" s="26"/>
      <c r="U997" s="26"/>
      <c r="V997" s="26"/>
      <c r="W997" s="26"/>
      <c r="X997" s="26"/>
    </row>
    <row r="998" hidden="1">
      <c r="A998" s="10" t="s">
        <v>427</v>
      </c>
      <c r="B998" s="10" t="s">
        <v>3212</v>
      </c>
      <c r="C998" s="27" t="s">
        <v>3213</v>
      </c>
      <c r="D998" s="10" t="s">
        <v>3214</v>
      </c>
      <c r="E998" s="28" t="s">
        <v>418</v>
      </c>
      <c r="F998" s="23" t="s">
        <v>419</v>
      </c>
      <c r="G998" s="23" t="s">
        <v>203</v>
      </c>
      <c r="H998" s="23" t="s">
        <v>349</v>
      </c>
      <c r="I998" s="32"/>
      <c r="J998" s="23" t="s">
        <v>6</v>
      </c>
      <c r="K998" s="23" t="str">
        <f t="shared" si="1"/>
        <v>644264</v>
      </c>
      <c r="L998" s="23"/>
      <c r="M998" s="26"/>
      <c r="N998" s="26"/>
      <c r="O998" s="26"/>
      <c r="P998" s="26"/>
      <c r="Q998" s="26"/>
      <c r="R998" s="26"/>
      <c r="S998" s="26"/>
      <c r="T998" s="26"/>
      <c r="U998" s="26"/>
      <c r="V998" s="26"/>
      <c r="W998" s="26"/>
      <c r="X998" s="26"/>
    </row>
    <row r="999" hidden="1">
      <c r="A999" s="10" t="s">
        <v>427</v>
      </c>
      <c r="B999" s="10" t="s">
        <v>3215</v>
      </c>
      <c r="C999" s="27" t="s">
        <v>3216</v>
      </c>
      <c r="D999" s="10" t="s">
        <v>3217</v>
      </c>
      <c r="E999" s="28" t="s">
        <v>431</v>
      </c>
      <c r="F999" s="23" t="s">
        <v>1867</v>
      </c>
      <c r="G999" s="23" t="s">
        <v>203</v>
      </c>
      <c r="H999" s="23" t="s">
        <v>349</v>
      </c>
      <c r="I999" s="32"/>
      <c r="J999" s="23" t="s">
        <v>6</v>
      </c>
      <c r="K999" s="23" t="str">
        <f t="shared" si="1"/>
        <v>637549</v>
      </c>
      <c r="L999" s="23"/>
      <c r="M999" s="26"/>
      <c r="N999" s="26"/>
      <c r="O999" s="26"/>
      <c r="P999" s="26"/>
      <c r="Q999" s="26"/>
      <c r="R999" s="26"/>
      <c r="S999" s="26"/>
      <c r="T999" s="26"/>
      <c r="U999" s="26"/>
      <c r="V999" s="26"/>
      <c r="W999" s="26"/>
      <c r="X999" s="26"/>
    </row>
    <row r="1000" hidden="1">
      <c r="A1000" s="10" t="s">
        <v>427</v>
      </c>
      <c r="B1000" s="10" t="s">
        <v>3218</v>
      </c>
      <c r="C1000" s="27" t="s">
        <v>3219</v>
      </c>
      <c r="D1000" s="10" t="s">
        <v>3220</v>
      </c>
      <c r="E1000" s="28" t="s">
        <v>431</v>
      </c>
      <c r="F1000" s="23" t="s">
        <v>1235</v>
      </c>
      <c r="G1000" s="23" t="s">
        <v>203</v>
      </c>
      <c r="H1000" s="23" t="s">
        <v>349</v>
      </c>
      <c r="I1000" s="32"/>
      <c r="J1000" s="23" t="s">
        <v>6</v>
      </c>
      <c r="K1000" s="23" t="str">
        <f t="shared" si="1"/>
        <v>670546</v>
      </c>
      <c r="L1000" s="23"/>
      <c r="M1000" s="26"/>
      <c r="N1000" s="26"/>
      <c r="O1000" s="26"/>
      <c r="P1000" s="26"/>
      <c r="Q1000" s="26"/>
      <c r="R1000" s="26"/>
      <c r="S1000" s="26"/>
      <c r="T1000" s="26"/>
      <c r="U1000" s="26"/>
      <c r="V1000" s="26"/>
      <c r="W1000" s="26"/>
      <c r="X1000" s="26"/>
    </row>
    <row r="1001" hidden="1">
      <c r="A1001" s="10" t="s">
        <v>427</v>
      </c>
      <c r="B1001" s="10" t="s">
        <v>3221</v>
      </c>
      <c r="C1001" s="27" t="s">
        <v>3222</v>
      </c>
      <c r="D1001" s="10" t="s">
        <v>3223</v>
      </c>
      <c r="E1001" s="28" t="s">
        <v>431</v>
      </c>
      <c r="F1001" s="23" t="s">
        <v>946</v>
      </c>
      <c r="G1001" s="23" t="s">
        <v>203</v>
      </c>
      <c r="H1001" s="23" t="s">
        <v>349</v>
      </c>
      <c r="I1001" s="32"/>
      <c r="J1001" s="23" t="s">
        <v>6</v>
      </c>
      <c r="K1001" s="23" t="str">
        <f t="shared" si="1"/>
        <v>636726</v>
      </c>
      <c r="L1001" s="23"/>
      <c r="M1001" s="26"/>
      <c r="N1001" s="26"/>
      <c r="O1001" s="26"/>
      <c r="P1001" s="26"/>
      <c r="Q1001" s="26"/>
      <c r="R1001" s="26"/>
      <c r="S1001" s="26"/>
      <c r="T1001" s="26"/>
      <c r="U1001" s="26"/>
      <c r="V1001" s="26"/>
      <c r="W1001" s="26"/>
      <c r="X1001" s="26"/>
    </row>
    <row r="1002" hidden="1">
      <c r="A1002" s="10" t="s">
        <v>427</v>
      </c>
      <c r="B1002" s="10" t="s">
        <v>3224</v>
      </c>
      <c r="C1002" s="27" t="s">
        <v>3225</v>
      </c>
      <c r="D1002" s="10" t="s">
        <v>3226</v>
      </c>
      <c r="E1002" s="28" t="s">
        <v>534</v>
      </c>
      <c r="F1002" s="23" t="s">
        <v>757</v>
      </c>
      <c r="G1002" s="23" t="s">
        <v>203</v>
      </c>
      <c r="H1002" s="23" t="s">
        <v>349</v>
      </c>
      <c r="I1002" s="32"/>
      <c r="J1002" s="23" t="s">
        <v>6</v>
      </c>
      <c r="K1002" s="23" t="str">
        <f t="shared" si="1"/>
        <v>643588</v>
      </c>
      <c r="L1002" s="23"/>
      <c r="M1002" s="26"/>
      <c r="N1002" s="26"/>
      <c r="O1002" s="26"/>
      <c r="P1002" s="26"/>
      <c r="Q1002" s="26"/>
      <c r="R1002" s="26"/>
      <c r="S1002" s="26"/>
      <c r="T1002" s="26"/>
      <c r="U1002" s="26"/>
      <c r="V1002" s="26"/>
      <c r="W1002" s="26"/>
      <c r="X1002" s="26"/>
    </row>
    <row r="1003" hidden="1">
      <c r="A1003" s="10" t="s">
        <v>427</v>
      </c>
      <c r="B1003" s="10" t="s">
        <v>3227</v>
      </c>
      <c r="C1003" s="27" t="s">
        <v>3228</v>
      </c>
      <c r="D1003" s="10" t="s">
        <v>3229</v>
      </c>
      <c r="E1003" s="28" t="s">
        <v>431</v>
      </c>
      <c r="F1003" s="23" t="s">
        <v>1788</v>
      </c>
      <c r="G1003" s="23" t="s">
        <v>203</v>
      </c>
      <c r="H1003" s="23" t="s">
        <v>349</v>
      </c>
      <c r="I1003" s="32"/>
      <c r="J1003" s="23" t="s">
        <v>6</v>
      </c>
      <c r="K1003" s="23" t="str">
        <f t="shared" si="1"/>
        <v>637198</v>
      </c>
      <c r="L1003" s="23"/>
      <c r="M1003" s="26"/>
      <c r="N1003" s="26"/>
      <c r="O1003" s="26"/>
      <c r="P1003" s="26"/>
      <c r="Q1003" s="26"/>
      <c r="R1003" s="26"/>
      <c r="S1003" s="26"/>
      <c r="T1003" s="26"/>
      <c r="U1003" s="26"/>
      <c r="V1003" s="26"/>
      <c r="W1003" s="26"/>
      <c r="X1003" s="26"/>
    </row>
    <row r="1004" hidden="1">
      <c r="A1004" s="10" t="s">
        <v>427</v>
      </c>
      <c r="B1004" s="10" t="s">
        <v>3230</v>
      </c>
      <c r="C1004" s="27" t="s">
        <v>3231</v>
      </c>
      <c r="D1004" s="10" t="s">
        <v>3232</v>
      </c>
      <c r="E1004" s="28" t="s">
        <v>431</v>
      </c>
      <c r="F1004" s="23" t="s">
        <v>950</v>
      </c>
      <c r="G1004" s="23" t="s">
        <v>203</v>
      </c>
      <c r="H1004" s="23" t="s">
        <v>349</v>
      </c>
      <c r="I1004" s="32"/>
      <c r="J1004" s="23" t="s">
        <v>6</v>
      </c>
      <c r="K1004" s="23" t="str">
        <f t="shared" si="1"/>
        <v>638256</v>
      </c>
      <c r="L1004" s="23"/>
      <c r="M1004" s="26"/>
      <c r="N1004" s="26"/>
      <c r="O1004" s="26"/>
      <c r="P1004" s="26"/>
      <c r="Q1004" s="26"/>
      <c r="R1004" s="26"/>
      <c r="S1004" s="26"/>
      <c r="T1004" s="26"/>
      <c r="U1004" s="26"/>
      <c r="V1004" s="26"/>
      <c r="W1004" s="26"/>
      <c r="X1004" s="26"/>
    </row>
    <row r="1005" hidden="1">
      <c r="A1005" s="10" t="s">
        <v>427</v>
      </c>
      <c r="B1005" s="10" t="s">
        <v>3233</v>
      </c>
      <c r="C1005" s="27" t="s">
        <v>3234</v>
      </c>
      <c r="D1005" s="10" t="s">
        <v>3235</v>
      </c>
      <c r="E1005" s="28" t="s">
        <v>534</v>
      </c>
      <c r="F1005" s="23" t="s">
        <v>1238</v>
      </c>
      <c r="G1005" s="23" t="s">
        <v>203</v>
      </c>
      <c r="H1005" s="23" t="s">
        <v>349</v>
      </c>
      <c r="I1005" s="32"/>
      <c r="J1005" s="23" t="s">
        <v>6</v>
      </c>
      <c r="K1005" s="23" t="str">
        <f t="shared" si="1"/>
        <v>643946</v>
      </c>
      <c r="L1005" s="23"/>
      <c r="M1005" s="26"/>
      <c r="N1005" s="26"/>
      <c r="O1005" s="26"/>
      <c r="P1005" s="26"/>
      <c r="Q1005" s="26"/>
      <c r="R1005" s="26"/>
      <c r="S1005" s="26"/>
      <c r="T1005" s="26"/>
      <c r="U1005" s="26"/>
      <c r="V1005" s="26"/>
      <c r="W1005" s="26"/>
      <c r="X1005" s="26"/>
    </row>
    <row r="1006" hidden="1">
      <c r="A1006" s="10" t="s">
        <v>427</v>
      </c>
      <c r="B1006" s="10" t="s">
        <v>3236</v>
      </c>
      <c r="C1006" s="27" t="s">
        <v>3237</v>
      </c>
      <c r="D1006" s="10" t="s">
        <v>3238</v>
      </c>
      <c r="E1006" s="28" t="s">
        <v>534</v>
      </c>
      <c r="F1006" s="23" t="s">
        <v>1242</v>
      </c>
      <c r="G1006" s="23" t="s">
        <v>203</v>
      </c>
      <c r="H1006" s="23" t="s">
        <v>349</v>
      </c>
      <c r="I1006" s="32"/>
      <c r="J1006" s="23" t="s">
        <v>6</v>
      </c>
      <c r="K1006" s="23" t="str">
        <f t="shared" si="1"/>
        <v>638607</v>
      </c>
      <c r="L1006" s="23"/>
      <c r="M1006" s="26"/>
      <c r="N1006" s="26"/>
      <c r="O1006" s="26"/>
      <c r="P1006" s="26"/>
      <c r="Q1006" s="26"/>
      <c r="R1006" s="26"/>
      <c r="S1006" s="26"/>
      <c r="T1006" s="26"/>
      <c r="U1006" s="26"/>
      <c r="V1006" s="26"/>
      <c r="W1006" s="26"/>
      <c r="X1006" s="26"/>
    </row>
    <row r="1007" hidden="1">
      <c r="A1007" s="10" t="s">
        <v>427</v>
      </c>
      <c r="B1007" s="10" t="s">
        <v>3239</v>
      </c>
      <c r="C1007" s="27" t="s">
        <v>3240</v>
      </c>
      <c r="D1007" s="10" t="s">
        <v>3241</v>
      </c>
      <c r="E1007" s="28" t="s">
        <v>431</v>
      </c>
      <c r="F1007" s="23" t="s">
        <v>1867</v>
      </c>
      <c r="G1007" s="23" t="s">
        <v>203</v>
      </c>
      <c r="H1007" s="23" t="s">
        <v>349</v>
      </c>
      <c r="I1007" s="32"/>
      <c r="J1007" s="23" t="s">
        <v>6</v>
      </c>
      <c r="K1007" s="23" t="str">
        <f t="shared" si="1"/>
        <v>637563</v>
      </c>
      <c r="L1007" s="23"/>
      <c r="M1007" s="26"/>
      <c r="N1007" s="26"/>
      <c r="O1007" s="26"/>
      <c r="P1007" s="26"/>
      <c r="Q1007" s="26"/>
      <c r="R1007" s="26"/>
      <c r="S1007" s="26"/>
      <c r="T1007" s="26"/>
      <c r="U1007" s="26"/>
      <c r="V1007" s="26"/>
      <c r="W1007" s="26"/>
      <c r="X1007" s="26"/>
    </row>
    <row r="1008" hidden="1">
      <c r="A1008" s="10" t="s">
        <v>427</v>
      </c>
      <c r="B1008" s="10" t="s">
        <v>3242</v>
      </c>
      <c r="C1008" s="27" t="s">
        <v>3243</v>
      </c>
      <c r="D1008" s="10" t="s">
        <v>3244</v>
      </c>
      <c r="E1008" s="28" t="s">
        <v>431</v>
      </c>
      <c r="F1008" s="23" t="s">
        <v>933</v>
      </c>
      <c r="G1008" s="23" t="s">
        <v>203</v>
      </c>
      <c r="H1008" s="23" t="s">
        <v>349</v>
      </c>
      <c r="I1008" s="32"/>
      <c r="J1008" s="23" t="s">
        <v>6</v>
      </c>
      <c r="K1008" s="23" t="str">
        <f t="shared" si="1"/>
        <v>637051</v>
      </c>
      <c r="L1008" s="23"/>
      <c r="M1008" s="26"/>
      <c r="N1008" s="26"/>
      <c r="O1008" s="26"/>
      <c r="P1008" s="26"/>
      <c r="Q1008" s="26"/>
      <c r="R1008" s="26"/>
      <c r="S1008" s="26"/>
      <c r="T1008" s="26"/>
      <c r="U1008" s="26"/>
      <c r="V1008" s="26"/>
      <c r="W1008" s="26"/>
      <c r="X1008" s="26"/>
    </row>
    <row r="1009" hidden="1">
      <c r="A1009" s="10" t="s">
        <v>427</v>
      </c>
      <c r="B1009" s="10" t="s">
        <v>3245</v>
      </c>
      <c r="C1009" s="27" t="s">
        <v>3246</v>
      </c>
      <c r="D1009" s="10" t="s">
        <v>3247</v>
      </c>
      <c r="E1009" s="28" t="s">
        <v>431</v>
      </c>
      <c r="F1009" s="23" t="s">
        <v>1235</v>
      </c>
      <c r="G1009" s="23" t="s">
        <v>203</v>
      </c>
      <c r="H1009" s="23" t="s">
        <v>349</v>
      </c>
      <c r="I1009" s="32"/>
      <c r="J1009" s="23" t="s">
        <v>6</v>
      </c>
      <c r="K1009" s="23" t="str">
        <f t="shared" si="1"/>
        <v>670553</v>
      </c>
      <c r="L1009" s="23"/>
      <c r="M1009" s="26"/>
      <c r="N1009" s="26"/>
      <c r="O1009" s="26"/>
      <c r="P1009" s="26"/>
      <c r="Q1009" s="26"/>
      <c r="R1009" s="26"/>
      <c r="S1009" s="26"/>
      <c r="T1009" s="26"/>
      <c r="U1009" s="26"/>
      <c r="V1009" s="26"/>
      <c r="W1009" s="26"/>
      <c r="X1009" s="26"/>
    </row>
    <row r="1010" hidden="1">
      <c r="A1010" s="10" t="s">
        <v>427</v>
      </c>
      <c r="B1010" s="10" t="s">
        <v>3248</v>
      </c>
      <c r="C1010" s="27" t="s">
        <v>3249</v>
      </c>
      <c r="D1010" s="10" t="s">
        <v>3250</v>
      </c>
      <c r="E1010" s="28" t="s">
        <v>431</v>
      </c>
      <c r="F1010" s="23" t="s">
        <v>1235</v>
      </c>
      <c r="G1010" s="23" t="s">
        <v>203</v>
      </c>
      <c r="H1010" s="23" t="s">
        <v>349</v>
      </c>
      <c r="I1010" s="32"/>
      <c r="J1010" s="23" t="s">
        <v>6</v>
      </c>
      <c r="K1010" s="23" t="str">
        <f t="shared" si="1"/>
        <v>670533</v>
      </c>
      <c r="L1010" s="23"/>
      <c r="M1010" s="26"/>
      <c r="N1010" s="26"/>
      <c r="O1010" s="26"/>
      <c r="P1010" s="26"/>
      <c r="Q1010" s="26"/>
      <c r="R1010" s="26"/>
      <c r="S1010" s="26"/>
      <c r="T1010" s="26"/>
      <c r="U1010" s="26"/>
      <c r="V1010" s="26"/>
      <c r="W1010" s="26"/>
      <c r="X1010" s="26"/>
    </row>
    <row r="1011" hidden="1">
      <c r="A1011" s="10" t="s">
        <v>427</v>
      </c>
      <c r="B1011" s="10" t="s">
        <v>3251</v>
      </c>
      <c r="C1011" s="27" t="s">
        <v>3252</v>
      </c>
      <c r="D1011" s="10" t="s">
        <v>3253</v>
      </c>
      <c r="E1011" s="28" t="s">
        <v>534</v>
      </c>
      <c r="F1011" s="23" t="s">
        <v>757</v>
      </c>
      <c r="G1011" s="23" t="s">
        <v>203</v>
      </c>
      <c r="H1011" s="23" t="s">
        <v>349</v>
      </c>
      <c r="I1011" s="32"/>
      <c r="J1011" s="23" t="s">
        <v>6</v>
      </c>
      <c r="K1011" s="23" t="str">
        <f t="shared" si="1"/>
        <v>657264</v>
      </c>
      <c r="L1011" s="23"/>
      <c r="M1011" s="26"/>
      <c r="N1011" s="26"/>
      <c r="O1011" s="26"/>
      <c r="P1011" s="26"/>
      <c r="Q1011" s="26"/>
      <c r="R1011" s="26"/>
      <c r="S1011" s="26"/>
      <c r="T1011" s="26"/>
      <c r="U1011" s="26"/>
      <c r="V1011" s="26"/>
      <c r="W1011" s="26"/>
      <c r="X1011" s="26"/>
    </row>
    <row r="1012" hidden="1">
      <c r="A1012" s="10" t="s">
        <v>427</v>
      </c>
      <c r="B1012" s="10" t="s">
        <v>3254</v>
      </c>
      <c r="C1012" s="27" t="s">
        <v>3255</v>
      </c>
      <c r="D1012" s="10" t="s">
        <v>3256</v>
      </c>
      <c r="E1012" s="28" t="s">
        <v>431</v>
      </c>
      <c r="F1012" s="23" t="s">
        <v>1788</v>
      </c>
      <c r="G1012" s="23" t="s">
        <v>203</v>
      </c>
      <c r="H1012" s="23" t="s">
        <v>349</v>
      </c>
      <c r="I1012" s="32"/>
      <c r="J1012" s="23" t="s">
        <v>6</v>
      </c>
      <c r="K1012" s="23" t="str">
        <f t="shared" si="1"/>
        <v>657271</v>
      </c>
      <c r="L1012" s="23"/>
      <c r="M1012" s="26"/>
      <c r="N1012" s="26"/>
      <c r="O1012" s="26"/>
      <c r="P1012" s="26"/>
      <c r="Q1012" s="26"/>
      <c r="R1012" s="26"/>
      <c r="S1012" s="26"/>
      <c r="T1012" s="26"/>
      <c r="U1012" s="26"/>
      <c r="V1012" s="26"/>
      <c r="W1012" s="26"/>
      <c r="X1012" s="26"/>
    </row>
    <row r="1013" hidden="1">
      <c r="A1013" s="10" t="s">
        <v>427</v>
      </c>
      <c r="B1013" s="10" t="s">
        <v>3257</v>
      </c>
      <c r="C1013" s="27" t="s">
        <v>3258</v>
      </c>
      <c r="D1013" s="10" t="s">
        <v>3259</v>
      </c>
      <c r="E1013" s="28" t="s">
        <v>431</v>
      </c>
      <c r="F1013" s="23" t="s">
        <v>950</v>
      </c>
      <c r="G1013" s="23" t="s">
        <v>203</v>
      </c>
      <c r="H1013" s="23" t="s">
        <v>349</v>
      </c>
      <c r="I1013" s="32"/>
      <c r="J1013" s="23" t="s">
        <v>6</v>
      </c>
      <c r="K1013" s="23" t="str">
        <f t="shared" si="1"/>
        <v>657288</v>
      </c>
      <c r="L1013" s="23"/>
      <c r="M1013" s="26"/>
      <c r="N1013" s="26"/>
      <c r="O1013" s="26"/>
      <c r="P1013" s="26"/>
      <c r="Q1013" s="26"/>
      <c r="R1013" s="26"/>
      <c r="S1013" s="26"/>
      <c r="T1013" s="26"/>
      <c r="U1013" s="26"/>
      <c r="V1013" s="26"/>
      <c r="W1013" s="26"/>
      <c r="X1013" s="26"/>
    </row>
    <row r="1014" hidden="1">
      <c r="A1014" s="10" t="s">
        <v>427</v>
      </c>
      <c r="B1014" s="10" t="s">
        <v>3260</v>
      </c>
      <c r="C1014" s="27" t="s">
        <v>3261</v>
      </c>
      <c r="D1014" s="10" t="s">
        <v>3262</v>
      </c>
      <c r="E1014" s="28" t="s">
        <v>534</v>
      </c>
      <c r="F1014" s="23" t="s">
        <v>535</v>
      </c>
      <c r="G1014" s="23" t="s">
        <v>203</v>
      </c>
      <c r="H1014" s="23" t="s">
        <v>349</v>
      </c>
      <c r="I1014" s="32"/>
      <c r="J1014" s="23" t="s">
        <v>6</v>
      </c>
      <c r="K1014" s="23" t="str">
        <f t="shared" si="1"/>
        <v>663487</v>
      </c>
      <c r="L1014" s="23"/>
      <c r="M1014" s="26"/>
      <c r="N1014" s="26"/>
      <c r="O1014" s="26"/>
      <c r="P1014" s="26"/>
      <c r="Q1014" s="26"/>
      <c r="R1014" s="26"/>
      <c r="S1014" s="26"/>
      <c r="T1014" s="26"/>
      <c r="U1014" s="26"/>
      <c r="V1014" s="26"/>
      <c r="W1014" s="26"/>
      <c r="X1014" s="26"/>
    </row>
    <row r="1015" hidden="1">
      <c r="A1015" s="10" t="s">
        <v>427</v>
      </c>
      <c r="B1015" s="10" t="s">
        <v>3263</v>
      </c>
      <c r="C1015" s="27" t="s">
        <v>3264</v>
      </c>
      <c r="D1015" s="10" t="s">
        <v>3265</v>
      </c>
      <c r="E1015" s="28" t="s">
        <v>534</v>
      </c>
      <c r="F1015" s="23" t="s">
        <v>1242</v>
      </c>
      <c r="G1015" s="23" t="s">
        <v>203</v>
      </c>
      <c r="H1015" s="23" t="s">
        <v>349</v>
      </c>
      <c r="I1015" s="32"/>
      <c r="J1015" s="23" t="s">
        <v>6</v>
      </c>
      <c r="K1015" s="23" t="str">
        <f t="shared" si="1"/>
        <v>657301</v>
      </c>
      <c r="L1015" s="23"/>
      <c r="M1015" s="26"/>
      <c r="N1015" s="26"/>
      <c r="O1015" s="26"/>
      <c r="P1015" s="26"/>
      <c r="Q1015" s="26"/>
      <c r="R1015" s="26"/>
      <c r="S1015" s="26"/>
      <c r="T1015" s="26"/>
      <c r="U1015" s="26"/>
      <c r="V1015" s="26"/>
      <c r="W1015" s="26"/>
      <c r="X1015" s="26"/>
    </row>
    <row r="1016" hidden="1">
      <c r="A1016" s="10" t="s">
        <v>427</v>
      </c>
      <c r="B1016" s="10" t="s">
        <v>3266</v>
      </c>
      <c r="C1016" s="27" t="s">
        <v>3267</v>
      </c>
      <c r="D1016" s="10" t="s">
        <v>3268</v>
      </c>
      <c r="E1016" s="28" t="s">
        <v>431</v>
      </c>
      <c r="F1016" s="23" t="s">
        <v>1231</v>
      </c>
      <c r="G1016" s="23" t="s">
        <v>203</v>
      </c>
      <c r="H1016" s="23" t="s">
        <v>349</v>
      </c>
      <c r="I1016" s="32"/>
      <c r="J1016" s="23" t="s">
        <v>6</v>
      </c>
      <c r="K1016" s="23" t="str">
        <f t="shared" si="1"/>
        <v>662640</v>
      </c>
      <c r="L1016" s="23"/>
      <c r="M1016" s="26"/>
      <c r="N1016" s="26"/>
      <c r="O1016" s="26"/>
      <c r="P1016" s="26"/>
      <c r="Q1016" s="26"/>
      <c r="R1016" s="26"/>
      <c r="S1016" s="26"/>
      <c r="T1016" s="26"/>
      <c r="U1016" s="26"/>
      <c r="V1016" s="26"/>
      <c r="W1016" s="26"/>
      <c r="X1016" s="26"/>
    </row>
    <row r="1017" hidden="1">
      <c r="A1017" s="10" t="s">
        <v>427</v>
      </c>
      <c r="B1017" s="10" t="s">
        <v>3269</v>
      </c>
      <c r="C1017" s="27" t="s">
        <v>3270</v>
      </c>
      <c r="D1017" s="10" t="s">
        <v>3271</v>
      </c>
      <c r="E1017" s="28" t="s">
        <v>534</v>
      </c>
      <c r="F1017" s="23" t="s">
        <v>954</v>
      </c>
      <c r="G1017" s="23" t="s">
        <v>203</v>
      </c>
      <c r="H1017" s="23" t="s">
        <v>349</v>
      </c>
      <c r="I1017" s="32"/>
      <c r="J1017" s="23" t="s">
        <v>6</v>
      </c>
      <c r="K1017" s="23" t="str">
        <f t="shared" si="1"/>
        <v>645186</v>
      </c>
      <c r="L1017" s="23"/>
      <c r="M1017" s="26"/>
      <c r="N1017" s="26"/>
      <c r="O1017" s="26"/>
      <c r="P1017" s="26"/>
      <c r="Q1017" s="26"/>
      <c r="R1017" s="26"/>
      <c r="S1017" s="26"/>
      <c r="T1017" s="26"/>
      <c r="U1017" s="26"/>
      <c r="V1017" s="26"/>
      <c r="W1017" s="26"/>
      <c r="X1017" s="26"/>
    </row>
    <row r="1018" hidden="1">
      <c r="A1018" s="10" t="s">
        <v>427</v>
      </c>
      <c r="B1018" s="10" t="s">
        <v>3272</v>
      </c>
      <c r="C1018" s="27" t="s">
        <v>3273</v>
      </c>
      <c r="D1018" s="10" t="s">
        <v>3274</v>
      </c>
      <c r="E1018" s="28" t="s">
        <v>431</v>
      </c>
      <c r="F1018" s="23" t="s">
        <v>946</v>
      </c>
      <c r="G1018" s="23" t="s">
        <v>203</v>
      </c>
      <c r="H1018" s="23" t="s">
        <v>349</v>
      </c>
      <c r="I1018" s="32"/>
      <c r="J1018" s="23" t="s">
        <v>6</v>
      </c>
      <c r="K1018" s="23" t="str">
        <f t="shared" si="1"/>
        <v>657493</v>
      </c>
      <c r="L1018" s="23"/>
      <c r="M1018" s="26"/>
      <c r="N1018" s="26"/>
      <c r="O1018" s="26"/>
      <c r="P1018" s="26"/>
      <c r="Q1018" s="26"/>
      <c r="R1018" s="26"/>
      <c r="S1018" s="26"/>
      <c r="T1018" s="26"/>
      <c r="U1018" s="26"/>
      <c r="V1018" s="26"/>
      <c r="W1018" s="26"/>
      <c r="X1018" s="26"/>
    </row>
    <row r="1019" hidden="1">
      <c r="A1019" s="10" t="s">
        <v>427</v>
      </c>
      <c r="B1019" s="10" t="s">
        <v>3275</v>
      </c>
      <c r="C1019" s="27" t="s">
        <v>3276</v>
      </c>
      <c r="D1019" s="10" t="s">
        <v>3277</v>
      </c>
      <c r="E1019" s="28" t="s">
        <v>431</v>
      </c>
      <c r="F1019" s="23" t="s">
        <v>1053</v>
      </c>
      <c r="G1019" s="23" t="s">
        <v>203</v>
      </c>
      <c r="H1019" s="23" t="s">
        <v>349</v>
      </c>
      <c r="I1019" s="32"/>
      <c r="J1019" s="23" t="s">
        <v>6</v>
      </c>
      <c r="K1019" s="23" t="str">
        <f t="shared" si="1"/>
        <v>671031</v>
      </c>
      <c r="L1019" s="23"/>
      <c r="M1019" s="26"/>
      <c r="N1019" s="26"/>
      <c r="O1019" s="26"/>
      <c r="P1019" s="26"/>
      <c r="Q1019" s="26"/>
      <c r="R1019" s="26"/>
      <c r="S1019" s="26"/>
      <c r="T1019" s="26"/>
      <c r="U1019" s="26"/>
      <c r="V1019" s="26"/>
      <c r="W1019" s="26"/>
      <c r="X1019" s="26"/>
    </row>
    <row r="1020" hidden="1">
      <c r="A1020" s="10" t="s">
        <v>190</v>
      </c>
      <c r="B1020" s="10" t="s">
        <v>3278</v>
      </c>
      <c r="C1020" s="27" t="s">
        <v>3279</v>
      </c>
      <c r="D1020" s="10" t="s">
        <v>3280</v>
      </c>
      <c r="E1020" s="28" t="s">
        <v>194</v>
      </c>
      <c r="F1020" s="23" t="s">
        <v>195</v>
      </c>
      <c r="G1020" s="23" t="s">
        <v>374</v>
      </c>
      <c r="H1020" s="23" t="s">
        <v>375</v>
      </c>
      <c r="I1020" s="32"/>
      <c r="J1020" s="23" t="s">
        <v>198</v>
      </c>
      <c r="K1020" s="23" t="str">
        <f t="shared" si="1"/>
        <v>691312</v>
      </c>
      <c r="L1020" s="23"/>
      <c r="M1020" s="26"/>
      <c r="N1020" s="26"/>
      <c r="O1020" s="26"/>
      <c r="P1020" s="26"/>
      <c r="Q1020" s="26"/>
      <c r="R1020" s="26"/>
      <c r="S1020" s="26"/>
      <c r="T1020" s="26"/>
      <c r="U1020" s="26"/>
      <c r="V1020" s="26"/>
      <c r="W1020" s="26"/>
      <c r="X1020" s="26"/>
    </row>
    <row r="1021" hidden="1">
      <c r="A1021" s="10" t="s">
        <v>190</v>
      </c>
      <c r="B1021" s="10" t="s">
        <v>3281</v>
      </c>
      <c r="C1021" s="27" t="s">
        <v>3282</v>
      </c>
      <c r="D1021" s="10" t="s">
        <v>3283</v>
      </c>
      <c r="E1021" s="28" t="s">
        <v>194</v>
      </c>
      <c r="F1021" s="23" t="s">
        <v>195</v>
      </c>
      <c r="G1021" s="23" t="s">
        <v>374</v>
      </c>
      <c r="H1021" s="23" t="s">
        <v>375</v>
      </c>
      <c r="I1021" s="32"/>
      <c r="J1021" s="23" t="s">
        <v>198</v>
      </c>
      <c r="K1021" s="23" t="str">
        <f t="shared" si="1"/>
        <v>691336</v>
      </c>
      <c r="L1021" s="23"/>
      <c r="M1021" s="26"/>
      <c r="N1021" s="26"/>
      <c r="O1021" s="26"/>
      <c r="P1021" s="26"/>
      <c r="Q1021" s="26"/>
      <c r="R1021" s="26"/>
      <c r="S1021" s="26"/>
      <c r="T1021" s="26"/>
      <c r="U1021" s="26"/>
      <c r="V1021" s="26"/>
      <c r="W1021" s="26"/>
      <c r="X1021" s="26"/>
    </row>
    <row r="1022" hidden="1">
      <c r="A1022" s="10" t="s">
        <v>190</v>
      </c>
      <c r="B1022" s="10" t="s">
        <v>3284</v>
      </c>
      <c r="C1022" s="27" t="s">
        <v>3285</v>
      </c>
      <c r="D1022" s="10" t="s">
        <v>3286</v>
      </c>
      <c r="E1022" s="28" t="s">
        <v>194</v>
      </c>
      <c r="F1022" s="23" t="s">
        <v>195</v>
      </c>
      <c r="G1022" s="23" t="s">
        <v>374</v>
      </c>
      <c r="H1022" s="23" t="s">
        <v>375</v>
      </c>
      <c r="I1022" s="32"/>
      <c r="J1022" s="23" t="s">
        <v>198</v>
      </c>
      <c r="K1022" s="23" t="str">
        <f t="shared" si="1"/>
        <v>691329</v>
      </c>
      <c r="L1022" s="23"/>
      <c r="M1022" s="26"/>
      <c r="N1022" s="26"/>
      <c r="O1022" s="26"/>
      <c r="P1022" s="26"/>
      <c r="Q1022" s="26"/>
      <c r="R1022" s="26"/>
      <c r="S1022" s="26"/>
      <c r="T1022" s="26"/>
      <c r="U1022" s="26"/>
      <c r="V1022" s="26"/>
      <c r="W1022" s="26"/>
      <c r="X1022" s="26"/>
    </row>
    <row r="1023" hidden="1">
      <c r="A1023" s="10" t="s">
        <v>190</v>
      </c>
      <c r="B1023" s="10" t="s">
        <v>3287</v>
      </c>
      <c r="C1023" s="27" t="s">
        <v>3288</v>
      </c>
      <c r="D1023" s="10" t="s">
        <v>3289</v>
      </c>
      <c r="E1023" s="28" t="s">
        <v>194</v>
      </c>
      <c r="F1023" s="23" t="s">
        <v>195</v>
      </c>
      <c r="G1023" s="23" t="s">
        <v>374</v>
      </c>
      <c r="H1023" s="23" t="s">
        <v>375</v>
      </c>
      <c r="I1023" s="32"/>
      <c r="J1023" s="23" t="s">
        <v>198</v>
      </c>
      <c r="K1023" s="23" t="str">
        <f t="shared" si="1"/>
        <v>691237</v>
      </c>
      <c r="L1023" s="23"/>
      <c r="M1023" s="26"/>
      <c r="N1023" s="26"/>
      <c r="O1023" s="26"/>
      <c r="P1023" s="26"/>
      <c r="Q1023" s="26"/>
      <c r="R1023" s="26"/>
      <c r="S1023" s="26"/>
      <c r="T1023" s="26"/>
      <c r="U1023" s="26"/>
      <c r="V1023" s="26"/>
      <c r="W1023" s="26"/>
      <c r="X1023" s="26"/>
    </row>
    <row r="1024" hidden="1">
      <c r="A1024" s="10" t="s">
        <v>190</v>
      </c>
      <c r="B1024" s="10" t="s">
        <v>3290</v>
      </c>
      <c r="C1024" s="27" t="s">
        <v>3291</v>
      </c>
      <c r="D1024" s="10" t="s">
        <v>3292</v>
      </c>
      <c r="E1024" s="28" t="s">
        <v>194</v>
      </c>
      <c r="F1024" s="23" t="s">
        <v>195</v>
      </c>
      <c r="G1024" s="23" t="s">
        <v>374</v>
      </c>
      <c r="H1024" s="23" t="s">
        <v>375</v>
      </c>
      <c r="I1024" s="32"/>
      <c r="J1024" s="23" t="s">
        <v>198</v>
      </c>
      <c r="K1024" s="23" t="str">
        <f t="shared" si="1"/>
        <v>691305</v>
      </c>
      <c r="L1024" s="23"/>
      <c r="M1024" s="26"/>
      <c r="N1024" s="26"/>
      <c r="O1024" s="26"/>
      <c r="P1024" s="26"/>
      <c r="Q1024" s="26"/>
      <c r="R1024" s="26"/>
      <c r="S1024" s="26"/>
      <c r="T1024" s="26"/>
      <c r="U1024" s="26"/>
      <c r="V1024" s="26"/>
      <c r="W1024" s="26"/>
      <c r="X1024" s="26"/>
    </row>
    <row r="1025" hidden="1">
      <c r="A1025" s="10" t="s">
        <v>427</v>
      </c>
      <c r="B1025" s="10" t="s">
        <v>3293</v>
      </c>
      <c r="C1025" s="27" t="s">
        <v>3294</v>
      </c>
      <c r="D1025" s="10" t="s">
        <v>3295</v>
      </c>
      <c r="E1025" s="28" t="s">
        <v>534</v>
      </c>
      <c r="F1025" s="23" t="s">
        <v>757</v>
      </c>
      <c r="G1025" s="23" t="s">
        <v>521</v>
      </c>
      <c r="H1025" s="23" t="s">
        <v>967</v>
      </c>
      <c r="I1025" s="32"/>
      <c r="J1025" s="23" t="s">
        <v>6</v>
      </c>
      <c r="K1025" s="23" t="str">
        <f t="shared" si="1"/>
        <v>646886</v>
      </c>
      <c r="L1025" s="23"/>
      <c r="M1025" s="26"/>
      <c r="N1025" s="26"/>
      <c r="O1025" s="26"/>
      <c r="P1025" s="26"/>
      <c r="Q1025" s="26"/>
      <c r="R1025" s="26"/>
      <c r="S1025" s="26"/>
      <c r="T1025" s="26"/>
      <c r="U1025" s="26"/>
      <c r="V1025" s="26"/>
      <c r="W1025" s="26"/>
      <c r="X1025" s="26"/>
    </row>
    <row r="1026" hidden="1">
      <c r="A1026" s="10" t="s">
        <v>427</v>
      </c>
      <c r="B1026" s="10" t="s">
        <v>3296</v>
      </c>
      <c r="C1026" s="27" t="s">
        <v>3297</v>
      </c>
      <c r="D1026" s="10" t="s">
        <v>3298</v>
      </c>
      <c r="E1026" s="28" t="s">
        <v>534</v>
      </c>
      <c r="F1026" s="23" t="s">
        <v>757</v>
      </c>
      <c r="G1026" s="23" t="s">
        <v>521</v>
      </c>
      <c r="H1026" s="23" t="s">
        <v>967</v>
      </c>
      <c r="I1026" s="32"/>
      <c r="J1026" s="23" t="s">
        <v>6</v>
      </c>
      <c r="K1026" s="23" t="str">
        <f t="shared" si="1"/>
        <v>646961</v>
      </c>
      <c r="L1026" s="23"/>
      <c r="M1026" s="26"/>
      <c r="N1026" s="26"/>
      <c r="O1026" s="26"/>
      <c r="P1026" s="26"/>
      <c r="Q1026" s="26"/>
      <c r="R1026" s="26"/>
      <c r="S1026" s="26"/>
      <c r="T1026" s="26"/>
      <c r="U1026" s="26"/>
      <c r="V1026" s="26"/>
      <c r="W1026" s="26"/>
      <c r="X1026" s="26"/>
    </row>
    <row r="1027" hidden="1">
      <c r="A1027" s="10" t="s">
        <v>427</v>
      </c>
      <c r="B1027" s="10" t="s">
        <v>3299</v>
      </c>
      <c r="C1027" s="27" t="s">
        <v>3300</v>
      </c>
      <c r="D1027" s="10" t="s">
        <v>3301</v>
      </c>
      <c r="E1027" s="28" t="s">
        <v>534</v>
      </c>
      <c r="F1027" s="23" t="s">
        <v>1238</v>
      </c>
      <c r="G1027" s="23" t="s">
        <v>521</v>
      </c>
      <c r="H1027" s="23" t="s">
        <v>967</v>
      </c>
      <c r="I1027" s="32"/>
      <c r="J1027" s="23" t="s">
        <v>6</v>
      </c>
      <c r="K1027" s="23" t="str">
        <f t="shared" si="1"/>
        <v>647210</v>
      </c>
      <c r="L1027" s="23"/>
      <c r="M1027" s="26"/>
      <c r="N1027" s="26"/>
      <c r="O1027" s="26"/>
      <c r="P1027" s="26"/>
      <c r="Q1027" s="26"/>
      <c r="R1027" s="26"/>
      <c r="S1027" s="26"/>
      <c r="T1027" s="26"/>
      <c r="U1027" s="26"/>
      <c r="V1027" s="26"/>
      <c r="W1027" s="26"/>
      <c r="X1027" s="26"/>
    </row>
    <row r="1028" hidden="1">
      <c r="A1028" s="10" t="s">
        <v>427</v>
      </c>
      <c r="B1028" s="10" t="s">
        <v>3302</v>
      </c>
      <c r="C1028" s="27" t="s">
        <v>3303</v>
      </c>
      <c r="D1028" s="10" t="s">
        <v>3304</v>
      </c>
      <c r="E1028" s="28" t="s">
        <v>534</v>
      </c>
      <c r="F1028" s="23" t="s">
        <v>757</v>
      </c>
      <c r="G1028" s="23" t="s">
        <v>521</v>
      </c>
      <c r="H1028" s="23" t="s">
        <v>967</v>
      </c>
      <c r="I1028" s="32"/>
      <c r="J1028" s="23" t="s">
        <v>6</v>
      </c>
      <c r="K1028" s="23" t="str">
        <f t="shared" si="1"/>
        <v>646909</v>
      </c>
      <c r="L1028" s="23"/>
      <c r="M1028" s="26"/>
      <c r="N1028" s="26"/>
      <c r="O1028" s="26"/>
      <c r="P1028" s="26"/>
      <c r="Q1028" s="26"/>
      <c r="R1028" s="26"/>
      <c r="S1028" s="26"/>
      <c r="T1028" s="26"/>
      <c r="U1028" s="26"/>
      <c r="V1028" s="26"/>
      <c r="W1028" s="26"/>
      <c r="X1028" s="26"/>
    </row>
    <row r="1029" hidden="1">
      <c r="A1029" s="10" t="s">
        <v>427</v>
      </c>
      <c r="B1029" s="10" t="s">
        <v>3305</v>
      </c>
      <c r="C1029" s="27" t="s">
        <v>3306</v>
      </c>
      <c r="D1029" s="10" t="s">
        <v>3307</v>
      </c>
      <c r="E1029" s="28" t="s">
        <v>534</v>
      </c>
      <c r="F1029" s="23" t="s">
        <v>757</v>
      </c>
      <c r="G1029" s="23" t="s">
        <v>521</v>
      </c>
      <c r="H1029" s="23" t="s">
        <v>967</v>
      </c>
      <c r="I1029" s="32"/>
      <c r="J1029" s="23" t="s">
        <v>6</v>
      </c>
      <c r="K1029" s="23" t="str">
        <f t="shared" si="1"/>
        <v>646862</v>
      </c>
      <c r="L1029" s="23"/>
      <c r="M1029" s="26"/>
      <c r="N1029" s="26"/>
      <c r="O1029" s="26"/>
      <c r="P1029" s="26"/>
      <c r="Q1029" s="26"/>
      <c r="R1029" s="26"/>
      <c r="S1029" s="26"/>
      <c r="T1029" s="26"/>
      <c r="U1029" s="26"/>
      <c r="V1029" s="26"/>
      <c r="W1029" s="26"/>
      <c r="X1029" s="26"/>
    </row>
    <row r="1030" hidden="1">
      <c r="A1030" s="10" t="s">
        <v>427</v>
      </c>
      <c r="B1030" s="10" t="s">
        <v>3308</v>
      </c>
      <c r="C1030" s="27" t="s">
        <v>3309</v>
      </c>
      <c r="D1030" s="10" t="s">
        <v>3310</v>
      </c>
      <c r="E1030" s="28" t="s">
        <v>534</v>
      </c>
      <c r="F1030" s="23" t="s">
        <v>1238</v>
      </c>
      <c r="G1030" s="23" t="s">
        <v>521</v>
      </c>
      <c r="H1030" s="23" t="s">
        <v>967</v>
      </c>
      <c r="I1030" s="32"/>
      <c r="J1030" s="23" t="s">
        <v>6</v>
      </c>
      <c r="K1030" s="23" t="str">
        <f t="shared" si="1"/>
        <v>647197</v>
      </c>
      <c r="L1030" s="23"/>
      <c r="M1030" s="26"/>
      <c r="N1030" s="26"/>
      <c r="O1030" s="26"/>
      <c r="P1030" s="26"/>
      <c r="Q1030" s="26"/>
      <c r="R1030" s="26"/>
      <c r="S1030" s="26"/>
      <c r="T1030" s="26"/>
      <c r="U1030" s="26"/>
      <c r="V1030" s="26"/>
      <c r="W1030" s="26"/>
      <c r="X1030" s="26"/>
    </row>
    <row r="1031" hidden="1">
      <c r="A1031" s="10" t="s">
        <v>427</v>
      </c>
      <c r="B1031" s="10" t="s">
        <v>3311</v>
      </c>
      <c r="C1031" s="27" t="s">
        <v>3312</v>
      </c>
      <c r="D1031" s="10" t="s">
        <v>3313</v>
      </c>
      <c r="E1031" s="28" t="s">
        <v>534</v>
      </c>
      <c r="F1031" s="23" t="s">
        <v>1238</v>
      </c>
      <c r="G1031" s="23" t="s">
        <v>521</v>
      </c>
      <c r="H1031" s="23" t="s">
        <v>967</v>
      </c>
      <c r="I1031" s="32"/>
      <c r="J1031" s="23" t="s">
        <v>6</v>
      </c>
      <c r="K1031" s="23" t="str">
        <f t="shared" si="1"/>
        <v>647128</v>
      </c>
      <c r="L1031" s="23"/>
      <c r="M1031" s="26"/>
      <c r="N1031" s="26"/>
      <c r="O1031" s="26"/>
      <c r="P1031" s="26"/>
      <c r="Q1031" s="26"/>
      <c r="R1031" s="26"/>
      <c r="S1031" s="26"/>
      <c r="T1031" s="26"/>
      <c r="U1031" s="26"/>
      <c r="V1031" s="26"/>
      <c r="W1031" s="26"/>
      <c r="X1031" s="26"/>
    </row>
    <row r="1032" hidden="1">
      <c r="A1032" s="10" t="s">
        <v>427</v>
      </c>
      <c r="B1032" s="10" t="s">
        <v>3314</v>
      </c>
      <c r="C1032" s="27" t="s">
        <v>3315</v>
      </c>
      <c r="D1032" s="10" t="s">
        <v>3316</v>
      </c>
      <c r="E1032" s="28" t="s">
        <v>534</v>
      </c>
      <c r="F1032" s="23" t="s">
        <v>757</v>
      </c>
      <c r="G1032" s="23" t="s">
        <v>521</v>
      </c>
      <c r="H1032" s="23" t="s">
        <v>967</v>
      </c>
      <c r="I1032" s="32"/>
      <c r="J1032" s="23" t="s">
        <v>6</v>
      </c>
      <c r="K1032" s="23" t="str">
        <f t="shared" si="1"/>
        <v>646831</v>
      </c>
      <c r="L1032" s="23"/>
      <c r="M1032" s="26"/>
      <c r="N1032" s="26"/>
      <c r="O1032" s="26"/>
      <c r="P1032" s="26"/>
      <c r="Q1032" s="26"/>
      <c r="R1032" s="26"/>
      <c r="S1032" s="26"/>
      <c r="T1032" s="26"/>
      <c r="U1032" s="26"/>
      <c r="V1032" s="26"/>
      <c r="W1032" s="26"/>
      <c r="X1032" s="26"/>
    </row>
    <row r="1033" hidden="1">
      <c r="A1033" s="10" t="s">
        <v>427</v>
      </c>
      <c r="B1033" s="10" t="s">
        <v>3317</v>
      </c>
      <c r="C1033" s="27" t="s">
        <v>3318</v>
      </c>
      <c r="D1033" s="10" t="s">
        <v>3319</v>
      </c>
      <c r="E1033" s="28" t="s">
        <v>534</v>
      </c>
      <c r="F1033" s="23" t="s">
        <v>1238</v>
      </c>
      <c r="G1033" s="23" t="s">
        <v>521</v>
      </c>
      <c r="H1033" s="23" t="s">
        <v>967</v>
      </c>
      <c r="I1033" s="32"/>
      <c r="J1033" s="23" t="s">
        <v>6</v>
      </c>
      <c r="K1033" s="23" t="str">
        <f t="shared" si="1"/>
        <v>647173</v>
      </c>
      <c r="L1033" s="23"/>
      <c r="M1033" s="26"/>
      <c r="N1033" s="26"/>
      <c r="O1033" s="26"/>
      <c r="P1033" s="26"/>
      <c r="Q1033" s="26"/>
      <c r="R1033" s="26"/>
      <c r="S1033" s="26"/>
      <c r="T1033" s="26"/>
      <c r="U1033" s="26"/>
      <c r="V1033" s="26"/>
      <c r="W1033" s="26"/>
      <c r="X1033" s="26"/>
    </row>
    <row r="1034" hidden="1">
      <c r="A1034" s="10" t="s">
        <v>427</v>
      </c>
      <c r="B1034" s="10" t="s">
        <v>3320</v>
      </c>
      <c r="C1034" s="27" t="s">
        <v>3321</v>
      </c>
      <c r="D1034" s="10" t="s">
        <v>3322</v>
      </c>
      <c r="E1034" s="28" t="s">
        <v>534</v>
      </c>
      <c r="F1034" s="23" t="s">
        <v>757</v>
      </c>
      <c r="G1034" s="23" t="s">
        <v>521</v>
      </c>
      <c r="H1034" s="23" t="s">
        <v>967</v>
      </c>
      <c r="I1034" s="32"/>
      <c r="J1034" s="23" t="s">
        <v>6</v>
      </c>
      <c r="K1034" s="23" t="str">
        <f t="shared" si="1"/>
        <v>646794</v>
      </c>
      <c r="L1034" s="23"/>
      <c r="M1034" s="26"/>
      <c r="N1034" s="26"/>
      <c r="O1034" s="26"/>
      <c r="P1034" s="26"/>
      <c r="Q1034" s="26"/>
      <c r="R1034" s="26"/>
      <c r="S1034" s="26"/>
      <c r="T1034" s="26"/>
      <c r="U1034" s="26"/>
      <c r="V1034" s="26"/>
      <c r="W1034" s="26"/>
      <c r="X1034" s="26"/>
    </row>
    <row r="1035" hidden="1">
      <c r="A1035" s="10" t="s">
        <v>427</v>
      </c>
      <c r="B1035" s="10" t="s">
        <v>3323</v>
      </c>
      <c r="C1035" s="27" t="s">
        <v>3324</v>
      </c>
      <c r="D1035" s="10" t="s">
        <v>3325</v>
      </c>
      <c r="E1035" s="28" t="s">
        <v>534</v>
      </c>
      <c r="F1035" s="23" t="s">
        <v>1238</v>
      </c>
      <c r="G1035" s="23" t="s">
        <v>521</v>
      </c>
      <c r="H1035" s="23" t="s">
        <v>967</v>
      </c>
      <c r="I1035" s="32"/>
      <c r="J1035" s="23" t="s">
        <v>6</v>
      </c>
      <c r="K1035" s="23" t="str">
        <f t="shared" si="1"/>
        <v>647135</v>
      </c>
      <c r="L1035" s="23"/>
      <c r="M1035" s="26"/>
      <c r="N1035" s="26"/>
      <c r="O1035" s="26"/>
      <c r="P1035" s="26"/>
      <c r="Q1035" s="26"/>
      <c r="R1035" s="26"/>
      <c r="S1035" s="26"/>
      <c r="T1035" s="26"/>
      <c r="U1035" s="26"/>
      <c r="V1035" s="26"/>
      <c r="W1035" s="26"/>
      <c r="X1035" s="26"/>
    </row>
    <row r="1036" hidden="1">
      <c r="A1036" s="10" t="s">
        <v>427</v>
      </c>
      <c r="B1036" s="10" t="s">
        <v>3326</v>
      </c>
      <c r="C1036" s="27" t="s">
        <v>3327</v>
      </c>
      <c r="D1036" s="10" t="s">
        <v>3328</v>
      </c>
      <c r="E1036" s="28" t="s">
        <v>534</v>
      </c>
      <c r="F1036" s="23" t="s">
        <v>1238</v>
      </c>
      <c r="G1036" s="23" t="s">
        <v>521</v>
      </c>
      <c r="H1036" s="23" t="s">
        <v>967</v>
      </c>
      <c r="I1036" s="32"/>
      <c r="J1036" s="23" t="s">
        <v>6</v>
      </c>
      <c r="K1036" s="23" t="str">
        <f t="shared" si="1"/>
        <v>647142</v>
      </c>
      <c r="L1036" s="23"/>
      <c r="M1036" s="26"/>
      <c r="N1036" s="26"/>
      <c r="O1036" s="26"/>
      <c r="P1036" s="26"/>
      <c r="Q1036" s="26"/>
      <c r="R1036" s="26"/>
      <c r="S1036" s="26"/>
      <c r="T1036" s="26"/>
      <c r="U1036" s="26"/>
      <c r="V1036" s="26"/>
      <c r="W1036" s="26"/>
      <c r="X1036" s="26"/>
    </row>
    <row r="1037" hidden="1">
      <c r="A1037" s="10" t="s">
        <v>427</v>
      </c>
      <c r="B1037" s="10" t="s">
        <v>3329</v>
      </c>
      <c r="C1037" s="27" t="s">
        <v>3330</v>
      </c>
      <c r="D1037" s="10" t="s">
        <v>3331</v>
      </c>
      <c r="E1037" s="28" t="s">
        <v>534</v>
      </c>
      <c r="F1037" s="23" t="s">
        <v>757</v>
      </c>
      <c r="G1037" s="23" t="s">
        <v>521</v>
      </c>
      <c r="H1037" s="23" t="s">
        <v>967</v>
      </c>
      <c r="I1037" s="32"/>
      <c r="J1037" s="23" t="s">
        <v>6</v>
      </c>
      <c r="K1037" s="23" t="str">
        <f t="shared" si="1"/>
        <v>646800</v>
      </c>
      <c r="L1037" s="23"/>
      <c r="M1037" s="26"/>
      <c r="N1037" s="26"/>
      <c r="O1037" s="26"/>
      <c r="P1037" s="26"/>
      <c r="Q1037" s="26"/>
      <c r="R1037" s="26"/>
      <c r="S1037" s="26"/>
      <c r="T1037" s="26"/>
      <c r="U1037" s="26"/>
      <c r="V1037" s="26"/>
      <c r="W1037" s="26"/>
      <c r="X1037" s="26"/>
    </row>
    <row r="1038" hidden="1">
      <c r="A1038" s="10" t="s">
        <v>427</v>
      </c>
      <c r="B1038" s="10" t="s">
        <v>3332</v>
      </c>
      <c r="C1038" s="27" t="s">
        <v>3333</v>
      </c>
      <c r="D1038" s="10" t="s">
        <v>3334</v>
      </c>
      <c r="E1038" s="28" t="s">
        <v>534</v>
      </c>
      <c r="F1038" s="23" t="s">
        <v>1238</v>
      </c>
      <c r="G1038" s="23" t="s">
        <v>521</v>
      </c>
      <c r="H1038" s="23" t="s">
        <v>967</v>
      </c>
      <c r="I1038" s="32"/>
      <c r="J1038" s="23" t="s">
        <v>6</v>
      </c>
      <c r="K1038" s="23" t="str">
        <f t="shared" si="1"/>
        <v>647159</v>
      </c>
      <c r="L1038" s="23"/>
      <c r="M1038" s="26"/>
      <c r="N1038" s="26"/>
      <c r="O1038" s="26"/>
      <c r="P1038" s="26"/>
      <c r="Q1038" s="26"/>
      <c r="R1038" s="26"/>
      <c r="S1038" s="26"/>
      <c r="T1038" s="26"/>
      <c r="U1038" s="26"/>
      <c r="V1038" s="26"/>
      <c r="W1038" s="26"/>
      <c r="X1038" s="26"/>
    </row>
    <row r="1039" hidden="1">
      <c r="A1039" s="10" t="s">
        <v>427</v>
      </c>
      <c r="B1039" s="10" t="s">
        <v>3335</v>
      </c>
      <c r="C1039" s="27" t="s">
        <v>3336</v>
      </c>
      <c r="D1039" s="10" t="s">
        <v>3337</v>
      </c>
      <c r="E1039" s="28" t="s">
        <v>534</v>
      </c>
      <c r="F1039" s="23" t="s">
        <v>757</v>
      </c>
      <c r="G1039" s="23" t="s">
        <v>521</v>
      </c>
      <c r="H1039" s="23" t="s">
        <v>967</v>
      </c>
      <c r="I1039" s="32"/>
      <c r="J1039" s="23" t="s">
        <v>6</v>
      </c>
      <c r="K1039" s="23" t="str">
        <f t="shared" si="1"/>
        <v>646817</v>
      </c>
      <c r="L1039" s="23"/>
      <c r="M1039" s="26"/>
      <c r="N1039" s="26"/>
      <c r="O1039" s="26"/>
      <c r="P1039" s="26"/>
      <c r="Q1039" s="26"/>
      <c r="R1039" s="26"/>
      <c r="S1039" s="26"/>
      <c r="T1039" s="26"/>
      <c r="U1039" s="26"/>
      <c r="V1039" s="26"/>
      <c r="W1039" s="26"/>
      <c r="X1039" s="26"/>
    </row>
    <row r="1040" hidden="1">
      <c r="A1040" s="10" t="s">
        <v>427</v>
      </c>
      <c r="B1040" s="10" t="s">
        <v>3338</v>
      </c>
      <c r="C1040" s="27" t="s">
        <v>3339</v>
      </c>
      <c r="D1040" s="10" t="s">
        <v>3340</v>
      </c>
      <c r="E1040" s="28" t="s">
        <v>534</v>
      </c>
      <c r="F1040" s="23" t="s">
        <v>1238</v>
      </c>
      <c r="G1040" s="23" t="s">
        <v>521</v>
      </c>
      <c r="H1040" s="23" t="s">
        <v>967</v>
      </c>
      <c r="I1040" s="32"/>
      <c r="J1040" s="23" t="s">
        <v>6</v>
      </c>
      <c r="K1040" s="23" t="str">
        <f t="shared" si="1"/>
        <v>647166</v>
      </c>
      <c r="L1040" s="23"/>
      <c r="M1040" s="26"/>
      <c r="N1040" s="26"/>
      <c r="O1040" s="26"/>
      <c r="P1040" s="26"/>
      <c r="Q1040" s="26"/>
      <c r="R1040" s="26"/>
      <c r="S1040" s="26"/>
      <c r="T1040" s="26"/>
      <c r="U1040" s="26"/>
      <c r="V1040" s="26"/>
      <c r="W1040" s="26"/>
      <c r="X1040" s="26"/>
    </row>
    <row r="1041" hidden="1">
      <c r="A1041" s="10" t="s">
        <v>427</v>
      </c>
      <c r="B1041" s="10" t="s">
        <v>3341</v>
      </c>
      <c r="C1041" s="27" t="s">
        <v>3342</v>
      </c>
      <c r="D1041" s="10" t="s">
        <v>3343</v>
      </c>
      <c r="E1041" s="28" t="s">
        <v>534</v>
      </c>
      <c r="F1041" s="23" t="s">
        <v>757</v>
      </c>
      <c r="G1041" s="23" t="s">
        <v>521</v>
      </c>
      <c r="H1041" s="23" t="s">
        <v>967</v>
      </c>
      <c r="I1041" s="32"/>
      <c r="J1041" s="23" t="s">
        <v>6</v>
      </c>
      <c r="K1041" s="23" t="str">
        <f t="shared" si="1"/>
        <v>646824</v>
      </c>
      <c r="L1041" s="23"/>
      <c r="M1041" s="26"/>
      <c r="N1041" s="26"/>
      <c r="O1041" s="26"/>
      <c r="P1041" s="26"/>
      <c r="Q1041" s="26"/>
      <c r="R1041" s="26"/>
      <c r="S1041" s="26"/>
      <c r="T1041" s="26"/>
      <c r="U1041" s="26"/>
      <c r="V1041" s="26"/>
      <c r="W1041" s="26"/>
      <c r="X1041" s="26"/>
    </row>
    <row r="1042" hidden="1">
      <c r="A1042" s="10" t="s">
        <v>427</v>
      </c>
      <c r="B1042" s="10" t="s">
        <v>3344</v>
      </c>
      <c r="C1042" s="27" t="s">
        <v>3345</v>
      </c>
      <c r="D1042" s="10" t="s">
        <v>3346</v>
      </c>
      <c r="E1042" s="28" t="s">
        <v>534</v>
      </c>
      <c r="F1042" s="23" t="s">
        <v>1238</v>
      </c>
      <c r="G1042" s="23" t="s">
        <v>521</v>
      </c>
      <c r="H1042" s="23" t="s">
        <v>967</v>
      </c>
      <c r="I1042" s="32"/>
      <c r="J1042" s="23" t="s">
        <v>6</v>
      </c>
      <c r="K1042" s="23" t="str">
        <f t="shared" si="1"/>
        <v>647258</v>
      </c>
      <c r="L1042" s="23"/>
      <c r="M1042" s="26"/>
      <c r="N1042" s="26"/>
      <c r="O1042" s="26"/>
      <c r="P1042" s="26"/>
      <c r="Q1042" s="26"/>
      <c r="R1042" s="26"/>
      <c r="S1042" s="26"/>
      <c r="T1042" s="26"/>
      <c r="U1042" s="26"/>
      <c r="V1042" s="26"/>
      <c r="W1042" s="26"/>
      <c r="X1042" s="26"/>
    </row>
    <row r="1043" hidden="1">
      <c r="A1043" s="10" t="s">
        <v>427</v>
      </c>
      <c r="B1043" s="10" t="s">
        <v>3347</v>
      </c>
      <c r="C1043" s="27" t="s">
        <v>3348</v>
      </c>
      <c r="D1043" s="10" t="s">
        <v>3349</v>
      </c>
      <c r="E1043" s="28" t="s">
        <v>534</v>
      </c>
      <c r="F1043" s="23" t="s">
        <v>757</v>
      </c>
      <c r="G1043" s="23" t="s">
        <v>521</v>
      </c>
      <c r="H1043" s="23" t="s">
        <v>967</v>
      </c>
      <c r="I1043" s="32"/>
      <c r="J1043" s="23" t="s">
        <v>6</v>
      </c>
      <c r="K1043" s="23" t="str">
        <f t="shared" si="1"/>
        <v>646947</v>
      </c>
      <c r="L1043" s="23"/>
      <c r="M1043" s="26"/>
      <c r="N1043" s="26"/>
      <c r="O1043" s="26"/>
      <c r="P1043" s="26"/>
      <c r="Q1043" s="26"/>
      <c r="R1043" s="26"/>
      <c r="S1043" s="26"/>
      <c r="T1043" s="26"/>
      <c r="U1043" s="26"/>
      <c r="V1043" s="26"/>
      <c r="W1043" s="26"/>
      <c r="X1043" s="26"/>
    </row>
    <row r="1044" hidden="1">
      <c r="A1044" s="10" t="s">
        <v>427</v>
      </c>
      <c r="B1044" s="10" t="s">
        <v>3350</v>
      </c>
      <c r="C1044" s="27" t="s">
        <v>3351</v>
      </c>
      <c r="D1044" s="10" t="s">
        <v>3352</v>
      </c>
      <c r="E1044" s="28" t="s">
        <v>534</v>
      </c>
      <c r="F1044" s="23" t="s">
        <v>757</v>
      </c>
      <c r="G1044" s="23" t="s">
        <v>521</v>
      </c>
      <c r="H1044" s="23" t="s">
        <v>967</v>
      </c>
      <c r="I1044" s="32"/>
      <c r="J1044" s="23" t="s">
        <v>6</v>
      </c>
      <c r="K1044" s="23" t="str">
        <f t="shared" si="1"/>
        <v>646923</v>
      </c>
      <c r="L1044" s="23"/>
      <c r="M1044" s="26"/>
      <c r="N1044" s="26"/>
      <c r="O1044" s="26"/>
      <c r="P1044" s="26"/>
      <c r="Q1044" s="26"/>
      <c r="R1044" s="26"/>
      <c r="S1044" s="26"/>
      <c r="T1044" s="26"/>
      <c r="U1044" s="26"/>
      <c r="V1044" s="26"/>
      <c r="W1044" s="26"/>
      <c r="X1044" s="26"/>
    </row>
    <row r="1045" hidden="1">
      <c r="A1045" s="10" t="s">
        <v>427</v>
      </c>
      <c r="B1045" s="10" t="s">
        <v>3353</v>
      </c>
      <c r="C1045" s="27" t="s">
        <v>3354</v>
      </c>
      <c r="D1045" s="10" t="s">
        <v>3355</v>
      </c>
      <c r="E1045" s="28" t="s">
        <v>534</v>
      </c>
      <c r="F1045" s="23" t="s">
        <v>1238</v>
      </c>
      <c r="G1045" s="23" t="s">
        <v>521</v>
      </c>
      <c r="H1045" s="23" t="s">
        <v>967</v>
      </c>
      <c r="I1045" s="32"/>
      <c r="J1045" s="23" t="s">
        <v>6</v>
      </c>
      <c r="K1045" s="23" t="str">
        <f t="shared" si="1"/>
        <v>647234</v>
      </c>
      <c r="L1045" s="23"/>
      <c r="M1045" s="26"/>
      <c r="N1045" s="26"/>
      <c r="O1045" s="26"/>
      <c r="P1045" s="26"/>
      <c r="Q1045" s="26"/>
      <c r="R1045" s="26"/>
      <c r="S1045" s="26"/>
      <c r="T1045" s="26"/>
      <c r="U1045" s="26"/>
      <c r="V1045" s="26"/>
      <c r="W1045" s="26"/>
      <c r="X1045" s="26"/>
    </row>
    <row r="1046" hidden="1">
      <c r="A1046" s="10" t="s">
        <v>427</v>
      </c>
      <c r="B1046" s="10" t="s">
        <v>3356</v>
      </c>
      <c r="C1046" s="27" t="s">
        <v>3357</v>
      </c>
      <c r="D1046" s="10" t="s">
        <v>3358</v>
      </c>
      <c r="E1046" s="28" t="s">
        <v>431</v>
      </c>
      <c r="F1046" s="23" t="s">
        <v>1788</v>
      </c>
      <c r="G1046" s="23" t="s">
        <v>521</v>
      </c>
      <c r="H1046" s="23" t="s">
        <v>967</v>
      </c>
      <c r="I1046" s="32"/>
      <c r="J1046" s="23" t="s">
        <v>6</v>
      </c>
      <c r="K1046" s="23" t="str">
        <f t="shared" si="1"/>
        <v>640082</v>
      </c>
      <c r="L1046" s="23"/>
      <c r="M1046" s="26"/>
      <c r="N1046" s="26"/>
      <c r="O1046" s="26"/>
      <c r="P1046" s="26"/>
      <c r="Q1046" s="26"/>
      <c r="R1046" s="26"/>
      <c r="S1046" s="26"/>
      <c r="T1046" s="26"/>
      <c r="U1046" s="26"/>
      <c r="V1046" s="26"/>
      <c r="W1046" s="26"/>
      <c r="X1046" s="26"/>
    </row>
    <row r="1047" hidden="1">
      <c r="A1047" s="10" t="s">
        <v>427</v>
      </c>
      <c r="B1047" s="10" t="s">
        <v>3359</v>
      </c>
      <c r="C1047" s="27" t="s">
        <v>3360</v>
      </c>
      <c r="D1047" s="10" t="s">
        <v>3361</v>
      </c>
      <c r="E1047" s="28" t="s">
        <v>431</v>
      </c>
      <c r="F1047" s="23" t="s">
        <v>1788</v>
      </c>
      <c r="G1047" s="23" t="s">
        <v>521</v>
      </c>
      <c r="H1047" s="23" t="s">
        <v>967</v>
      </c>
      <c r="I1047" s="32"/>
      <c r="J1047" s="23" t="s">
        <v>6</v>
      </c>
      <c r="K1047" s="23" t="str">
        <f t="shared" si="1"/>
        <v>673110</v>
      </c>
      <c r="L1047" s="23"/>
      <c r="M1047" s="26"/>
      <c r="N1047" s="26"/>
      <c r="O1047" s="26"/>
      <c r="P1047" s="26"/>
      <c r="Q1047" s="26"/>
      <c r="R1047" s="26"/>
      <c r="S1047" s="26"/>
      <c r="T1047" s="26"/>
      <c r="U1047" s="26"/>
      <c r="V1047" s="26"/>
      <c r="W1047" s="26"/>
      <c r="X1047" s="26"/>
    </row>
    <row r="1048" hidden="1">
      <c r="A1048" s="10" t="s">
        <v>427</v>
      </c>
      <c r="B1048" s="10" t="s">
        <v>3362</v>
      </c>
      <c r="C1048" s="27" t="s">
        <v>3363</v>
      </c>
      <c r="D1048" s="10" t="s">
        <v>3364</v>
      </c>
      <c r="E1048" s="28" t="s">
        <v>431</v>
      </c>
      <c r="F1048" s="23" t="s">
        <v>1053</v>
      </c>
      <c r="G1048" s="23" t="s">
        <v>521</v>
      </c>
      <c r="H1048" s="23" t="s">
        <v>967</v>
      </c>
      <c r="I1048" s="32"/>
      <c r="J1048" s="23" t="s">
        <v>6</v>
      </c>
      <c r="K1048" s="23" t="str">
        <f t="shared" si="1"/>
        <v>673127</v>
      </c>
      <c r="L1048" s="23"/>
      <c r="M1048" s="26"/>
      <c r="N1048" s="26"/>
      <c r="O1048" s="26"/>
      <c r="P1048" s="26"/>
      <c r="Q1048" s="26"/>
      <c r="R1048" s="26"/>
      <c r="S1048" s="26"/>
      <c r="T1048" s="26"/>
      <c r="U1048" s="26"/>
      <c r="V1048" s="26"/>
      <c r="W1048" s="26"/>
      <c r="X1048" s="26"/>
    </row>
    <row r="1049" hidden="1">
      <c r="A1049" s="10" t="s">
        <v>427</v>
      </c>
      <c r="B1049" s="10" t="s">
        <v>3365</v>
      </c>
      <c r="C1049" s="27" t="s">
        <v>3366</v>
      </c>
      <c r="D1049" s="10" t="s">
        <v>3367</v>
      </c>
      <c r="E1049" s="28" t="s">
        <v>418</v>
      </c>
      <c r="F1049" s="23" t="s">
        <v>977</v>
      </c>
      <c r="G1049" s="23" t="s">
        <v>521</v>
      </c>
      <c r="H1049" s="23" t="s">
        <v>967</v>
      </c>
      <c r="I1049" s="32"/>
      <c r="J1049" s="23" t="s">
        <v>6</v>
      </c>
      <c r="K1049" s="23" t="str">
        <f t="shared" si="1"/>
        <v>666532</v>
      </c>
      <c r="L1049" s="23"/>
      <c r="M1049" s="26"/>
      <c r="N1049" s="26"/>
      <c r="O1049" s="26"/>
      <c r="P1049" s="26"/>
      <c r="Q1049" s="26"/>
      <c r="R1049" s="26"/>
      <c r="S1049" s="26"/>
      <c r="T1049" s="26"/>
      <c r="U1049" s="26"/>
      <c r="V1049" s="26"/>
      <c r="W1049" s="26"/>
      <c r="X1049" s="26"/>
    </row>
    <row r="1050" hidden="1">
      <c r="A1050" s="10" t="s">
        <v>427</v>
      </c>
      <c r="B1050" s="10" t="s">
        <v>3368</v>
      </c>
      <c r="C1050" s="27" t="s">
        <v>3369</v>
      </c>
      <c r="D1050" s="10" t="s">
        <v>3370</v>
      </c>
      <c r="E1050" s="28" t="s">
        <v>418</v>
      </c>
      <c r="F1050" s="23" t="s">
        <v>977</v>
      </c>
      <c r="G1050" s="23" t="s">
        <v>521</v>
      </c>
      <c r="H1050" s="23" t="s">
        <v>978</v>
      </c>
      <c r="I1050" s="32"/>
      <c r="J1050" s="23" t="s">
        <v>6</v>
      </c>
      <c r="K1050" s="23" t="str">
        <f t="shared" si="1"/>
        <v>674115</v>
      </c>
      <c r="L1050" s="23"/>
      <c r="M1050" s="26"/>
      <c r="N1050" s="26"/>
      <c r="O1050" s="26"/>
      <c r="P1050" s="26"/>
      <c r="Q1050" s="26"/>
      <c r="R1050" s="26"/>
      <c r="S1050" s="26"/>
      <c r="T1050" s="26"/>
      <c r="U1050" s="26"/>
      <c r="V1050" s="26"/>
      <c r="W1050" s="26"/>
      <c r="X1050" s="26"/>
    </row>
    <row r="1051" hidden="1">
      <c r="A1051" s="10" t="s">
        <v>427</v>
      </c>
      <c r="B1051" s="10" t="s">
        <v>3371</v>
      </c>
      <c r="C1051" s="27" t="s">
        <v>3372</v>
      </c>
      <c r="D1051" s="10" t="s">
        <v>3373</v>
      </c>
      <c r="E1051" s="28" t="s">
        <v>534</v>
      </c>
      <c r="F1051" s="23" t="s">
        <v>535</v>
      </c>
      <c r="G1051" s="23" t="s">
        <v>521</v>
      </c>
      <c r="H1051" s="23" t="s">
        <v>978</v>
      </c>
      <c r="I1051" s="32"/>
      <c r="J1051" s="23" t="s">
        <v>6</v>
      </c>
      <c r="K1051" s="23" t="str">
        <f t="shared" si="1"/>
        <v>690421</v>
      </c>
      <c r="L1051" s="23"/>
      <c r="M1051" s="26"/>
      <c r="N1051" s="26"/>
      <c r="O1051" s="26"/>
      <c r="P1051" s="26"/>
      <c r="Q1051" s="26"/>
      <c r="R1051" s="26"/>
      <c r="S1051" s="26"/>
      <c r="T1051" s="26"/>
      <c r="U1051" s="26"/>
      <c r="V1051" s="26"/>
      <c r="W1051" s="26"/>
      <c r="X1051" s="26"/>
    </row>
    <row r="1052" hidden="1">
      <c r="A1052" s="10" t="s">
        <v>427</v>
      </c>
      <c r="B1052" s="10" t="s">
        <v>3374</v>
      </c>
      <c r="C1052" s="27" t="s">
        <v>3375</v>
      </c>
      <c r="D1052" s="10" t="s">
        <v>3376</v>
      </c>
      <c r="E1052" s="28" t="s">
        <v>418</v>
      </c>
      <c r="F1052" s="23" t="s">
        <v>419</v>
      </c>
      <c r="G1052" s="23" t="s">
        <v>521</v>
      </c>
      <c r="H1052" s="23" t="s">
        <v>978</v>
      </c>
      <c r="I1052" s="32"/>
      <c r="J1052" s="23" t="s">
        <v>6</v>
      </c>
      <c r="K1052" s="23" t="str">
        <f t="shared" si="1"/>
        <v>690452</v>
      </c>
      <c r="L1052" s="23"/>
      <c r="M1052" s="26"/>
      <c r="N1052" s="26"/>
      <c r="O1052" s="26"/>
      <c r="P1052" s="26"/>
      <c r="Q1052" s="26"/>
      <c r="R1052" s="26"/>
      <c r="S1052" s="26"/>
      <c r="T1052" s="26"/>
      <c r="U1052" s="26"/>
      <c r="V1052" s="26"/>
      <c r="W1052" s="26"/>
      <c r="X1052" s="26"/>
    </row>
    <row r="1053" hidden="1">
      <c r="A1053" s="10" t="s">
        <v>427</v>
      </c>
      <c r="B1053" s="10" t="s">
        <v>3377</v>
      </c>
      <c r="C1053" s="27" t="s">
        <v>3378</v>
      </c>
      <c r="D1053" s="10" t="s">
        <v>3379</v>
      </c>
      <c r="E1053" s="28" t="s">
        <v>534</v>
      </c>
      <c r="F1053" s="23" t="s">
        <v>1238</v>
      </c>
      <c r="G1053" s="23" t="s">
        <v>521</v>
      </c>
      <c r="H1053" s="23" t="s">
        <v>978</v>
      </c>
      <c r="I1053" s="32"/>
      <c r="J1053" s="23" t="s">
        <v>6</v>
      </c>
      <c r="K1053" s="23" t="str">
        <f t="shared" si="1"/>
        <v>671106</v>
      </c>
      <c r="L1053" s="23"/>
      <c r="M1053" s="26"/>
      <c r="N1053" s="26"/>
      <c r="O1053" s="26"/>
      <c r="P1053" s="26"/>
      <c r="Q1053" s="26"/>
      <c r="R1053" s="26"/>
      <c r="S1053" s="26"/>
      <c r="T1053" s="26"/>
      <c r="U1053" s="26"/>
      <c r="V1053" s="26"/>
      <c r="W1053" s="26"/>
      <c r="X1053" s="26"/>
    </row>
    <row r="1054" hidden="1">
      <c r="A1054" s="10" t="s">
        <v>427</v>
      </c>
      <c r="B1054" s="10" t="s">
        <v>3380</v>
      </c>
      <c r="C1054" s="27" t="s">
        <v>3381</v>
      </c>
      <c r="D1054" s="10" t="s">
        <v>3382</v>
      </c>
      <c r="E1054" s="28" t="s">
        <v>431</v>
      </c>
      <c r="F1054" s="23" t="s">
        <v>933</v>
      </c>
      <c r="G1054" s="23" t="s">
        <v>521</v>
      </c>
      <c r="H1054" s="23" t="s">
        <v>978</v>
      </c>
      <c r="I1054" s="32"/>
      <c r="J1054" s="23" t="s">
        <v>6</v>
      </c>
      <c r="K1054" s="23" t="str">
        <f t="shared" si="1"/>
        <v>673219</v>
      </c>
      <c r="L1054" s="23"/>
      <c r="M1054" s="26"/>
      <c r="N1054" s="26"/>
      <c r="O1054" s="26"/>
      <c r="P1054" s="26"/>
      <c r="Q1054" s="26"/>
      <c r="R1054" s="26"/>
      <c r="S1054" s="26"/>
      <c r="T1054" s="26"/>
      <c r="U1054" s="26"/>
      <c r="V1054" s="26"/>
      <c r="W1054" s="26"/>
      <c r="X1054" s="26"/>
    </row>
    <row r="1055" hidden="1">
      <c r="A1055" s="10" t="s">
        <v>427</v>
      </c>
      <c r="B1055" s="10" t="s">
        <v>3383</v>
      </c>
      <c r="C1055" s="27" t="s">
        <v>3384</v>
      </c>
      <c r="D1055" s="10" t="s">
        <v>3385</v>
      </c>
      <c r="E1055" s="28" t="s">
        <v>431</v>
      </c>
      <c r="F1055" s="23" t="s">
        <v>950</v>
      </c>
      <c r="G1055" s="23" t="s">
        <v>521</v>
      </c>
      <c r="H1055" s="23" t="s">
        <v>978</v>
      </c>
      <c r="I1055" s="32"/>
      <c r="J1055" s="23" t="s">
        <v>6</v>
      </c>
      <c r="K1055" s="23" t="str">
        <f t="shared" si="1"/>
        <v>638218</v>
      </c>
      <c r="L1055" s="23"/>
      <c r="M1055" s="23"/>
      <c r="N1055" s="23"/>
      <c r="O1055" s="23"/>
      <c r="P1055" s="23"/>
      <c r="Q1055" s="23"/>
      <c r="R1055" s="23"/>
      <c r="S1055" s="23"/>
      <c r="T1055" s="23"/>
      <c r="U1055" s="23"/>
      <c r="V1055" s="23"/>
      <c r="W1055" s="23"/>
      <c r="X1055" s="23"/>
    </row>
    <row r="1056" hidden="1">
      <c r="A1056" s="10" t="s">
        <v>427</v>
      </c>
      <c r="B1056" s="10" t="s">
        <v>3386</v>
      </c>
      <c r="C1056" s="27" t="s">
        <v>3387</v>
      </c>
      <c r="D1056" s="10" t="s">
        <v>3388</v>
      </c>
      <c r="E1056" s="28" t="s">
        <v>534</v>
      </c>
      <c r="F1056" s="23" t="s">
        <v>1238</v>
      </c>
      <c r="G1056" s="23" t="s">
        <v>521</v>
      </c>
      <c r="H1056" s="23" t="s">
        <v>978</v>
      </c>
      <c r="I1056" s="32"/>
      <c r="J1056" s="23" t="s">
        <v>6</v>
      </c>
      <c r="K1056" s="23" t="str">
        <f t="shared" si="1"/>
        <v>690940</v>
      </c>
      <c r="L1056" s="23"/>
      <c r="M1056" s="23"/>
      <c r="N1056" s="23"/>
      <c r="O1056" s="23"/>
      <c r="P1056" s="23"/>
      <c r="Q1056" s="23"/>
      <c r="R1056" s="23"/>
      <c r="S1056" s="23"/>
      <c r="T1056" s="23"/>
      <c r="U1056" s="23"/>
      <c r="V1056" s="23"/>
      <c r="W1056" s="23"/>
      <c r="X1056" s="23"/>
    </row>
    <row r="1057" hidden="1">
      <c r="A1057" s="10" t="s">
        <v>427</v>
      </c>
      <c r="B1057" s="10" t="s">
        <v>3389</v>
      </c>
      <c r="C1057" s="27" t="s">
        <v>3390</v>
      </c>
      <c r="D1057" s="10" t="s">
        <v>3391</v>
      </c>
      <c r="E1057" s="28" t="s">
        <v>418</v>
      </c>
      <c r="F1057" s="23" t="s">
        <v>419</v>
      </c>
      <c r="G1057" s="23" t="s">
        <v>521</v>
      </c>
      <c r="H1057" s="23" t="s">
        <v>978</v>
      </c>
      <c r="I1057" s="32"/>
      <c r="J1057" s="23" t="s">
        <v>6</v>
      </c>
      <c r="K1057" s="23" t="str">
        <f t="shared" si="1"/>
        <v>673660</v>
      </c>
      <c r="L1057" s="23"/>
      <c r="M1057" s="23"/>
      <c r="N1057" s="23"/>
      <c r="O1057" s="23"/>
      <c r="P1057" s="23"/>
      <c r="Q1057" s="23"/>
      <c r="R1057" s="23"/>
      <c r="S1057" s="23"/>
      <c r="T1057" s="23"/>
      <c r="U1057" s="23"/>
      <c r="V1057" s="23"/>
      <c r="W1057" s="23"/>
      <c r="X1057" s="23"/>
    </row>
    <row r="1058" hidden="1">
      <c r="A1058" s="10" t="s">
        <v>427</v>
      </c>
      <c r="B1058" s="10" t="s">
        <v>3392</v>
      </c>
      <c r="C1058" s="27" t="s">
        <v>3393</v>
      </c>
      <c r="D1058" s="10" t="s">
        <v>3394</v>
      </c>
      <c r="E1058" s="28" t="s">
        <v>534</v>
      </c>
      <c r="F1058" s="23" t="s">
        <v>535</v>
      </c>
      <c r="G1058" s="23" t="s">
        <v>521</v>
      </c>
      <c r="H1058" s="23" t="s">
        <v>978</v>
      </c>
      <c r="I1058" s="32"/>
      <c r="J1058" s="23" t="s">
        <v>6</v>
      </c>
      <c r="K1058" s="23" t="str">
        <f t="shared" si="1"/>
        <v>673776</v>
      </c>
      <c r="L1058" s="23"/>
      <c r="M1058" s="23"/>
      <c r="N1058" s="23"/>
      <c r="O1058" s="23"/>
      <c r="P1058" s="23"/>
      <c r="Q1058" s="23"/>
      <c r="R1058" s="23"/>
      <c r="S1058" s="23"/>
      <c r="T1058" s="23"/>
      <c r="U1058" s="23"/>
      <c r="V1058" s="23"/>
      <c r="W1058" s="23"/>
      <c r="X1058" s="23"/>
    </row>
    <row r="1059" hidden="1">
      <c r="A1059" s="10" t="s">
        <v>427</v>
      </c>
      <c r="B1059" s="10" t="s">
        <v>3395</v>
      </c>
      <c r="C1059" s="27" t="s">
        <v>3396</v>
      </c>
      <c r="D1059" s="10" t="s">
        <v>3397</v>
      </c>
      <c r="E1059" s="28" t="s">
        <v>534</v>
      </c>
      <c r="F1059" s="23" t="s">
        <v>535</v>
      </c>
      <c r="G1059" s="23" t="s">
        <v>521</v>
      </c>
      <c r="H1059" s="23" t="s">
        <v>978</v>
      </c>
      <c r="I1059" s="32"/>
      <c r="J1059" s="23" t="s">
        <v>6</v>
      </c>
      <c r="K1059" s="23" t="str">
        <f t="shared" si="1"/>
        <v>673790</v>
      </c>
      <c r="L1059" s="23"/>
      <c r="M1059" s="23"/>
      <c r="N1059" s="23"/>
      <c r="O1059" s="23"/>
      <c r="P1059" s="23"/>
      <c r="Q1059" s="23"/>
      <c r="R1059" s="23"/>
      <c r="S1059" s="23"/>
      <c r="T1059" s="23"/>
      <c r="U1059" s="23"/>
      <c r="V1059" s="23"/>
      <c r="W1059" s="23"/>
      <c r="X1059" s="23"/>
    </row>
    <row r="1060" hidden="1">
      <c r="A1060" s="10" t="s">
        <v>427</v>
      </c>
      <c r="B1060" s="10" t="s">
        <v>3398</v>
      </c>
      <c r="C1060" s="27" t="s">
        <v>3399</v>
      </c>
      <c r="D1060" s="10" t="s">
        <v>3400</v>
      </c>
      <c r="E1060" s="28" t="s">
        <v>1047</v>
      </c>
      <c r="F1060" s="23" t="s">
        <v>1048</v>
      </c>
      <c r="G1060" s="23" t="s">
        <v>521</v>
      </c>
      <c r="H1060" s="23" t="s">
        <v>978</v>
      </c>
      <c r="I1060" s="32"/>
      <c r="J1060" s="23" t="s">
        <v>6</v>
      </c>
      <c r="K1060" s="23" t="str">
        <f t="shared" si="1"/>
        <v>667348</v>
      </c>
      <c r="L1060" s="23"/>
      <c r="M1060" s="23"/>
      <c r="N1060" s="23"/>
      <c r="O1060" s="23"/>
      <c r="P1060" s="23"/>
      <c r="Q1060" s="23"/>
      <c r="R1060" s="23"/>
      <c r="S1060" s="23"/>
      <c r="T1060" s="23"/>
      <c r="U1060" s="23"/>
      <c r="V1060" s="23"/>
      <c r="W1060" s="23"/>
      <c r="X1060" s="23"/>
    </row>
    <row r="1061" hidden="1">
      <c r="A1061" s="10" t="s">
        <v>427</v>
      </c>
      <c r="B1061" s="10" t="s">
        <v>3401</v>
      </c>
      <c r="C1061" s="27" t="s">
        <v>3402</v>
      </c>
      <c r="D1061" s="10" t="s">
        <v>3403</v>
      </c>
      <c r="E1061" s="28" t="s">
        <v>431</v>
      </c>
      <c r="F1061" s="23" t="s">
        <v>946</v>
      </c>
      <c r="G1061" s="23" t="s">
        <v>521</v>
      </c>
      <c r="H1061" s="23" t="s">
        <v>978</v>
      </c>
      <c r="I1061" s="32"/>
      <c r="J1061" s="23" t="s">
        <v>6</v>
      </c>
      <c r="K1061" s="23" t="str">
        <f t="shared" si="1"/>
        <v>673783</v>
      </c>
      <c r="L1061" s="23"/>
      <c r="M1061" s="23"/>
      <c r="N1061" s="23"/>
      <c r="O1061" s="23"/>
      <c r="P1061" s="23"/>
      <c r="Q1061" s="23"/>
      <c r="R1061" s="23"/>
      <c r="S1061" s="23"/>
      <c r="T1061" s="23"/>
      <c r="U1061" s="23"/>
      <c r="V1061" s="23"/>
      <c r="W1061" s="23"/>
      <c r="X1061" s="23"/>
    </row>
    <row r="1062" hidden="1">
      <c r="A1062" s="10" t="s">
        <v>427</v>
      </c>
      <c r="B1062" s="10" t="s">
        <v>3404</v>
      </c>
      <c r="C1062" s="27" t="s">
        <v>3405</v>
      </c>
      <c r="D1062" s="10" t="s">
        <v>3406</v>
      </c>
      <c r="E1062" s="28" t="s">
        <v>534</v>
      </c>
      <c r="F1062" s="23" t="s">
        <v>1238</v>
      </c>
      <c r="G1062" s="23" t="s">
        <v>521</v>
      </c>
      <c r="H1062" s="23" t="s">
        <v>978</v>
      </c>
      <c r="I1062" s="32"/>
      <c r="J1062" s="23" t="s">
        <v>6</v>
      </c>
      <c r="K1062" s="23" t="str">
        <f t="shared" si="1"/>
        <v>674223</v>
      </c>
      <c r="L1062" s="23"/>
      <c r="M1062" s="26"/>
      <c r="N1062" s="26"/>
      <c r="O1062" s="26"/>
      <c r="P1062" s="26"/>
      <c r="Q1062" s="26"/>
      <c r="R1062" s="26"/>
      <c r="S1062" s="26"/>
      <c r="T1062" s="26"/>
      <c r="U1062" s="26"/>
      <c r="V1062" s="26"/>
      <c r="W1062" s="26"/>
      <c r="X1062" s="26"/>
    </row>
    <row r="1063" hidden="1">
      <c r="A1063" s="10" t="s">
        <v>427</v>
      </c>
      <c r="B1063" s="10" t="s">
        <v>3407</v>
      </c>
      <c r="C1063" s="27" t="s">
        <v>3408</v>
      </c>
      <c r="D1063" s="10" t="s">
        <v>3409</v>
      </c>
      <c r="E1063" s="28" t="s">
        <v>534</v>
      </c>
      <c r="F1063" s="23" t="s">
        <v>1238</v>
      </c>
      <c r="G1063" s="23" t="s">
        <v>521</v>
      </c>
      <c r="H1063" s="23" t="s">
        <v>984</v>
      </c>
      <c r="I1063" s="32"/>
      <c r="J1063" s="23" t="s">
        <v>6</v>
      </c>
      <c r="K1063" s="23" t="str">
        <f t="shared" si="1"/>
        <v>653907</v>
      </c>
      <c r="L1063" s="23"/>
      <c r="M1063" s="26"/>
      <c r="N1063" s="26"/>
      <c r="O1063" s="26"/>
      <c r="P1063" s="26"/>
      <c r="Q1063" s="26"/>
      <c r="R1063" s="26"/>
      <c r="S1063" s="26"/>
      <c r="T1063" s="26"/>
      <c r="U1063" s="26"/>
      <c r="V1063" s="26"/>
      <c r="W1063" s="26"/>
      <c r="X1063" s="26"/>
    </row>
    <row r="1064" hidden="1">
      <c r="A1064" s="10" t="s">
        <v>427</v>
      </c>
      <c r="B1064" s="10" t="s">
        <v>3410</v>
      </c>
      <c r="C1064" s="27" t="s">
        <v>3411</v>
      </c>
      <c r="D1064" s="10" t="s">
        <v>3412</v>
      </c>
      <c r="E1064" s="28" t="s">
        <v>431</v>
      </c>
      <c r="F1064" s="23" t="s">
        <v>946</v>
      </c>
      <c r="G1064" s="23" t="s">
        <v>521</v>
      </c>
      <c r="H1064" s="23" t="s">
        <v>984</v>
      </c>
      <c r="I1064" s="32"/>
      <c r="J1064" s="23" t="s">
        <v>6</v>
      </c>
      <c r="K1064" s="23" t="str">
        <f t="shared" si="1"/>
        <v>631882</v>
      </c>
      <c r="L1064" s="23"/>
      <c r="M1064" s="26"/>
      <c r="N1064" s="26"/>
      <c r="O1064" s="26"/>
      <c r="P1064" s="26"/>
      <c r="Q1064" s="26"/>
      <c r="R1064" s="26"/>
      <c r="S1064" s="26"/>
      <c r="T1064" s="26"/>
      <c r="U1064" s="26"/>
      <c r="V1064" s="26"/>
      <c r="W1064" s="26"/>
      <c r="X1064" s="26"/>
    </row>
    <row r="1065" hidden="1">
      <c r="A1065" s="10" t="s">
        <v>427</v>
      </c>
      <c r="B1065" s="10" t="s">
        <v>3413</v>
      </c>
      <c r="C1065" s="27" t="s">
        <v>3414</v>
      </c>
      <c r="D1065" s="10" t="s">
        <v>3415</v>
      </c>
      <c r="E1065" s="28" t="s">
        <v>534</v>
      </c>
      <c r="F1065" s="23" t="s">
        <v>954</v>
      </c>
      <c r="G1065" s="23" t="s">
        <v>521</v>
      </c>
      <c r="H1065" s="23" t="s">
        <v>984</v>
      </c>
      <c r="I1065" s="32"/>
      <c r="J1065" s="23" t="s">
        <v>6</v>
      </c>
      <c r="K1065" s="23" t="str">
        <f t="shared" si="1"/>
        <v>650036</v>
      </c>
      <c r="L1065" s="23"/>
      <c r="M1065" s="26"/>
      <c r="N1065" s="26"/>
      <c r="O1065" s="26"/>
      <c r="P1065" s="26"/>
      <c r="Q1065" s="26"/>
      <c r="R1065" s="26"/>
      <c r="S1065" s="26"/>
      <c r="T1065" s="26"/>
      <c r="U1065" s="26"/>
      <c r="V1065" s="26"/>
      <c r="W1065" s="26"/>
      <c r="X1065" s="26"/>
    </row>
    <row r="1066" hidden="1">
      <c r="A1066" s="10" t="s">
        <v>427</v>
      </c>
      <c r="B1066" s="10" t="s">
        <v>3416</v>
      </c>
      <c r="C1066" s="27" t="s">
        <v>3417</v>
      </c>
      <c r="D1066" s="10" t="s">
        <v>3418</v>
      </c>
      <c r="E1066" s="28" t="s">
        <v>534</v>
      </c>
      <c r="F1066" s="23" t="s">
        <v>954</v>
      </c>
      <c r="G1066" s="23" t="s">
        <v>521</v>
      </c>
      <c r="H1066" s="23" t="s">
        <v>984</v>
      </c>
      <c r="I1066" s="32"/>
      <c r="J1066" s="23" t="s">
        <v>6</v>
      </c>
      <c r="K1066" s="23" t="str">
        <f t="shared" si="1"/>
        <v>658841</v>
      </c>
      <c r="L1066" s="23"/>
      <c r="M1066" s="26"/>
      <c r="N1066" s="26"/>
      <c r="O1066" s="26"/>
      <c r="P1066" s="26"/>
      <c r="Q1066" s="26"/>
      <c r="R1066" s="26"/>
      <c r="S1066" s="26"/>
      <c r="T1066" s="26"/>
      <c r="U1066" s="26"/>
      <c r="V1066" s="26"/>
      <c r="W1066" s="26"/>
      <c r="X1066" s="26"/>
    </row>
    <row r="1067" hidden="1">
      <c r="A1067" s="10" t="s">
        <v>427</v>
      </c>
      <c r="B1067" s="10" t="s">
        <v>3419</v>
      </c>
      <c r="C1067" s="27" t="s">
        <v>3420</v>
      </c>
      <c r="D1067" s="10" t="s">
        <v>3421</v>
      </c>
      <c r="E1067" s="28" t="s">
        <v>418</v>
      </c>
      <c r="F1067" s="23" t="s">
        <v>977</v>
      </c>
      <c r="G1067" s="23" t="s">
        <v>521</v>
      </c>
      <c r="H1067" s="23" t="s">
        <v>984</v>
      </c>
      <c r="I1067" s="32"/>
      <c r="J1067" s="23" t="s">
        <v>6</v>
      </c>
      <c r="K1067" s="23" t="str">
        <f t="shared" si="1"/>
        <v>682860</v>
      </c>
      <c r="L1067" s="23"/>
      <c r="M1067" s="26"/>
      <c r="N1067" s="26"/>
      <c r="O1067" s="26"/>
      <c r="P1067" s="26"/>
      <c r="Q1067" s="26"/>
      <c r="R1067" s="26"/>
      <c r="S1067" s="26"/>
      <c r="T1067" s="26"/>
      <c r="U1067" s="26"/>
      <c r="V1067" s="26"/>
      <c r="W1067" s="26"/>
      <c r="X1067" s="26"/>
    </row>
    <row r="1068" hidden="1">
      <c r="A1068" s="10" t="s">
        <v>427</v>
      </c>
      <c r="B1068" s="10" t="s">
        <v>3422</v>
      </c>
      <c r="C1068" s="27" t="s">
        <v>3423</v>
      </c>
      <c r="D1068" s="10" t="s">
        <v>3424</v>
      </c>
      <c r="E1068" s="28" t="s">
        <v>534</v>
      </c>
      <c r="F1068" s="23" t="s">
        <v>757</v>
      </c>
      <c r="G1068" s="23" t="s">
        <v>521</v>
      </c>
      <c r="H1068" s="23" t="s">
        <v>984</v>
      </c>
      <c r="I1068" s="32"/>
      <c r="J1068" s="23" t="s">
        <v>6</v>
      </c>
      <c r="K1068" s="23" t="str">
        <f t="shared" si="1"/>
        <v>686387</v>
      </c>
      <c r="L1068" s="23"/>
      <c r="M1068" s="26"/>
      <c r="N1068" s="26"/>
      <c r="O1068" s="26"/>
      <c r="P1068" s="26"/>
      <c r="Q1068" s="26"/>
      <c r="R1068" s="26"/>
      <c r="S1068" s="26"/>
      <c r="T1068" s="26"/>
      <c r="U1068" s="26"/>
      <c r="V1068" s="26"/>
      <c r="W1068" s="26"/>
      <c r="X1068" s="26"/>
    </row>
    <row r="1069" hidden="1">
      <c r="A1069" s="10" t="s">
        <v>427</v>
      </c>
      <c r="B1069" s="10" t="s">
        <v>3425</v>
      </c>
      <c r="C1069" s="27" t="s">
        <v>3426</v>
      </c>
      <c r="D1069" s="10" t="s">
        <v>3427</v>
      </c>
      <c r="E1069" s="28" t="s">
        <v>534</v>
      </c>
      <c r="F1069" s="23" t="s">
        <v>1238</v>
      </c>
      <c r="G1069" s="23" t="s">
        <v>521</v>
      </c>
      <c r="H1069" s="23" t="s">
        <v>984</v>
      </c>
      <c r="I1069" s="32"/>
      <c r="J1069" s="23" t="s">
        <v>6</v>
      </c>
      <c r="K1069" s="23" t="str">
        <f t="shared" si="1"/>
        <v>690971</v>
      </c>
      <c r="L1069" s="23"/>
      <c r="M1069" s="26"/>
      <c r="N1069" s="26"/>
      <c r="O1069" s="26"/>
      <c r="P1069" s="26"/>
      <c r="Q1069" s="26"/>
      <c r="R1069" s="26"/>
      <c r="S1069" s="26"/>
      <c r="T1069" s="26"/>
      <c r="U1069" s="26"/>
      <c r="V1069" s="26"/>
      <c r="W1069" s="26"/>
      <c r="X1069" s="26"/>
    </row>
    <row r="1070" hidden="1">
      <c r="A1070" s="10" t="s">
        <v>427</v>
      </c>
      <c r="B1070" s="10" t="s">
        <v>3428</v>
      </c>
      <c r="C1070" s="27" t="s">
        <v>3429</v>
      </c>
      <c r="D1070" s="10" t="s">
        <v>3430</v>
      </c>
      <c r="E1070" s="28" t="s">
        <v>431</v>
      </c>
      <c r="F1070" s="23" t="s">
        <v>946</v>
      </c>
      <c r="G1070" s="23" t="s">
        <v>521</v>
      </c>
      <c r="H1070" s="23" t="s">
        <v>984</v>
      </c>
      <c r="I1070" s="32"/>
      <c r="J1070" s="23" t="s">
        <v>6</v>
      </c>
      <c r="K1070" s="23" t="str">
        <f t="shared" si="1"/>
        <v>677323</v>
      </c>
      <c r="L1070" s="23"/>
      <c r="M1070" s="26"/>
      <c r="N1070" s="26"/>
      <c r="O1070" s="26"/>
      <c r="P1070" s="26"/>
      <c r="Q1070" s="26"/>
      <c r="R1070" s="26"/>
      <c r="S1070" s="26"/>
      <c r="T1070" s="26"/>
      <c r="U1070" s="26"/>
      <c r="V1070" s="26"/>
      <c r="W1070" s="26"/>
      <c r="X1070" s="26"/>
    </row>
    <row r="1071" hidden="1">
      <c r="A1071" s="10" t="s">
        <v>427</v>
      </c>
      <c r="B1071" s="10" t="s">
        <v>3431</v>
      </c>
      <c r="C1071" s="27" t="s">
        <v>3432</v>
      </c>
      <c r="D1071" s="10" t="s">
        <v>3433</v>
      </c>
      <c r="E1071" s="28" t="s">
        <v>534</v>
      </c>
      <c r="F1071" s="23" t="s">
        <v>1242</v>
      </c>
      <c r="G1071" s="23" t="s">
        <v>521</v>
      </c>
      <c r="H1071" s="23" t="s">
        <v>984</v>
      </c>
      <c r="I1071" s="32"/>
      <c r="J1071" s="23" t="s">
        <v>6</v>
      </c>
      <c r="K1071" s="23" t="str">
        <f t="shared" si="1"/>
        <v>681849</v>
      </c>
      <c r="L1071" s="23"/>
      <c r="M1071" s="26"/>
      <c r="N1071" s="26"/>
      <c r="O1071" s="26"/>
      <c r="P1071" s="26"/>
      <c r="Q1071" s="26"/>
      <c r="R1071" s="26"/>
      <c r="S1071" s="26"/>
      <c r="T1071" s="26"/>
      <c r="U1071" s="26"/>
      <c r="V1071" s="26"/>
      <c r="W1071" s="26"/>
      <c r="X1071" s="26"/>
    </row>
    <row r="1072" hidden="1">
      <c r="A1072" s="10" t="s">
        <v>427</v>
      </c>
      <c r="B1072" s="10" t="s">
        <v>3434</v>
      </c>
      <c r="C1072" s="27" t="s">
        <v>3435</v>
      </c>
      <c r="D1072" s="10" t="s">
        <v>3436</v>
      </c>
      <c r="E1072" s="28" t="s">
        <v>431</v>
      </c>
      <c r="F1072" s="23" t="s">
        <v>950</v>
      </c>
      <c r="G1072" s="23" t="s">
        <v>521</v>
      </c>
      <c r="H1072" s="23" t="s">
        <v>984</v>
      </c>
      <c r="I1072" s="32"/>
      <c r="J1072" s="23" t="s">
        <v>6</v>
      </c>
      <c r="K1072" s="23" t="str">
        <f t="shared" si="1"/>
        <v>675961</v>
      </c>
      <c r="L1072" s="23"/>
      <c r="M1072" s="26"/>
      <c r="N1072" s="26"/>
      <c r="O1072" s="26"/>
      <c r="P1072" s="26"/>
      <c r="Q1072" s="26"/>
      <c r="R1072" s="26"/>
      <c r="S1072" s="26"/>
      <c r="T1072" s="26"/>
      <c r="U1072" s="26"/>
      <c r="V1072" s="26"/>
      <c r="W1072" s="26"/>
      <c r="X1072" s="26"/>
    </row>
    <row r="1073" hidden="1">
      <c r="A1073" s="10" t="s">
        <v>427</v>
      </c>
      <c r="B1073" s="10" t="s">
        <v>3437</v>
      </c>
      <c r="C1073" s="27" t="s">
        <v>3438</v>
      </c>
      <c r="D1073" s="10" t="s">
        <v>3439</v>
      </c>
      <c r="E1073" s="28" t="s">
        <v>418</v>
      </c>
      <c r="F1073" s="23" t="s">
        <v>419</v>
      </c>
      <c r="G1073" s="23" t="s">
        <v>521</v>
      </c>
      <c r="H1073" s="23" t="s">
        <v>984</v>
      </c>
      <c r="I1073" s="32"/>
      <c r="J1073" s="23" t="s">
        <v>6</v>
      </c>
      <c r="K1073" s="23" t="str">
        <f t="shared" si="1"/>
        <v>682884</v>
      </c>
      <c r="L1073" s="23"/>
      <c r="M1073" s="26"/>
      <c r="N1073" s="26"/>
      <c r="O1073" s="26"/>
      <c r="P1073" s="26"/>
      <c r="Q1073" s="26"/>
      <c r="R1073" s="26"/>
      <c r="S1073" s="26"/>
      <c r="T1073" s="26"/>
      <c r="U1073" s="26"/>
      <c r="V1073" s="26"/>
      <c r="W1073" s="26"/>
      <c r="X1073" s="26"/>
    </row>
    <row r="1074" hidden="1">
      <c r="A1074" s="10" t="s">
        <v>427</v>
      </c>
      <c r="B1074" s="10" t="s">
        <v>3440</v>
      </c>
      <c r="C1074" s="27" t="s">
        <v>3441</v>
      </c>
      <c r="D1074" s="10" t="s">
        <v>3442</v>
      </c>
      <c r="E1074" s="28" t="s">
        <v>534</v>
      </c>
      <c r="F1074" s="23" t="s">
        <v>1242</v>
      </c>
      <c r="G1074" s="23" t="s">
        <v>521</v>
      </c>
      <c r="H1074" s="23" t="s">
        <v>984</v>
      </c>
      <c r="I1074" s="32"/>
      <c r="J1074" s="23" t="s">
        <v>6</v>
      </c>
      <c r="K1074" s="23" t="str">
        <f t="shared" si="1"/>
        <v>679020</v>
      </c>
      <c r="L1074" s="23"/>
      <c r="M1074" s="26"/>
      <c r="N1074" s="26"/>
      <c r="O1074" s="26"/>
      <c r="P1074" s="26"/>
      <c r="Q1074" s="26"/>
      <c r="R1074" s="26"/>
      <c r="S1074" s="26"/>
      <c r="T1074" s="26"/>
      <c r="U1074" s="26"/>
      <c r="V1074" s="26"/>
      <c r="W1074" s="26"/>
      <c r="X1074" s="26"/>
    </row>
    <row r="1075" hidden="1">
      <c r="A1075" s="10" t="s">
        <v>427</v>
      </c>
      <c r="B1075" s="10" t="s">
        <v>3443</v>
      </c>
      <c r="C1075" s="27" t="s">
        <v>3444</v>
      </c>
      <c r="D1075" s="10" t="s">
        <v>3445</v>
      </c>
      <c r="E1075" s="28" t="s">
        <v>534</v>
      </c>
      <c r="F1075" s="23" t="s">
        <v>535</v>
      </c>
      <c r="G1075" s="23" t="s">
        <v>521</v>
      </c>
      <c r="H1075" s="23" t="s">
        <v>984</v>
      </c>
      <c r="I1075" s="32"/>
      <c r="J1075" s="23" t="s">
        <v>6</v>
      </c>
      <c r="K1075" s="23" t="str">
        <f t="shared" si="1"/>
        <v>671116</v>
      </c>
      <c r="L1075" s="23"/>
      <c r="M1075" s="26"/>
      <c r="N1075" s="26"/>
      <c r="O1075" s="26"/>
      <c r="P1075" s="26"/>
      <c r="Q1075" s="26"/>
      <c r="R1075" s="26"/>
      <c r="S1075" s="26"/>
      <c r="T1075" s="26"/>
      <c r="U1075" s="26"/>
      <c r="V1075" s="26"/>
      <c r="W1075" s="26"/>
      <c r="X1075" s="26"/>
    </row>
    <row r="1076" hidden="1">
      <c r="A1076" s="10" t="s">
        <v>427</v>
      </c>
      <c r="B1076" s="10" t="s">
        <v>3446</v>
      </c>
      <c r="C1076" s="27" t="s">
        <v>3447</v>
      </c>
      <c r="D1076" s="10" t="s">
        <v>3448</v>
      </c>
      <c r="E1076" s="28" t="s">
        <v>534</v>
      </c>
      <c r="F1076" s="23" t="s">
        <v>757</v>
      </c>
      <c r="G1076" s="23" t="s">
        <v>521</v>
      </c>
      <c r="H1076" s="23" t="s">
        <v>984</v>
      </c>
      <c r="I1076" s="32"/>
      <c r="J1076" s="23" t="s">
        <v>6</v>
      </c>
      <c r="K1076" s="23" t="str">
        <f t="shared" si="1"/>
        <v>660141</v>
      </c>
      <c r="L1076" s="23"/>
      <c r="M1076" s="26"/>
      <c r="N1076" s="26"/>
      <c r="O1076" s="26"/>
      <c r="P1076" s="26"/>
      <c r="Q1076" s="26"/>
      <c r="R1076" s="26"/>
      <c r="S1076" s="26"/>
      <c r="T1076" s="26"/>
      <c r="U1076" s="26"/>
      <c r="V1076" s="26"/>
      <c r="W1076" s="26"/>
      <c r="X1076" s="26"/>
    </row>
    <row r="1077" hidden="1">
      <c r="A1077" s="10" t="s">
        <v>427</v>
      </c>
      <c r="B1077" s="10" t="s">
        <v>3449</v>
      </c>
      <c r="C1077" s="27" t="s">
        <v>3450</v>
      </c>
      <c r="D1077" s="10" t="s">
        <v>3451</v>
      </c>
      <c r="E1077" s="28" t="s">
        <v>529</v>
      </c>
      <c r="F1077" s="23" t="s">
        <v>530</v>
      </c>
      <c r="G1077" s="23" t="s">
        <v>521</v>
      </c>
      <c r="H1077" s="23" t="s">
        <v>984</v>
      </c>
      <c r="I1077" s="32"/>
      <c r="J1077" s="23" t="s">
        <v>6</v>
      </c>
      <c r="K1077" s="23" t="str">
        <f t="shared" si="1"/>
        <v>671185</v>
      </c>
      <c r="L1077" s="23"/>
      <c r="M1077" s="26"/>
      <c r="N1077" s="26"/>
      <c r="O1077" s="26"/>
      <c r="P1077" s="26"/>
      <c r="Q1077" s="26"/>
      <c r="R1077" s="26"/>
      <c r="S1077" s="26"/>
      <c r="T1077" s="26"/>
      <c r="U1077" s="26"/>
      <c r="V1077" s="26"/>
      <c r="W1077" s="26"/>
      <c r="X1077" s="26"/>
    </row>
    <row r="1078" hidden="1">
      <c r="A1078" s="10" t="s">
        <v>427</v>
      </c>
      <c r="B1078" s="10" t="s">
        <v>3452</v>
      </c>
      <c r="C1078" s="27" t="s">
        <v>3453</v>
      </c>
      <c r="D1078" s="10" t="s">
        <v>3454</v>
      </c>
      <c r="E1078" s="28" t="s">
        <v>418</v>
      </c>
      <c r="F1078" s="23" t="s">
        <v>977</v>
      </c>
      <c r="G1078" s="23" t="s">
        <v>521</v>
      </c>
      <c r="H1078" s="23" t="s">
        <v>984</v>
      </c>
      <c r="I1078" s="32"/>
      <c r="J1078" s="23" t="s">
        <v>6</v>
      </c>
      <c r="K1078" s="23" t="str">
        <f t="shared" si="1"/>
        <v>673073</v>
      </c>
      <c r="L1078" s="23"/>
      <c r="M1078" s="26"/>
      <c r="N1078" s="26"/>
      <c r="O1078" s="26"/>
      <c r="P1078" s="26"/>
      <c r="Q1078" s="26"/>
      <c r="R1078" s="26"/>
      <c r="S1078" s="26"/>
      <c r="T1078" s="26"/>
      <c r="U1078" s="26"/>
      <c r="V1078" s="26"/>
      <c r="W1078" s="26"/>
      <c r="X1078" s="26"/>
    </row>
    <row r="1079" hidden="1">
      <c r="A1079" s="10" t="s">
        <v>427</v>
      </c>
      <c r="B1079" s="10" t="s">
        <v>3455</v>
      </c>
      <c r="C1079" s="27" t="s">
        <v>3456</v>
      </c>
      <c r="D1079" s="10" t="s">
        <v>3457</v>
      </c>
      <c r="E1079" s="28" t="s">
        <v>431</v>
      </c>
      <c r="F1079" s="23" t="s">
        <v>950</v>
      </c>
      <c r="G1079" s="23" t="s">
        <v>521</v>
      </c>
      <c r="H1079" s="23" t="s">
        <v>984</v>
      </c>
      <c r="I1079" s="32"/>
      <c r="J1079" s="23" t="s">
        <v>6</v>
      </c>
      <c r="K1079" s="23" t="str">
        <f t="shared" si="1"/>
        <v>638225</v>
      </c>
      <c r="L1079" s="23"/>
      <c r="M1079" s="26"/>
      <c r="N1079" s="26"/>
      <c r="O1079" s="26"/>
      <c r="P1079" s="26"/>
      <c r="Q1079" s="26"/>
      <c r="R1079" s="26"/>
      <c r="S1079" s="26"/>
      <c r="T1079" s="26"/>
      <c r="U1079" s="26"/>
      <c r="V1079" s="26"/>
      <c r="W1079" s="26"/>
      <c r="X1079" s="26"/>
    </row>
    <row r="1080" hidden="1">
      <c r="A1080" s="10" t="s">
        <v>427</v>
      </c>
      <c r="B1080" s="10" t="s">
        <v>3458</v>
      </c>
      <c r="C1080" s="27" t="s">
        <v>3459</v>
      </c>
      <c r="D1080" s="10" t="s">
        <v>3460</v>
      </c>
      <c r="E1080" s="28" t="s">
        <v>534</v>
      </c>
      <c r="F1080" s="23" t="s">
        <v>757</v>
      </c>
      <c r="G1080" s="23" t="s">
        <v>521</v>
      </c>
      <c r="H1080" s="23" t="s">
        <v>984</v>
      </c>
      <c r="I1080" s="32"/>
      <c r="J1080" s="23" t="s">
        <v>6</v>
      </c>
      <c r="K1080" s="23" t="str">
        <f t="shared" si="1"/>
        <v>653624</v>
      </c>
      <c r="L1080" s="23"/>
      <c r="M1080" s="26"/>
      <c r="N1080" s="26"/>
      <c r="O1080" s="26"/>
      <c r="P1080" s="26"/>
      <c r="Q1080" s="26"/>
      <c r="R1080" s="26"/>
      <c r="S1080" s="26"/>
      <c r="T1080" s="26"/>
      <c r="U1080" s="26"/>
      <c r="V1080" s="26"/>
      <c r="W1080" s="26"/>
      <c r="X1080" s="26"/>
    </row>
    <row r="1081" hidden="1">
      <c r="A1081" s="10" t="s">
        <v>427</v>
      </c>
      <c r="B1081" s="10" t="s">
        <v>3461</v>
      </c>
      <c r="C1081" s="27" t="s">
        <v>3462</v>
      </c>
      <c r="D1081" s="10" t="s">
        <v>3463</v>
      </c>
      <c r="E1081" s="28" t="s">
        <v>534</v>
      </c>
      <c r="F1081" s="23" t="s">
        <v>1242</v>
      </c>
      <c r="G1081" s="23" t="s">
        <v>521</v>
      </c>
      <c r="H1081" s="23" t="s">
        <v>984</v>
      </c>
      <c r="I1081" s="32"/>
      <c r="J1081" s="23" t="s">
        <v>6</v>
      </c>
      <c r="K1081" s="23" t="str">
        <f t="shared" si="1"/>
        <v>671710</v>
      </c>
      <c r="L1081" s="23"/>
      <c r="M1081" s="26"/>
      <c r="N1081" s="26"/>
      <c r="O1081" s="26"/>
      <c r="P1081" s="26"/>
      <c r="Q1081" s="26"/>
      <c r="R1081" s="26"/>
      <c r="S1081" s="26"/>
      <c r="T1081" s="26"/>
      <c r="U1081" s="26"/>
      <c r="V1081" s="26"/>
      <c r="W1081" s="26"/>
      <c r="X1081" s="26"/>
    </row>
    <row r="1082" hidden="1">
      <c r="A1082" s="10" t="s">
        <v>427</v>
      </c>
      <c r="B1082" s="10" t="s">
        <v>3464</v>
      </c>
      <c r="C1082" s="27" t="s">
        <v>3465</v>
      </c>
      <c r="D1082" s="10" t="s">
        <v>3466</v>
      </c>
      <c r="E1082" s="28" t="s">
        <v>431</v>
      </c>
      <c r="F1082" s="23" t="s">
        <v>950</v>
      </c>
      <c r="G1082" s="23" t="s">
        <v>521</v>
      </c>
      <c r="H1082" s="23" t="s">
        <v>984</v>
      </c>
      <c r="I1082" s="32"/>
      <c r="J1082" s="23" t="s">
        <v>6</v>
      </c>
      <c r="K1082" s="23" t="str">
        <f t="shared" si="1"/>
        <v>679051</v>
      </c>
      <c r="L1082" s="23"/>
      <c r="M1082" s="26"/>
      <c r="N1082" s="26"/>
      <c r="O1082" s="26"/>
      <c r="P1082" s="26"/>
      <c r="Q1082" s="26"/>
      <c r="R1082" s="26"/>
      <c r="S1082" s="26"/>
      <c r="T1082" s="26"/>
      <c r="U1082" s="26"/>
      <c r="V1082" s="26"/>
      <c r="W1082" s="26"/>
      <c r="X1082" s="26"/>
    </row>
    <row r="1083" hidden="1">
      <c r="A1083" s="10" t="s">
        <v>427</v>
      </c>
      <c r="B1083" s="10" t="s">
        <v>3467</v>
      </c>
      <c r="C1083" s="27" t="s">
        <v>3468</v>
      </c>
      <c r="D1083" s="10" t="s">
        <v>3469</v>
      </c>
      <c r="E1083" s="28" t="s">
        <v>418</v>
      </c>
      <c r="F1083" s="23" t="s">
        <v>419</v>
      </c>
      <c r="G1083" s="23" t="s">
        <v>521</v>
      </c>
      <c r="H1083" s="23" t="s">
        <v>984</v>
      </c>
      <c r="I1083" s="32"/>
      <c r="J1083" s="23" t="s">
        <v>6</v>
      </c>
      <c r="K1083" s="23" t="str">
        <f t="shared" si="1"/>
        <v>660929</v>
      </c>
      <c r="L1083" s="23"/>
      <c r="M1083" s="26"/>
      <c r="N1083" s="26"/>
      <c r="O1083" s="26"/>
      <c r="P1083" s="26"/>
      <c r="Q1083" s="26"/>
      <c r="R1083" s="26"/>
      <c r="S1083" s="26"/>
      <c r="T1083" s="26"/>
      <c r="U1083" s="26"/>
      <c r="V1083" s="26"/>
      <c r="W1083" s="26"/>
      <c r="X1083" s="26"/>
    </row>
    <row r="1084" hidden="1">
      <c r="A1084" s="10" t="s">
        <v>427</v>
      </c>
      <c r="B1084" s="10" t="s">
        <v>3470</v>
      </c>
      <c r="C1084" s="27" t="s">
        <v>3471</v>
      </c>
      <c r="D1084" s="10" t="s">
        <v>3472</v>
      </c>
      <c r="E1084" s="28" t="s">
        <v>604</v>
      </c>
      <c r="F1084" s="23" t="s">
        <v>605</v>
      </c>
      <c r="G1084" s="23" t="s">
        <v>521</v>
      </c>
      <c r="H1084" s="23" t="s">
        <v>984</v>
      </c>
      <c r="I1084" s="32"/>
      <c r="J1084" s="23" t="s">
        <v>6</v>
      </c>
      <c r="K1084" s="23" t="str">
        <f t="shared" si="1"/>
        <v>677972</v>
      </c>
      <c r="L1084" s="23"/>
      <c r="M1084" s="26"/>
      <c r="N1084" s="26"/>
      <c r="O1084" s="26"/>
      <c r="P1084" s="26"/>
      <c r="Q1084" s="26"/>
      <c r="R1084" s="26"/>
      <c r="S1084" s="26"/>
      <c r="T1084" s="26"/>
      <c r="U1084" s="26"/>
      <c r="V1084" s="26"/>
      <c r="W1084" s="26"/>
      <c r="X1084" s="26"/>
    </row>
    <row r="1085" hidden="1">
      <c r="A1085" s="10" t="s">
        <v>427</v>
      </c>
      <c r="B1085" s="10" t="s">
        <v>3473</v>
      </c>
      <c r="C1085" s="27" t="s">
        <v>3474</v>
      </c>
      <c r="D1085" s="10" t="s">
        <v>3475</v>
      </c>
      <c r="E1085" s="28" t="s">
        <v>604</v>
      </c>
      <c r="F1085" s="23" t="s">
        <v>605</v>
      </c>
      <c r="G1085" s="23" t="s">
        <v>521</v>
      </c>
      <c r="H1085" s="23" t="s">
        <v>984</v>
      </c>
      <c r="I1085" s="32"/>
      <c r="J1085" s="23" t="s">
        <v>6</v>
      </c>
      <c r="K1085" s="23" t="str">
        <f t="shared" si="1"/>
        <v>679259</v>
      </c>
      <c r="L1085" s="23"/>
      <c r="M1085" s="26"/>
      <c r="N1085" s="26"/>
      <c r="O1085" s="26"/>
      <c r="P1085" s="26"/>
      <c r="Q1085" s="26"/>
      <c r="R1085" s="26"/>
      <c r="S1085" s="26"/>
      <c r="T1085" s="26"/>
      <c r="U1085" s="26"/>
      <c r="V1085" s="26"/>
      <c r="W1085" s="26"/>
      <c r="X1085" s="26"/>
    </row>
    <row r="1086" hidden="1">
      <c r="A1086" s="10" t="s">
        <v>427</v>
      </c>
      <c r="B1086" s="10" t="s">
        <v>3476</v>
      </c>
      <c r="C1086" s="27" t="s">
        <v>3477</v>
      </c>
      <c r="D1086" s="10" t="s">
        <v>3475</v>
      </c>
      <c r="E1086" s="28" t="s">
        <v>534</v>
      </c>
      <c r="F1086" s="23" t="s">
        <v>1238</v>
      </c>
      <c r="G1086" s="23" t="s">
        <v>521</v>
      </c>
      <c r="H1086" s="23" t="s">
        <v>984</v>
      </c>
      <c r="I1086" s="32"/>
      <c r="J1086" s="23" t="s">
        <v>6</v>
      </c>
      <c r="K1086" s="23" t="str">
        <f t="shared" si="1"/>
        <v>676326</v>
      </c>
      <c r="L1086" s="23"/>
      <c r="M1086" s="26"/>
      <c r="N1086" s="26"/>
      <c r="O1086" s="26"/>
      <c r="P1086" s="26"/>
      <c r="Q1086" s="26"/>
      <c r="R1086" s="26"/>
      <c r="S1086" s="26"/>
      <c r="T1086" s="26"/>
      <c r="U1086" s="26"/>
      <c r="V1086" s="26"/>
      <c r="W1086" s="26"/>
      <c r="X1086" s="26"/>
    </row>
    <row r="1087" hidden="1">
      <c r="A1087" s="10" t="s">
        <v>427</v>
      </c>
      <c r="B1087" s="10" t="s">
        <v>3478</v>
      </c>
      <c r="C1087" s="27" t="s">
        <v>3479</v>
      </c>
      <c r="D1087" s="10" t="s">
        <v>3480</v>
      </c>
      <c r="E1087" s="28" t="s">
        <v>534</v>
      </c>
      <c r="F1087" s="23" t="s">
        <v>757</v>
      </c>
      <c r="G1087" s="23" t="s">
        <v>521</v>
      </c>
      <c r="H1087" s="23" t="s">
        <v>984</v>
      </c>
      <c r="I1087" s="32"/>
      <c r="J1087" s="23" t="s">
        <v>6</v>
      </c>
      <c r="K1087" s="23" t="str">
        <f t="shared" si="1"/>
        <v>666495</v>
      </c>
      <c r="L1087" s="23"/>
      <c r="M1087" s="26"/>
      <c r="N1087" s="26"/>
      <c r="O1087" s="26"/>
      <c r="P1087" s="26"/>
      <c r="Q1087" s="26"/>
      <c r="R1087" s="26"/>
      <c r="S1087" s="26"/>
      <c r="T1087" s="26"/>
      <c r="U1087" s="26"/>
      <c r="V1087" s="26"/>
      <c r="W1087" s="26"/>
      <c r="X1087" s="26"/>
    </row>
    <row r="1088" hidden="1">
      <c r="A1088" s="10" t="s">
        <v>414</v>
      </c>
      <c r="B1088" s="10" t="s">
        <v>3481</v>
      </c>
      <c r="C1088" s="27" t="s">
        <v>3482</v>
      </c>
      <c r="D1088" s="10" t="s">
        <v>3483</v>
      </c>
      <c r="E1088" s="28" t="s">
        <v>534</v>
      </c>
      <c r="F1088" s="23" t="s">
        <v>757</v>
      </c>
      <c r="G1088" s="23" t="s">
        <v>521</v>
      </c>
      <c r="H1088" s="23" t="s">
        <v>984</v>
      </c>
      <c r="I1088" s="32"/>
      <c r="J1088" s="23" t="s">
        <v>6</v>
      </c>
      <c r="K1088" s="23" t="str">
        <f t="shared" si="1"/>
        <v>683805</v>
      </c>
      <c r="L1088" s="23"/>
      <c r="M1088" s="26"/>
      <c r="N1088" s="26"/>
      <c r="O1088" s="26"/>
      <c r="P1088" s="26"/>
      <c r="Q1088" s="26"/>
      <c r="R1088" s="26"/>
      <c r="S1088" s="26"/>
      <c r="T1088" s="26"/>
      <c r="U1088" s="26"/>
      <c r="V1088" s="26"/>
      <c r="W1088" s="26"/>
      <c r="X1088" s="26"/>
    </row>
    <row r="1089" hidden="1">
      <c r="A1089" s="10" t="s">
        <v>499</v>
      </c>
      <c r="B1089" s="10" t="s">
        <v>3484</v>
      </c>
      <c r="C1089" s="27" t="s">
        <v>3485</v>
      </c>
      <c r="D1089" s="10" t="s">
        <v>3486</v>
      </c>
      <c r="E1089" s="28" t="s">
        <v>194</v>
      </c>
      <c r="F1089" s="23" t="s">
        <v>195</v>
      </c>
      <c r="G1089" s="23" t="s">
        <v>203</v>
      </c>
      <c r="H1089" s="23" t="s">
        <v>994</v>
      </c>
      <c r="I1089" s="32"/>
      <c r="J1089" s="23" t="s">
        <v>6</v>
      </c>
      <c r="K1089" s="23" t="str">
        <f t="shared" si="1"/>
        <v>690889</v>
      </c>
      <c r="L1089" s="23"/>
      <c r="M1089" s="26"/>
      <c r="N1089" s="26"/>
      <c r="O1089" s="26"/>
      <c r="P1089" s="26"/>
      <c r="Q1089" s="26"/>
      <c r="R1089" s="26"/>
      <c r="S1089" s="26"/>
      <c r="T1089" s="26"/>
      <c r="U1089" s="26"/>
      <c r="V1089" s="26"/>
      <c r="W1089" s="26"/>
      <c r="X1089" s="26"/>
    </row>
    <row r="1090" hidden="1">
      <c r="A1090" s="10" t="s">
        <v>427</v>
      </c>
      <c r="B1090" s="10" t="s">
        <v>3487</v>
      </c>
      <c r="C1090" s="27" t="s">
        <v>3488</v>
      </c>
      <c r="D1090" s="10" t="s">
        <v>3489</v>
      </c>
      <c r="E1090" s="28" t="s">
        <v>534</v>
      </c>
      <c r="F1090" s="23" t="s">
        <v>1238</v>
      </c>
      <c r="G1090" s="23" t="s">
        <v>203</v>
      </c>
      <c r="H1090" s="23" t="s">
        <v>994</v>
      </c>
      <c r="I1090" s="32"/>
      <c r="J1090" s="23" t="s">
        <v>6</v>
      </c>
      <c r="K1090" s="23" t="str">
        <f t="shared" si="1"/>
        <v>632070</v>
      </c>
      <c r="L1090" s="23"/>
      <c r="M1090" s="26"/>
      <c r="N1090" s="26"/>
      <c r="O1090" s="26"/>
      <c r="P1090" s="26"/>
      <c r="Q1090" s="26"/>
      <c r="R1090" s="26"/>
      <c r="S1090" s="26"/>
      <c r="T1090" s="26"/>
      <c r="U1090" s="26"/>
      <c r="V1090" s="26"/>
      <c r="W1090" s="26"/>
      <c r="X1090" s="26"/>
    </row>
    <row r="1091" hidden="1">
      <c r="A1091" s="10" t="s">
        <v>190</v>
      </c>
      <c r="B1091" s="10" t="s">
        <v>3490</v>
      </c>
      <c r="C1091" s="27" t="s">
        <v>3491</v>
      </c>
      <c r="D1091" s="10" t="s">
        <v>3492</v>
      </c>
      <c r="E1091" s="28" t="s">
        <v>194</v>
      </c>
      <c r="F1091" s="23" t="s">
        <v>195</v>
      </c>
      <c r="G1091" s="23" t="s">
        <v>203</v>
      </c>
      <c r="H1091" s="23" t="s">
        <v>998</v>
      </c>
      <c r="I1091" s="23" t="s">
        <v>1591</v>
      </c>
      <c r="J1091" s="23" t="s">
        <v>198</v>
      </c>
      <c r="K1091" s="23" t="str">
        <f t="shared" si="1"/>
        <v>618692</v>
      </c>
      <c r="L1091" s="23"/>
      <c r="M1091" s="26"/>
      <c r="N1091" s="26"/>
      <c r="O1091" s="26"/>
      <c r="P1091" s="26"/>
      <c r="Q1091" s="26"/>
      <c r="R1091" s="26"/>
      <c r="S1091" s="26"/>
      <c r="T1091" s="26"/>
      <c r="U1091" s="26"/>
      <c r="V1091" s="26"/>
      <c r="W1091" s="26"/>
      <c r="X1091" s="26"/>
    </row>
    <row r="1092" hidden="1">
      <c r="A1092" s="10" t="s">
        <v>190</v>
      </c>
      <c r="B1092" s="10" t="s">
        <v>3493</v>
      </c>
      <c r="C1092" s="27" t="s">
        <v>3494</v>
      </c>
      <c r="D1092" s="10" t="s">
        <v>3495</v>
      </c>
      <c r="E1092" s="28" t="s">
        <v>194</v>
      </c>
      <c r="F1092" s="23" t="s">
        <v>195</v>
      </c>
      <c r="G1092" s="23" t="s">
        <v>203</v>
      </c>
      <c r="H1092" s="23" t="s">
        <v>998</v>
      </c>
      <c r="I1092" s="23" t="s">
        <v>1591</v>
      </c>
      <c r="J1092" s="23" t="s">
        <v>198</v>
      </c>
      <c r="K1092" s="23" t="str">
        <f t="shared" si="1"/>
        <v>683706</v>
      </c>
      <c r="L1092" s="23"/>
      <c r="M1092" s="26"/>
      <c r="N1092" s="26"/>
      <c r="O1092" s="26"/>
      <c r="P1092" s="26"/>
      <c r="Q1092" s="26"/>
      <c r="R1092" s="26"/>
      <c r="S1092" s="26"/>
      <c r="T1092" s="26"/>
      <c r="U1092" s="26"/>
      <c r="V1092" s="26"/>
      <c r="W1092" s="26"/>
      <c r="X1092" s="26"/>
    </row>
    <row r="1093" hidden="1">
      <c r="A1093" s="10" t="s">
        <v>190</v>
      </c>
      <c r="B1093" s="10" t="s">
        <v>3496</v>
      </c>
      <c r="C1093" s="27" t="s">
        <v>3497</v>
      </c>
      <c r="D1093" s="10" t="s">
        <v>3498</v>
      </c>
      <c r="E1093" s="28" t="s">
        <v>194</v>
      </c>
      <c r="F1093" s="23" t="s">
        <v>195</v>
      </c>
      <c r="G1093" s="23" t="s">
        <v>203</v>
      </c>
      <c r="H1093" s="23" t="s">
        <v>998</v>
      </c>
      <c r="I1093" s="23" t="s">
        <v>1591</v>
      </c>
      <c r="J1093" s="23" t="s">
        <v>238</v>
      </c>
      <c r="K1093" s="23" t="str">
        <f t="shared" si="1"/>
        <v>683744</v>
      </c>
      <c r="L1093" s="23"/>
      <c r="M1093" s="26"/>
      <c r="N1093" s="26"/>
      <c r="O1093" s="26"/>
      <c r="P1093" s="26"/>
      <c r="Q1093" s="26"/>
      <c r="R1093" s="26"/>
      <c r="S1093" s="26"/>
      <c r="T1093" s="26"/>
      <c r="U1093" s="26"/>
      <c r="V1093" s="26"/>
      <c r="W1093" s="26"/>
      <c r="X1093" s="26"/>
    </row>
    <row r="1094" hidden="1">
      <c r="A1094" s="10" t="s">
        <v>190</v>
      </c>
      <c r="B1094" s="10" t="s">
        <v>3499</v>
      </c>
      <c r="C1094" s="27" t="s">
        <v>3500</v>
      </c>
      <c r="D1094" s="10" t="s">
        <v>3501</v>
      </c>
      <c r="E1094" s="28" t="s">
        <v>194</v>
      </c>
      <c r="F1094" s="23" t="s">
        <v>195</v>
      </c>
      <c r="G1094" s="23" t="s">
        <v>203</v>
      </c>
      <c r="H1094" s="23" t="s">
        <v>998</v>
      </c>
      <c r="I1094" s="23" t="s">
        <v>1584</v>
      </c>
      <c r="J1094" s="23" t="s">
        <v>198</v>
      </c>
      <c r="K1094" s="23" t="str">
        <f t="shared" si="1"/>
        <v>683737</v>
      </c>
      <c r="L1094" s="23"/>
      <c r="M1094" s="26"/>
      <c r="N1094" s="26"/>
      <c r="O1094" s="26"/>
      <c r="P1094" s="26"/>
      <c r="Q1094" s="26"/>
      <c r="R1094" s="26"/>
      <c r="S1094" s="26"/>
      <c r="T1094" s="26"/>
      <c r="U1094" s="26"/>
      <c r="V1094" s="26"/>
      <c r="W1094" s="26"/>
      <c r="X1094" s="26"/>
    </row>
    <row r="1095" hidden="1">
      <c r="A1095" s="10" t="s">
        <v>190</v>
      </c>
      <c r="B1095" s="10" t="s">
        <v>3502</v>
      </c>
      <c r="C1095" s="27" t="s">
        <v>3503</v>
      </c>
      <c r="D1095" s="10" t="s">
        <v>3504</v>
      </c>
      <c r="E1095" s="28" t="s">
        <v>194</v>
      </c>
      <c r="F1095" s="23" t="s">
        <v>195</v>
      </c>
      <c r="G1095" s="23" t="s">
        <v>203</v>
      </c>
      <c r="H1095" s="23" t="s">
        <v>998</v>
      </c>
      <c r="I1095" s="23" t="s">
        <v>1584</v>
      </c>
      <c r="J1095" s="23" t="s">
        <v>198</v>
      </c>
      <c r="K1095" s="23" t="str">
        <f t="shared" si="1"/>
        <v>633749</v>
      </c>
      <c r="L1095" s="23"/>
      <c r="M1095" s="26"/>
      <c r="N1095" s="26"/>
      <c r="O1095" s="26"/>
      <c r="P1095" s="26"/>
      <c r="Q1095" s="26"/>
      <c r="R1095" s="26"/>
      <c r="S1095" s="26"/>
      <c r="T1095" s="26"/>
      <c r="U1095" s="26"/>
      <c r="V1095" s="26"/>
      <c r="W1095" s="26"/>
      <c r="X1095" s="26"/>
    </row>
    <row r="1096" hidden="1">
      <c r="A1096" s="10" t="s">
        <v>190</v>
      </c>
      <c r="B1096" s="10" t="s">
        <v>3505</v>
      </c>
      <c r="C1096" s="27" t="s">
        <v>3506</v>
      </c>
      <c r="D1096" s="10" t="s">
        <v>3507</v>
      </c>
      <c r="E1096" s="28" t="s">
        <v>194</v>
      </c>
      <c r="F1096" s="23" t="s">
        <v>195</v>
      </c>
      <c r="G1096" s="23" t="s">
        <v>196</v>
      </c>
      <c r="H1096" s="23" t="s">
        <v>998</v>
      </c>
      <c r="I1096" s="23" t="s">
        <v>227</v>
      </c>
      <c r="J1096" s="23" t="s">
        <v>229</v>
      </c>
      <c r="K1096" s="23" t="str">
        <f t="shared" si="1"/>
        <v>600468</v>
      </c>
      <c r="L1096" s="23"/>
      <c r="M1096" s="26"/>
      <c r="N1096" s="26"/>
      <c r="O1096" s="26"/>
      <c r="P1096" s="26"/>
      <c r="Q1096" s="26"/>
      <c r="R1096" s="26"/>
      <c r="S1096" s="26"/>
      <c r="T1096" s="26"/>
      <c r="U1096" s="26"/>
      <c r="V1096" s="26"/>
      <c r="W1096" s="26"/>
      <c r="X1096" s="26"/>
    </row>
    <row r="1097" hidden="1">
      <c r="A1097" s="10" t="s">
        <v>190</v>
      </c>
      <c r="B1097" s="10" t="s">
        <v>3508</v>
      </c>
      <c r="C1097" s="27" t="s">
        <v>3509</v>
      </c>
      <c r="D1097" s="10" t="s">
        <v>3510</v>
      </c>
      <c r="E1097" s="28" t="s">
        <v>194</v>
      </c>
      <c r="F1097" s="23" t="s">
        <v>195</v>
      </c>
      <c r="G1097" s="23" t="s">
        <v>196</v>
      </c>
      <c r="H1097" s="23" t="s">
        <v>998</v>
      </c>
      <c r="I1097" s="23" t="s">
        <v>227</v>
      </c>
      <c r="J1097" s="23" t="s">
        <v>229</v>
      </c>
      <c r="K1097" s="23" t="str">
        <f t="shared" si="1"/>
        <v>600451</v>
      </c>
      <c r="L1097" s="23"/>
      <c r="M1097" s="26"/>
      <c r="N1097" s="26"/>
      <c r="O1097" s="26"/>
      <c r="P1097" s="26"/>
      <c r="Q1097" s="26"/>
      <c r="R1097" s="26"/>
      <c r="S1097" s="26"/>
      <c r="T1097" s="26"/>
      <c r="U1097" s="26"/>
      <c r="V1097" s="26"/>
      <c r="W1097" s="26"/>
      <c r="X1097" s="26"/>
    </row>
    <row r="1098" hidden="1">
      <c r="A1098" s="10" t="s">
        <v>190</v>
      </c>
      <c r="B1098" s="10" t="s">
        <v>3511</v>
      </c>
      <c r="C1098" s="27" t="s">
        <v>3512</v>
      </c>
      <c r="D1098" s="10" t="s">
        <v>3513</v>
      </c>
      <c r="E1098" s="28" t="s">
        <v>194</v>
      </c>
      <c r="F1098" s="23" t="s">
        <v>195</v>
      </c>
      <c r="G1098" s="23" t="s">
        <v>203</v>
      </c>
      <c r="H1098" s="23" t="s">
        <v>998</v>
      </c>
      <c r="I1098" s="23" t="s">
        <v>1591</v>
      </c>
      <c r="J1098" s="23" t="s">
        <v>198</v>
      </c>
      <c r="K1098" s="23" t="str">
        <f t="shared" si="1"/>
        <v>683690</v>
      </c>
      <c r="L1098" s="23"/>
      <c r="M1098" s="26"/>
      <c r="N1098" s="26"/>
      <c r="O1098" s="26"/>
      <c r="P1098" s="26"/>
      <c r="Q1098" s="26"/>
      <c r="R1098" s="26"/>
      <c r="S1098" s="26"/>
      <c r="T1098" s="26"/>
      <c r="U1098" s="26"/>
      <c r="V1098" s="26"/>
      <c r="W1098" s="26"/>
      <c r="X1098" s="26"/>
    </row>
    <row r="1099" hidden="1">
      <c r="A1099" s="10" t="s">
        <v>190</v>
      </c>
      <c r="B1099" s="10" t="s">
        <v>3514</v>
      </c>
      <c r="C1099" s="27" t="s">
        <v>3515</v>
      </c>
      <c r="D1099" s="10" t="s">
        <v>3516</v>
      </c>
      <c r="E1099" s="28" t="s">
        <v>194</v>
      </c>
      <c r="F1099" s="23" t="s">
        <v>195</v>
      </c>
      <c r="G1099" s="23" t="s">
        <v>203</v>
      </c>
      <c r="H1099" s="23" t="s">
        <v>998</v>
      </c>
      <c r="I1099" s="23" t="s">
        <v>1591</v>
      </c>
      <c r="J1099" s="23" t="s">
        <v>198</v>
      </c>
      <c r="K1099" s="23" t="str">
        <f t="shared" si="1"/>
        <v>683713</v>
      </c>
      <c r="L1099" s="23"/>
      <c r="M1099" s="26"/>
      <c r="N1099" s="26"/>
      <c r="O1099" s="26"/>
      <c r="P1099" s="26"/>
      <c r="Q1099" s="26"/>
      <c r="R1099" s="26"/>
      <c r="S1099" s="26"/>
      <c r="T1099" s="26"/>
      <c r="U1099" s="26"/>
      <c r="V1099" s="26"/>
      <c r="W1099" s="26"/>
      <c r="X1099" s="26"/>
    </row>
    <row r="1100" hidden="1">
      <c r="A1100" s="10" t="s">
        <v>499</v>
      </c>
      <c r="B1100" s="10" t="s">
        <v>3517</v>
      </c>
      <c r="C1100" s="27" t="s">
        <v>3518</v>
      </c>
      <c r="D1100" s="10" t="s">
        <v>3519</v>
      </c>
      <c r="E1100" s="28" t="s">
        <v>194</v>
      </c>
      <c r="F1100" s="23" t="s">
        <v>1037</v>
      </c>
      <c r="G1100" s="23" t="s">
        <v>203</v>
      </c>
      <c r="H1100" s="23" t="s">
        <v>998</v>
      </c>
      <c r="I1100" s="32"/>
      <c r="J1100" s="23" t="s">
        <v>6</v>
      </c>
      <c r="K1100" s="23" t="str">
        <f t="shared" si="1"/>
        <v>621142</v>
      </c>
      <c r="L1100" s="23"/>
      <c r="M1100" s="26"/>
      <c r="N1100" s="26"/>
      <c r="O1100" s="26"/>
      <c r="P1100" s="26"/>
      <c r="Q1100" s="26"/>
      <c r="R1100" s="26"/>
      <c r="S1100" s="26"/>
      <c r="T1100" s="26"/>
      <c r="U1100" s="26"/>
      <c r="V1100" s="26"/>
      <c r="W1100" s="26"/>
      <c r="X1100" s="26"/>
    </row>
    <row r="1101" hidden="1">
      <c r="A1101" s="10" t="s">
        <v>499</v>
      </c>
      <c r="B1101" s="10" t="s">
        <v>3520</v>
      </c>
      <c r="C1101" s="27" t="s">
        <v>3521</v>
      </c>
      <c r="D1101" s="10" t="s">
        <v>3522</v>
      </c>
      <c r="E1101" s="28" t="s">
        <v>194</v>
      </c>
      <c r="F1101" s="23" t="s">
        <v>1037</v>
      </c>
      <c r="G1101" s="23" t="s">
        <v>203</v>
      </c>
      <c r="H1101" s="23" t="s">
        <v>998</v>
      </c>
      <c r="I1101" s="32"/>
      <c r="J1101" s="23" t="s">
        <v>6</v>
      </c>
      <c r="K1101" s="23" t="str">
        <f t="shared" si="1"/>
        <v>621180</v>
      </c>
      <c r="L1101" s="23"/>
      <c r="M1101" s="26"/>
      <c r="N1101" s="26"/>
      <c r="O1101" s="26"/>
      <c r="P1101" s="26"/>
      <c r="Q1101" s="26"/>
      <c r="R1101" s="26"/>
      <c r="S1101" s="26"/>
      <c r="T1101" s="26"/>
      <c r="U1101" s="26"/>
      <c r="V1101" s="26"/>
      <c r="W1101" s="26"/>
      <c r="X1101" s="26"/>
    </row>
    <row r="1102" hidden="1">
      <c r="A1102" s="10" t="s">
        <v>499</v>
      </c>
      <c r="B1102" s="10" t="s">
        <v>3523</v>
      </c>
      <c r="C1102" s="27" t="s">
        <v>3524</v>
      </c>
      <c r="D1102" s="10" t="s">
        <v>3525</v>
      </c>
      <c r="E1102" s="28" t="s">
        <v>194</v>
      </c>
      <c r="F1102" s="23" t="s">
        <v>195</v>
      </c>
      <c r="G1102" s="23" t="s">
        <v>203</v>
      </c>
      <c r="H1102" s="23" t="s">
        <v>998</v>
      </c>
      <c r="I1102" s="23" t="s">
        <v>1584</v>
      </c>
      <c r="J1102" s="23" t="s">
        <v>6</v>
      </c>
      <c r="K1102" s="23" t="str">
        <f t="shared" si="1"/>
        <v>633725</v>
      </c>
      <c r="L1102" s="23"/>
      <c r="M1102" s="26"/>
      <c r="N1102" s="26"/>
      <c r="O1102" s="26"/>
      <c r="P1102" s="26"/>
      <c r="Q1102" s="26"/>
      <c r="R1102" s="26"/>
      <c r="S1102" s="26"/>
      <c r="T1102" s="26"/>
      <c r="U1102" s="26"/>
      <c r="V1102" s="26"/>
      <c r="W1102" s="26"/>
      <c r="X1102" s="26"/>
    </row>
    <row r="1103" hidden="1">
      <c r="A1103" s="10" t="s">
        <v>499</v>
      </c>
      <c r="B1103" s="10" t="s">
        <v>3526</v>
      </c>
      <c r="C1103" s="27" t="s">
        <v>3527</v>
      </c>
      <c r="D1103" s="10" t="s">
        <v>3528</v>
      </c>
      <c r="E1103" s="28" t="s">
        <v>194</v>
      </c>
      <c r="F1103" s="23" t="s">
        <v>195</v>
      </c>
      <c r="G1103" s="23" t="s">
        <v>203</v>
      </c>
      <c r="H1103" s="23" t="s">
        <v>998</v>
      </c>
      <c r="I1103" s="32"/>
      <c r="J1103" s="23" t="s">
        <v>6</v>
      </c>
      <c r="K1103" s="23" t="str">
        <f t="shared" si="1"/>
        <v>626277</v>
      </c>
      <c r="L1103" s="23"/>
      <c r="M1103" s="26"/>
      <c r="N1103" s="26"/>
      <c r="O1103" s="26"/>
      <c r="P1103" s="26"/>
      <c r="Q1103" s="26"/>
      <c r="R1103" s="26"/>
      <c r="S1103" s="26"/>
      <c r="T1103" s="26"/>
      <c r="U1103" s="26"/>
      <c r="V1103" s="26"/>
      <c r="W1103" s="26"/>
      <c r="X1103" s="26"/>
    </row>
    <row r="1104" hidden="1">
      <c r="A1104" s="10" t="s">
        <v>499</v>
      </c>
      <c r="B1104" s="10" t="s">
        <v>3529</v>
      </c>
      <c r="C1104" s="27" t="s">
        <v>3530</v>
      </c>
      <c r="D1104" s="10" t="s">
        <v>3531</v>
      </c>
      <c r="E1104" s="28" t="s">
        <v>194</v>
      </c>
      <c r="F1104" s="23" t="s">
        <v>195</v>
      </c>
      <c r="G1104" s="23" t="s">
        <v>203</v>
      </c>
      <c r="H1104" s="23" t="s">
        <v>998</v>
      </c>
      <c r="I1104" s="32"/>
      <c r="J1104" s="23" t="s">
        <v>6</v>
      </c>
      <c r="K1104" s="23" t="str">
        <f t="shared" si="1"/>
        <v>683751</v>
      </c>
      <c r="L1104" s="23"/>
      <c r="M1104" s="26"/>
      <c r="N1104" s="26"/>
      <c r="O1104" s="26"/>
      <c r="P1104" s="26"/>
      <c r="Q1104" s="26"/>
      <c r="R1104" s="26"/>
      <c r="S1104" s="26"/>
      <c r="T1104" s="26"/>
      <c r="U1104" s="26"/>
      <c r="V1104" s="26"/>
      <c r="W1104" s="26"/>
      <c r="X1104" s="26"/>
    </row>
    <row r="1105" hidden="1">
      <c r="A1105" s="10" t="s">
        <v>499</v>
      </c>
      <c r="B1105" s="10" t="s">
        <v>3532</v>
      </c>
      <c r="C1105" s="27" t="s">
        <v>3533</v>
      </c>
      <c r="D1105" s="10" t="s">
        <v>3534</v>
      </c>
      <c r="E1105" s="28" t="s">
        <v>194</v>
      </c>
      <c r="F1105" s="23" t="s">
        <v>2498</v>
      </c>
      <c r="G1105" s="23" t="s">
        <v>203</v>
      </c>
      <c r="H1105" s="23" t="s">
        <v>998</v>
      </c>
      <c r="I1105" s="32"/>
      <c r="J1105" s="23" t="s">
        <v>6</v>
      </c>
      <c r="K1105" s="23" t="str">
        <f t="shared" si="1"/>
        <v>654324</v>
      </c>
      <c r="L1105" s="23"/>
      <c r="M1105" s="26"/>
      <c r="N1105" s="26"/>
      <c r="O1105" s="26"/>
      <c r="P1105" s="26"/>
      <c r="Q1105" s="26"/>
      <c r="R1105" s="26"/>
      <c r="S1105" s="26"/>
      <c r="T1105" s="26"/>
      <c r="U1105" s="26"/>
      <c r="V1105" s="26"/>
      <c r="W1105" s="26"/>
      <c r="X1105" s="26"/>
    </row>
    <row r="1106" hidden="1">
      <c r="A1106" s="10" t="s">
        <v>499</v>
      </c>
      <c r="B1106" s="10" t="s">
        <v>3535</v>
      </c>
      <c r="C1106" s="27" t="s">
        <v>3536</v>
      </c>
      <c r="D1106" s="10" t="s">
        <v>3537</v>
      </c>
      <c r="E1106" s="28" t="s">
        <v>194</v>
      </c>
      <c r="F1106" s="23" t="s">
        <v>835</v>
      </c>
      <c r="G1106" s="23" t="s">
        <v>203</v>
      </c>
      <c r="H1106" s="23" t="s">
        <v>998</v>
      </c>
      <c r="I1106" s="32"/>
      <c r="J1106" s="23" t="s">
        <v>6</v>
      </c>
      <c r="K1106" s="23" t="str">
        <f t="shared" si="1"/>
        <v>683775</v>
      </c>
      <c r="L1106" s="23"/>
      <c r="M1106" s="26"/>
      <c r="N1106" s="26"/>
      <c r="O1106" s="26"/>
      <c r="P1106" s="26"/>
      <c r="Q1106" s="26"/>
      <c r="R1106" s="26"/>
      <c r="S1106" s="26"/>
      <c r="T1106" s="26"/>
      <c r="U1106" s="26"/>
      <c r="V1106" s="26"/>
      <c r="W1106" s="26"/>
      <c r="X1106" s="26"/>
    </row>
    <row r="1107" hidden="1">
      <c r="A1107" s="10" t="s">
        <v>499</v>
      </c>
      <c r="B1107" s="10" t="s">
        <v>3538</v>
      </c>
      <c r="C1107" s="27" t="s">
        <v>3539</v>
      </c>
      <c r="D1107" s="10" t="s">
        <v>3540</v>
      </c>
      <c r="E1107" s="28" t="s">
        <v>194</v>
      </c>
      <c r="F1107" s="23" t="s">
        <v>195</v>
      </c>
      <c r="G1107" s="23" t="s">
        <v>203</v>
      </c>
      <c r="H1107" s="23" t="s">
        <v>998</v>
      </c>
      <c r="I1107" s="32"/>
      <c r="J1107" s="23" t="s">
        <v>6</v>
      </c>
      <c r="K1107" s="23" t="str">
        <f t="shared" si="1"/>
        <v>644905</v>
      </c>
      <c r="L1107" s="23"/>
      <c r="M1107" s="26"/>
      <c r="N1107" s="26"/>
      <c r="O1107" s="26"/>
      <c r="P1107" s="26"/>
      <c r="Q1107" s="26"/>
      <c r="R1107" s="26"/>
      <c r="S1107" s="26"/>
      <c r="T1107" s="26"/>
      <c r="U1107" s="26"/>
      <c r="V1107" s="26"/>
      <c r="W1107" s="26"/>
      <c r="X1107" s="26"/>
    </row>
    <row r="1108" hidden="1">
      <c r="A1108" s="10" t="s">
        <v>499</v>
      </c>
      <c r="B1108" s="10" t="s">
        <v>3541</v>
      </c>
      <c r="C1108" s="27" t="s">
        <v>3542</v>
      </c>
      <c r="D1108" s="10" t="s">
        <v>3543</v>
      </c>
      <c r="E1108" s="28" t="s">
        <v>194</v>
      </c>
      <c r="F1108" s="23" t="s">
        <v>195</v>
      </c>
      <c r="G1108" s="23" t="s">
        <v>203</v>
      </c>
      <c r="H1108" s="23" t="s">
        <v>998</v>
      </c>
      <c r="I1108" s="23" t="s">
        <v>1591</v>
      </c>
      <c r="J1108" s="23" t="s">
        <v>6</v>
      </c>
      <c r="K1108" s="23" t="str">
        <f t="shared" si="1"/>
        <v>683683</v>
      </c>
      <c r="L1108" s="23"/>
      <c r="M1108" s="26"/>
      <c r="N1108" s="26"/>
      <c r="O1108" s="26"/>
      <c r="P1108" s="26"/>
      <c r="Q1108" s="26"/>
      <c r="R1108" s="26"/>
      <c r="S1108" s="26"/>
      <c r="T1108" s="26"/>
      <c r="U1108" s="26"/>
      <c r="V1108" s="26"/>
      <c r="W1108" s="26"/>
      <c r="X1108" s="26"/>
    </row>
    <row r="1109" hidden="1">
      <c r="A1109" s="10" t="s">
        <v>499</v>
      </c>
      <c r="B1109" s="10" t="s">
        <v>3544</v>
      </c>
      <c r="C1109" s="27" t="s">
        <v>3545</v>
      </c>
      <c r="D1109" s="10" t="s">
        <v>3546</v>
      </c>
      <c r="E1109" s="28" t="s">
        <v>194</v>
      </c>
      <c r="F1109" s="23" t="s">
        <v>195</v>
      </c>
      <c r="G1109" s="23" t="s">
        <v>203</v>
      </c>
      <c r="H1109" s="23" t="s">
        <v>998</v>
      </c>
      <c r="I1109" s="32"/>
      <c r="J1109" s="23" t="s">
        <v>6</v>
      </c>
      <c r="K1109" s="23" t="str">
        <f t="shared" si="1"/>
        <v>633602</v>
      </c>
      <c r="L1109" s="23"/>
      <c r="M1109" s="26"/>
      <c r="N1109" s="26"/>
      <c r="O1109" s="26"/>
      <c r="P1109" s="26"/>
      <c r="Q1109" s="26"/>
      <c r="R1109" s="26"/>
      <c r="S1109" s="26"/>
      <c r="T1109" s="26"/>
      <c r="U1109" s="26"/>
      <c r="V1109" s="26"/>
      <c r="W1109" s="26"/>
      <c r="X1109" s="26"/>
    </row>
    <row r="1110" hidden="1">
      <c r="A1110" s="10" t="s">
        <v>499</v>
      </c>
      <c r="B1110" s="10" t="s">
        <v>3547</v>
      </c>
      <c r="C1110" s="27" t="s">
        <v>3548</v>
      </c>
      <c r="D1110" s="10" t="s">
        <v>3549</v>
      </c>
      <c r="E1110" s="28" t="s">
        <v>194</v>
      </c>
      <c r="F1110" s="23" t="s">
        <v>195</v>
      </c>
      <c r="G1110" s="23" t="s">
        <v>203</v>
      </c>
      <c r="H1110" s="23" t="s">
        <v>998</v>
      </c>
      <c r="I1110" s="32"/>
      <c r="J1110" s="23" t="s">
        <v>6</v>
      </c>
      <c r="K1110" s="23" t="str">
        <f t="shared" si="1"/>
        <v>623122</v>
      </c>
      <c r="L1110" s="23"/>
      <c r="M1110" s="26"/>
      <c r="N1110" s="26"/>
      <c r="O1110" s="26"/>
      <c r="P1110" s="26"/>
      <c r="Q1110" s="26"/>
      <c r="R1110" s="26"/>
      <c r="S1110" s="26"/>
      <c r="T1110" s="26"/>
      <c r="U1110" s="26"/>
      <c r="V1110" s="26"/>
      <c r="W1110" s="26"/>
      <c r="X1110" s="26"/>
    </row>
    <row r="1111" hidden="1">
      <c r="A1111" s="10" t="s">
        <v>499</v>
      </c>
      <c r="B1111" s="10" t="s">
        <v>3550</v>
      </c>
      <c r="C1111" s="27" t="s">
        <v>3551</v>
      </c>
      <c r="D1111" s="10" t="s">
        <v>3552</v>
      </c>
      <c r="E1111" s="28" t="s">
        <v>194</v>
      </c>
      <c r="F1111" s="23" t="s">
        <v>195</v>
      </c>
      <c r="G1111" s="23" t="s">
        <v>203</v>
      </c>
      <c r="H1111" s="23" t="s">
        <v>998</v>
      </c>
      <c r="I1111" s="23" t="s">
        <v>1591</v>
      </c>
      <c r="J1111" s="23" t="s">
        <v>6</v>
      </c>
      <c r="K1111" s="23" t="str">
        <f t="shared" si="1"/>
        <v>606163</v>
      </c>
      <c r="L1111" s="23"/>
      <c r="M1111" s="26"/>
      <c r="N1111" s="26"/>
      <c r="O1111" s="26"/>
      <c r="P1111" s="26"/>
      <c r="Q1111" s="26"/>
      <c r="R1111" s="26"/>
      <c r="S1111" s="26"/>
      <c r="T1111" s="26"/>
      <c r="U1111" s="26"/>
      <c r="V1111" s="26"/>
      <c r="W1111" s="26"/>
      <c r="X1111" s="26"/>
    </row>
    <row r="1112" hidden="1">
      <c r="A1112" s="10" t="s">
        <v>499</v>
      </c>
      <c r="B1112" s="10" t="s">
        <v>3553</v>
      </c>
      <c r="C1112" s="27" t="s">
        <v>3554</v>
      </c>
      <c r="D1112" s="10" t="s">
        <v>3555</v>
      </c>
      <c r="E1112" s="28" t="s">
        <v>194</v>
      </c>
      <c r="F1112" s="23" t="s">
        <v>195</v>
      </c>
      <c r="G1112" s="23" t="s">
        <v>203</v>
      </c>
      <c r="H1112" s="23" t="s">
        <v>998</v>
      </c>
      <c r="I1112" s="32"/>
      <c r="J1112" s="23" t="s">
        <v>6</v>
      </c>
      <c r="K1112" s="23" t="str">
        <f t="shared" si="1"/>
        <v>606156</v>
      </c>
      <c r="L1112" s="23"/>
      <c r="M1112" s="26"/>
      <c r="N1112" s="26"/>
      <c r="O1112" s="26"/>
      <c r="P1112" s="26"/>
      <c r="Q1112" s="26"/>
      <c r="R1112" s="26"/>
      <c r="S1112" s="26"/>
      <c r="T1112" s="26"/>
      <c r="U1112" s="26"/>
      <c r="V1112" s="26"/>
      <c r="W1112" s="26"/>
      <c r="X1112" s="26"/>
    </row>
    <row r="1113" hidden="1">
      <c r="A1113" s="10" t="s">
        <v>499</v>
      </c>
      <c r="B1113" s="10" t="s">
        <v>3556</v>
      </c>
      <c r="C1113" s="27" t="s">
        <v>3557</v>
      </c>
      <c r="D1113" s="10" t="s">
        <v>3558</v>
      </c>
      <c r="E1113" s="28" t="s">
        <v>194</v>
      </c>
      <c r="F1113" s="23" t="s">
        <v>195</v>
      </c>
      <c r="G1113" s="23" t="s">
        <v>203</v>
      </c>
      <c r="H1113" s="23" t="s">
        <v>998</v>
      </c>
      <c r="I1113" s="32"/>
      <c r="J1113" s="23" t="s">
        <v>6</v>
      </c>
      <c r="K1113" s="23" t="str">
        <f t="shared" si="1"/>
        <v>606170</v>
      </c>
      <c r="L1113" s="23"/>
      <c r="M1113" s="26"/>
      <c r="N1113" s="26"/>
      <c r="O1113" s="26"/>
      <c r="P1113" s="26"/>
      <c r="Q1113" s="26"/>
      <c r="R1113" s="26"/>
      <c r="S1113" s="26"/>
      <c r="T1113" s="26"/>
      <c r="U1113" s="26"/>
      <c r="V1113" s="26"/>
      <c r="W1113" s="26"/>
      <c r="X1113" s="26"/>
    </row>
    <row r="1114" hidden="1">
      <c r="A1114" s="10" t="s">
        <v>499</v>
      </c>
      <c r="B1114" s="10" t="s">
        <v>3559</v>
      </c>
      <c r="C1114" s="27" t="s">
        <v>3560</v>
      </c>
      <c r="D1114" s="10" t="s">
        <v>3561</v>
      </c>
      <c r="E1114" s="28" t="s">
        <v>194</v>
      </c>
      <c r="F1114" s="23" t="s">
        <v>195</v>
      </c>
      <c r="G1114" s="23" t="s">
        <v>203</v>
      </c>
      <c r="H1114" s="23" t="s">
        <v>998</v>
      </c>
      <c r="I1114" s="32"/>
      <c r="J1114" s="23" t="s">
        <v>6</v>
      </c>
      <c r="K1114" s="23" t="str">
        <f t="shared" si="1"/>
        <v>659305</v>
      </c>
      <c r="L1114" s="23"/>
      <c r="M1114" s="26"/>
      <c r="N1114" s="26"/>
      <c r="O1114" s="26"/>
      <c r="P1114" s="26"/>
      <c r="Q1114" s="26"/>
      <c r="R1114" s="26"/>
      <c r="S1114" s="26"/>
      <c r="T1114" s="26"/>
      <c r="U1114" s="26"/>
      <c r="V1114" s="26"/>
      <c r="W1114" s="26"/>
      <c r="X1114" s="26"/>
    </row>
    <row r="1115" hidden="1">
      <c r="A1115" s="10" t="s">
        <v>499</v>
      </c>
      <c r="B1115" s="10" t="s">
        <v>3562</v>
      </c>
      <c r="C1115" s="27" t="s">
        <v>3563</v>
      </c>
      <c r="D1115" s="10" t="s">
        <v>3564</v>
      </c>
      <c r="E1115" s="28" t="s">
        <v>194</v>
      </c>
      <c r="F1115" s="23" t="s">
        <v>195</v>
      </c>
      <c r="G1115" s="23" t="s">
        <v>203</v>
      </c>
      <c r="H1115" s="23" t="s">
        <v>998</v>
      </c>
      <c r="I1115" s="32"/>
      <c r="J1115" s="23" t="s">
        <v>6</v>
      </c>
      <c r="K1115" s="23" t="str">
        <f t="shared" si="1"/>
        <v>626291</v>
      </c>
      <c r="L1115" s="23"/>
      <c r="M1115" s="26"/>
      <c r="N1115" s="26"/>
      <c r="O1115" s="26"/>
      <c r="P1115" s="26"/>
      <c r="Q1115" s="26"/>
      <c r="R1115" s="26"/>
      <c r="S1115" s="26"/>
      <c r="T1115" s="26"/>
      <c r="U1115" s="26"/>
      <c r="V1115" s="26"/>
      <c r="W1115" s="26"/>
      <c r="X1115" s="26"/>
    </row>
    <row r="1116" hidden="1">
      <c r="A1116" s="10" t="s">
        <v>499</v>
      </c>
      <c r="B1116" s="10" t="s">
        <v>3565</v>
      </c>
      <c r="C1116" s="27" t="s">
        <v>3566</v>
      </c>
      <c r="D1116" s="10" t="s">
        <v>3567</v>
      </c>
      <c r="E1116" s="28" t="s">
        <v>194</v>
      </c>
      <c r="F1116" s="23" t="s">
        <v>195</v>
      </c>
      <c r="G1116" s="23" t="s">
        <v>203</v>
      </c>
      <c r="H1116" s="23" t="s">
        <v>998</v>
      </c>
      <c r="I1116" s="23" t="s">
        <v>1591</v>
      </c>
      <c r="J1116" s="23" t="s">
        <v>6</v>
      </c>
      <c r="K1116" s="23" t="str">
        <f t="shared" si="1"/>
        <v>656175</v>
      </c>
      <c r="L1116" s="23"/>
      <c r="M1116" s="26"/>
      <c r="N1116" s="26"/>
      <c r="O1116" s="26"/>
      <c r="P1116" s="26"/>
      <c r="Q1116" s="26"/>
      <c r="R1116" s="26"/>
      <c r="S1116" s="26"/>
      <c r="T1116" s="26"/>
      <c r="U1116" s="26"/>
      <c r="V1116" s="26"/>
      <c r="W1116" s="26"/>
      <c r="X1116" s="26"/>
    </row>
    <row r="1117" hidden="1">
      <c r="A1117" s="10" t="s">
        <v>427</v>
      </c>
      <c r="B1117" s="10" t="s">
        <v>3568</v>
      </c>
      <c r="C1117" s="27" t="s">
        <v>3569</v>
      </c>
      <c r="D1117" s="10" t="s">
        <v>3570</v>
      </c>
      <c r="E1117" s="28" t="s">
        <v>431</v>
      </c>
      <c r="F1117" s="23" t="s">
        <v>432</v>
      </c>
      <c r="G1117" s="23" t="s">
        <v>203</v>
      </c>
      <c r="H1117" s="23" t="s">
        <v>998</v>
      </c>
      <c r="I1117" s="32"/>
      <c r="J1117" s="23" t="s">
        <v>6</v>
      </c>
      <c r="K1117" s="23" t="str">
        <f t="shared" si="1"/>
        <v>678856</v>
      </c>
      <c r="L1117" s="23"/>
      <c r="M1117" s="26"/>
      <c r="N1117" s="26"/>
      <c r="O1117" s="26"/>
      <c r="P1117" s="26"/>
      <c r="Q1117" s="26"/>
      <c r="R1117" s="26"/>
      <c r="S1117" s="26"/>
      <c r="T1117" s="26"/>
      <c r="U1117" s="26"/>
      <c r="V1117" s="26"/>
      <c r="W1117" s="26"/>
      <c r="X1117" s="26"/>
    </row>
    <row r="1118" hidden="1">
      <c r="A1118" s="10" t="s">
        <v>427</v>
      </c>
      <c r="B1118" s="10" t="s">
        <v>3571</v>
      </c>
      <c r="C1118" s="27" t="s">
        <v>3572</v>
      </c>
      <c r="D1118" s="10" t="s">
        <v>3573</v>
      </c>
      <c r="E1118" s="28" t="s">
        <v>1047</v>
      </c>
      <c r="F1118" s="23" t="s">
        <v>1848</v>
      </c>
      <c r="G1118" s="23" t="s">
        <v>203</v>
      </c>
      <c r="H1118" s="23" t="s">
        <v>998</v>
      </c>
      <c r="I1118" s="32"/>
      <c r="J1118" s="23" t="s">
        <v>6</v>
      </c>
      <c r="K1118" s="23" t="str">
        <f t="shared" si="1"/>
        <v>673011</v>
      </c>
      <c r="L1118" s="23"/>
      <c r="M1118" s="26"/>
      <c r="N1118" s="26"/>
      <c r="O1118" s="26"/>
      <c r="P1118" s="26"/>
      <c r="Q1118" s="26"/>
      <c r="R1118" s="26"/>
      <c r="S1118" s="26"/>
      <c r="T1118" s="26"/>
      <c r="U1118" s="26"/>
      <c r="V1118" s="26"/>
      <c r="W1118" s="26"/>
      <c r="X1118" s="26"/>
    </row>
    <row r="1119" hidden="1">
      <c r="A1119" s="10" t="s">
        <v>427</v>
      </c>
      <c r="B1119" s="10" t="s">
        <v>3574</v>
      </c>
      <c r="C1119" s="27" t="s">
        <v>3575</v>
      </c>
      <c r="D1119" s="10" t="s">
        <v>3576</v>
      </c>
      <c r="E1119" s="28" t="s">
        <v>431</v>
      </c>
      <c r="F1119" s="23" t="s">
        <v>1231</v>
      </c>
      <c r="G1119" s="23" t="s">
        <v>521</v>
      </c>
      <c r="H1119" s="23" t="s">
        <v>998</v>
      </c>
      <c r="I1119" s="32"/>
      <c r="J1119" s="23" t="s">
        <v>6</v>
      </c>
      <c r="K1119" s="23" t="str">
        <f t="shared" si="1"/>
        <v>632506</v>
      </c>
      <c r="L1119" s="23"/>
      <c r="M1119" s="26"/>
      <c r="N1119" s="26"/>
      <c r="O1119" s="26"/>
      <c r="P1119" s="26"/>
      <c r="Q1119" s="26"/>
      <c r="R1119" s="26"/>
      <c r="S1119" s="26"/>
      <c r="T1119" s="26"/>
      <c r="U1119" s="26"/>
      <c r="V1119" s="26"/>
      <c r="W1119" s="26"/>
      <c r="X1119" s="26"/>
    </row>
    <row r="1120" hidden="1">
      <c r="A1120" s="10" t="s">
        <v>427</v>
      </c>
      <c r="B1120" s="10" t="s">
        <v>3577</v>
      </c>
      <c r="C1120" s="27" t="s">
        <v>3578</v>
      </c>
      <c r="D1120" s="10" t="s">
        <v>3576</v>
      </c>
      <c r="E1120" s="28" t="s">
        <v>431</v>
      </c>
      <c r="F1120" s="23" t="s">
        <v>1231</v>
      </c>
      <c r="G1120" s="23" t="s">
        <v>521</v>
      </c>
      <c r="H1120" s="23" t="s">
        <v>998</v>
      </c>
      <c r="I1120" s="32"/>
      <c r="J1120" s="23" t="s">
        <v>6</v>
      </c>
      <c r="K1120" s="23" t="str">
        <f t="shared" si="1"/>
        <v>632551</v>
      </c>
      <c r="L1120" s="23"/>
      <c r="M1120" s="26"/>
      <c r="N1120" s="26"/>
      <c r="O1120" s="26"/>
      <c r="P1120" s="26"/>
      <c r="Q1120" s="26"/>
      <c r="R1120" s="26"/>
      <c r="S1120" s="26"/>
      <c r="T1120" s="26"/>
      <c r="U1120" s="26"/>
      <c r="V1120" s="26"/>
      <c r="W1120" s="26"/>
      <c r="X1120" s="26"/>
    </row>
    <row r="1121" hidden="1">
      <c r="A1121" s="10" t="s">
        <v>427</v>
      </c>
      <c r="B1121" s="10" t="s">
        <v>3579</v>
      </c>
      <c r="C1121" s="27" t="s">
        <v>3580</v>
      </c>
      <c r="D1121" s="10" t="s">
        <v>3581</v>
      </c>
      <c r="E1121" s="28" t="s">
        <v>431</v>
      </c>
      <c r="F1121" s="23" t="s">
        <v>946</v>
      </c>
      <c r="G1121" s="23" t="s">
        <v>521</v>
      </c>
      <c r="H1121" s="23" t="s">
        <v>998</v>
      </c>
      <c r="I1121" s="32"/>
      <c r="J1121" s="23" t="s">
        <v>6</v>
      </c>
      <c r="K1121" s="23" t="str">
        <f t="shared" si="1"/>
        <v>631905</v>
      </c>
      <c r="L1121" s="23"/>
      <c r="M1121" s="26"/>
      <c r="N1121" s="26"/>
      <c r="O1121" s="26"/>
      <c r="P1121" s="26"/>
      <c r="Q1121" s="26"/>
      <c r="R1121" s="26"/>
      <c r="S1121" s="26"/>
      <c r="T1121" s="26"/>
      <c r="U1121" s="26"/>
      <c r="V1121" s="26"/>
      <c r="W1121" s="26"/>
      <c r="X1121" s="26"/>
    </row>
    <row r="1122" hidden="1">
      <c r="A1122" s="10" t="s">
        <v>427</v>
      </c>
      <c r="B1122" s="10" t="s">
        <v>3582</v>
      </c>
      <c r="C1122" s="27" t="s">
        <v>3583</v>
      </c>
      <c r="D1122" s="10" t="s">
        <v>3584</v>
      </c>
      <c r="E1122" s="28" t="s">
        <v>604</v>
      </c>
      <c r="F1122" s="23" t="s">
        <v>605</v>
      </c>
      <c r="G1122" s="23" t="s">
        <v>203</v>
      </c>
      <c r="H1122" s="23" t="s">
        <v>998</v>
      </c>
      <c r="I1122" s="32"/>
      <c r="J1122" s="23" t="s">
        <v>6</v>
      </c>
      <c r="K1122" s="23" t="str">
        <f t="shared" si="1"/>
        <v>682075</v>
      </c>
      <c r="L1122" s="23"/>
      <c r="M1122" s="26"/>
      <c r="N1122" s="26"/>
      <c r="O1122" s="26"/>
      <c r="P1122" s="26"/>
      <c r="Q1122" s="26"/>
      <c r="R1122" s="26"/>
      <c r="S1122" s="26"/>
      <c r="T1122" s="26"/>
      <c r="U1122" s="26"/>
      <c r="V1122" s="26"/>
      <c r="W1122" s="26"/>
      <c r="X1122" s="26"/>
    </row>
    <row r="1123" hidden="1">
      <c r="A1123" s="10" t="s">
        <v>427</v>
      </c>
      <c r="B1123" s="10" t="s">
        <v>3585</v>
      </c>
      <c r="C1123" s="27" t="s">
        <v>3586</v>
      </c>
      <c r="D1123" s="10" t="s">
        <v>3587</v>
      </c>
      <c r="E1123" s="28" t="s">
        <v>418</v>
      </c>
      <c r="F1123" s="23" t="s">
        <v>977</v>
      </c>
      <c r="G1123" s="23" t="s">
        <v>203</v>
      </c>
      <c r="H1123" s="23" t="s">
        <v>998</v>
      </c>
      <c r="I1123" s="32"/>
      <c r="J1123" s="23" t="s">
        <v>6</v>
      </c>
      <c r="K1123" s="23" t="str">
        <f t="shared" si="1"/>
        <v>671376</v>
      </c>
      <c r="L1123" s="23"/>
      <c r="M1123" s="26"/>
      <c r="N1123" s="26"/>
      <c r="O1123" s="26"/>
      <c r="P1123" s="26"/>
      <c r="Q1123" s="26"/>
      <c r="R1123" s="26"/>
      <c r="S1123" s="26"/>
      <c r="T1123" s="26"/>
      <c r="U1123" s="26"/>
      <c r="V1123" s="26"/>
      <c r="W1123" s="26"/>
      <c r="X1123" s="26"/>
    </row>
    <row r="1124" hidden="1">
      <c r="A1124" s="10" t="s">
        <v>427</v>
      </c>
      <c r="B1124" s="10" t="s">
        <v>3588</v>
      </c>
      <c r="C1124" s="27" t="s">
        <v>3589</v>
      </c>
      <c r="D1124" s="10" t="s">
        <v>3590</v>
      </c>
      <c r="E1124" s="28" t="s">
        <v>534</v>
      </c>
      <c r="F1124" s="23" t="s">
        <v>757</v>
      </c>
      <c r="G1124" s="23" t="s">
        <v>203</v>
      </c>
      <c r="H1124" s="23" t="s">
        <v>998</v>
      </c>
      <c r="I1124" s="32"/>
      <c r="J1124" s="23" t="s">
        <v>6</v>
      </c>
      <c r="K1124" s="23" t="str">
        <f t="shared" si="1"/>
        <v>643533</v>
      </c>
      <c r="L1124" s="23"/>
      <c r="M1124" s="26"/>
      <c r="N1124" s="26"/>
      <c r="O1124" s="26"/>
      <c r="P1124" s="26"/>
      <c r="Q1124" s="26"/>
      <c r="R1124" s="26"/>
      <c r="S1124" s="26"/>
      <c r="T1124" s="26"/>
      <c r="U1124" s="26"/>
      <c r="V1124" s="26"/>
      <c r="W1124" s="26"/>
      <c r="X1124" s="26"/>
    </row>
    <row r="1125" hidden="1">
      <c r="A1125" s="10" t="s">
        <v>427</v>
      </c>
      <c r="B1125" s="10" t="s">
        <v>3591</v>
      </c>
      <c r="C1125" s="27" t="s">
        <v>3592</v>
      </c>
      <c r="D1125" s="10" t="s">
        <v>3593</v>
      </c>
      <c r="E1125" s="28" t="s">
        <v>431</v>
      </c>
      <c r="F1125" s="23" t="s">
        <v>1788</v>
      </c>
      <c r="G1125" s="23" t="s">
        <v>203</v>
      </c>
      <c r="H1125" s="23" t="s">
        <v>998</v>
      </c>
      <c r="I1125" s="32"/>
      <c r="J1125" s="23" t="s">
        <v>6</v>
      </c>
      <c r="K1125" s="23" t="str">
        <f t="shared" si="1"/>
        <v>627519</v>
      </c>
      <c r="L1125" s="23"/>
      <c r="M1125" s="26"/>
      <c r="N1125" s="26"/>
      <c r="O1125" s="26"/>
      <c r="P1125" s="26"/>
      <c r="Q1125" s="26"/>
      <c r="R1125" s="26"/>
      <c r="S1125" s="26"/>
      <c r="T1125" s="26"/>
      <c r="U1125" s="26"/>
      <c r="V1125" s="26"/>
      <c r="W1125" s="26"/>
      <c r="X1125" s="26"/>
    </row>
    <row r="1126" hidden="1">
      <c r="A1126" s="10" t="s">
        <v>427</v>
      </c>
      <c r="B1126" s="10" t="s">
        <v>3594</v>
      </c>
      <c r="C1126" s="27" t="s">
        <v>3595</v>
      </c>
      <c r="D1126" s="10" t="s">
        <v>3596</v>
      </c>
      <c r="E1126" s="28" t="s">
        <v>580</v>
      </c>
      <c r="F1126" s="23" t="s">
        <v>581</v>
      </c>
      <c r="G1126" s="23" t="s">
        <v>203</v>
      </c>
      <c r="H1126" s="23" t="s">
        <v>998</v>
      </c>
      <c r="I1126" s="32"/>
      <c r="J1126" s="23" t="s">
        <v>6</v>
      </c>
      <c r="K1126" s="23" t="str">
        <f t="shared" si="1"/>
        <v>673370</v>
      </c>
      <c r="L1126" s="23"/>
      <c r="M1126" s="26"/>
      <c r="N1126" s="26"/>
      <c r="O1126" s="26"/>
      <c r="P1126" s="26"/>
      <c r="Q1126" s="26"/>
      <c r="R1126" s="26"/>
      <c r="S1126" s="26"/>
      <c r="T1126" s="26"/>
      <c r="U1126" s="26"/>
      <c r="V1126" s="26"/>
      <c r="W1126" s="26"/>
      <c r="X1126" s="26"/>
    </row>
    <row r="1127" hidden="1">
      <c r="A1127" s="10" t="s">
        <v>427</v>
      </c>
      <c r="B1127" s="10" t="s">
        <v>3597</v>
      </c>
      <c r="C1127" s="27" t="s">
        <v>3598</v>
      </c>
      <c r="D1127" s="10" t="s">
        <v>3599</v>
      </c>
      <c r="E1127" s="28" t="s">
        <v>431</v>
      </c>
      <c r="F1127" s="23" t="s">
        <v>950</v>
      </c>
      <c r="G1127" s="23" t="s">
        <v>203</v>
      </c>
      <c r="H1127" s="23" t="s">
        <v>998</v>
      </c>
      <c r="I1127" s="32"/>
      <c r="J1127" s="23" t="s">
        <v>6</v>
      </c>
      <c r="K1127" s="23" t="str">
        <f t="shared" si="1"/>
        <v>638171</v>
      </c>
      <c r="L1127" s="23"/>
      <c r="M1127" s="26"/>
      <c r="N1127" s="26"/>
      <c r="O1127" s="26"/>
      <c r="P1127" s="26"/>
      <c r="Q1127" s="26"/>
      <c r="R1127" s="26"/>
      <c r="S1127" s="26"/>
      <c r="T1127" s="26"/>
      <c r="U1127" s="26"/>
      <c r="V1127" s="26"/>
      <c r="W1127" s="26"/>
      <c r="X1127" s="26"/>
    </row>
    <row r="1128" hidden="1">
      <c r="A1128" s="10" t="s">
        <v>427</v>
      </c>
      <c r="B1128" s="10" t="s">
        <v>3600</v>
      </c>
      <c r="C1128" s="27" t="s">
        <v>3601</v>
      </c>
      <c r="D1128" s="10" t="s">
        <v>3602</v>
      </c>
      <c r="E1128" s="28" t="s">
        <v>534</v>
      </c>
      <c r="F1128" s="23" t="s">
        <v>1238</v>
      </c>
      <c r="G1128" s="23" t="s">
        <v>203</v>
      </c>
      <c r="H1128" s="23" t="s">
        <v>998</v>
      </c>
      <c r="I1128" s="32"/>
      <c r="J1128" s="23" t="s">
        <v>6</v>
      </c>
      <c r="K1128" s="23" t="str">
        <f t="shared" si="1"/>
        <v>643878</v>
      </c>
      <c r="L1128" s="23"/>
      <c r="M1128" s="26"/>
      <c r="N1128" s="26"/>
      <c r="O1128" s="26"/>
      <c r="P1128" s="26"/>
      <c r="Q1128" s="26"/>
      <c r="R1128" s="26"/>
      <c r="S1128" s="26"/>
      <c r="T1128" s="26"/>
      <c r="U1128" s="26"/>
      <c r="V1128" s="26"/>
      <c r="W1128" s="26"/>
      <c r="X1128" s="26"/>
    </row>
    <row r="1129" hidden="1">
      <c r="A1129" s="10" t="s">
        <v>427</v>
      </c>
      <c r="B1129" s="10" t="s">
        <v>3603</v>
      </c>
      <c r="C1129" s="27" t="s">
        <v>3604</v>
      </c>
      <c r="D1129" s="10" t="s">
        <v>3605</v>
      </c>
      <c r="E1129" s="28" t="s">
        <v>431</v>
      </c>
      <c r="F1129" s="23" t="s">
        <v>1053</v>
      </c>
      <c r="G1129" s="23" t="s">
        <v>203</v>
      </c>
      <c r="H1129" s="23" t="s">
        <v>998</v>
      </c>
      <c r="I1129" s="32"/>
      <c r="J1129" s="23" t="s">
        <v>6</v>
      </c>
      <c r="K1129" s="23" t="str">
        <f t="shared" si="1"/>
        <v>670362</v>
      </c>
      <c r="L1129" s="23"/>
      <c r="M1129" s="26"/>
      <c r="N1129" s="26"/>
      <c r="O1129" s="26"/>
      <c r="P1129" s="26"/>
      <c r="Q1129" s="26"/>
      <c r="R1129" s="26"/>
      <c r="S1129" s="26"/>
      <c r="T1129" s="26"/>
      <c r="U1129" s="26"/>
      <c r="V1129" s="26"/>
      <c r="W1129" s="26"/>
      <c r="X1129" s="26"/>
    </row>
    <row r="1130" hidden="1">
      <c r="A1130" s="10" t="s">
        <v>427</v>
      </c>
      <c r="B1130" s="10" t="s">
        <v>3606</v>
      </c>
      <c r="C1130" s="27" t="s">
        <v>3607</v>
      </c>
      <c r="D1130" s="10" t="s">
        <v>3608</v>
      </c>
      <c r="E1130" s="28" t="s">
        <v>431</v>
      </c>
      <c r="F1130" s="23" t="s">
        <v>946</v>
      </c>
      <c r="G1130" s="23" t="s">
        <v>203</v>
      </c>
      <c r="H1130" s="23" t="s">
        <v>998</v>
      </c>
      <c r="I1130" s="32"/>
      <c r="J1130" s="23" t="s">
        <v>6</v>
      </c>
      <c r="K1130" s="23" t="str">
        <f t="shared" si="1"/>
        <v>635224</v>
      </c>
      <c r="L1130" s="23"/>
      <c r="M1130" s="26"/>
      <c r="N1130" s="26"/>
      <c r="O1130" s="26"/>
      <c r="P1130" s="26"/>
      <c r="Q1130" s="26"/>
      <c r="R1130" s="26"/>
      <c r="S1130" s="26"/>
      <c r="T1130" s="26"/>
      <c r="U1130" s="26"/>
      <c r="V1130" s="26"/>
      <c r="W1130" s="26"/>
      <c r="X1130" s="26"/>
    </row>
    <row r="1131" hidden="1">
      <c r="A1131" s="10" t="s">
        <v>427</v>
      </c>
      <c r="B1131" s="10" t="s">
        <v>3609</v>
      </c>
      <c r="C1131" s="27" t="s">
        <v>3610</v>
      </c>
      <c r="D1131" s="10" t="s">
        <v>3611</v>
      </c>
      <c r="E1131" s="28" t="s">
        <v>534</v>
      </c>
      <c r="F1131" s="23" t="s">
        <v>1242</v>
      </c>
      <c r="G1131" s="23" t="s">
        <v>203</v>
      </c>
      <c r="H1131" s="23" t="s">
        <v>998</v>
      </c>
      <c r="I1131" s="32"/>
      <c r="J1131" s="23" t="s">
        <v>6</v>
      </c>
      <c r="K1131" s="23" t="str">
        <f t="shared" si="1"/>
        <v>638478</v>
      </c>
      <c r="L1131" s="23"/>
      <c r="M1131" s="26"/>
      <c r="N1131" s="26"/>
      <c r="O1131" s="26"/>
      <c r="P1131" s="26"/>
      <c r="Q1131" s="26"/>
      <c r="R1131" s="26"/>
      <c r="S1131" s="26"/>
      <c r="T1131" s="26"/>
      <c r="U1131" s="26"/>
      <c r="V1131" s="26"/>
      <c r="W1131" s="26"/>
      <c r="X1131" s="26"/>
    </row>
    <row r="1132" hidden="1">
      <c r="A1132" s="10" t="s">
        <v>427</v>
      </c>
      <c r="B1132" s="10" t="s">
        <v>3612</v>
      </c>
      <c r="C1132" s="27" t="s">
        <v>3613</v>
      </c>
      <c r="D1132" s="10" t="s">
        <v>3614</v>
      </c>
      <c r="E1132" s="28" t="s">
        <v>431</v>
      </c>
      <c r="F1132" s="23" t="s">
        <v>1231</v>
      </c>
      <c r="G1132" s="23" t="s">
        <v>203</v>
      </c>
      <c r="H1132" s="23" t="s">
        <v>998</v>
      </c>
      <c r="I1132" s="32"/>
      <c r="J1132" s="23" t="s">
        <v>6</v>
      </c>
      <c r="K1132" s="23" t="str">
        <f t="shared" si="1"/>
        <v>632483</v>
      </c>
      <c r="L1132" s="23"/>
      <c r="M1132" s="26"/>
      <c r="N1132" s="26"/>
      <c r="O1132" s="26"/>
      <c r="P1132" s="26"/>
      <c r="Q1132" s="26"/>
      <c r="R1132" s="26"/>
      <c r="S1132" s="26"/>
      <c r="T1132" s="26"/>
      <c r="U1132" s="26"/>
      <c r="V1132" s="26"/>
      <c r="W1132" s="26"/>
      <c r="X1132" s="26"/>
    </row>
    <row r="1133" hidden="1">
      <c r="A1133" s="10" t="s">
        <v>427</v>
      </c>
      <c r="B1133" s="10" t="s">
        <v>3615</v>
      </c>
      <c r="C1133" s="27" t="s">
        <v>3616</v>
      </c>
      <c r="D1133" s="10" t="s">
        <v>3617</v>
      </c>
      <c r="E1133" s="28" t="s">
        <v>431</v>
      </c>
      <c r="F1133" s="23" t="s">
        <v>1231</v>
      </c>
      <c r="G1133" s="23" t="s">
        <v>203</v>
      </c>
      <c r="H1133" s="23" t="s">
        <v>998</v>
      </c>
      <c r="I1133" s="32"/>
      <c r="J1133" s="23" t="s">
        <v>6</v>
      </c>
      <c r="K1133" s="23" t="str">
        <f t="shared" si="1"/>
        <v>662695</v>
      </c>
      <c r="L1133" s="23"/>
      <c r="M1133" s="26"/>
      <c r="N1133" s="26"/>
      <c r="O1133" s="26"/>
      <c r="P1133" s="26"/>
      <c r="Q1133" s="26"/>
      <c r="R1133" s="26"/>
      <c r="S1133" s="26"/>
      <c r="T1133" s="26"/>
      <c r="U1133" s="26"/>
      <c r="V1133" s="26"/>
      <c r="W1133" s="26"/>
      <c r="X1133" s="26"/>
    </row>
    <row r="1134" hidden="1">
      <c r="A1134" s="10" t="s">
        <v>427</v>
      </c>
      <c r="B1134" s="10" t="s">
        <v>3618</v>
      </c>
      <c r="C1134" s="27" t="s">
        <v>3619</v>
      </c>
      <c r="D1134" s="10" t="s">
        <v>3620</v>
      </c>
      <c r="E1134" s="28" t="s">
        <v>534</v>
      </c>
      <c r="F1134" s="23" t="s">
        <v>535</v>
      </c>
      <c r="G1134" s="23" t="s">
        <v>203</v>
      </c>
      <c r="H1134" s="23" t="s">
        <v>998</v>
      </c>
      <c r="I1134" s="32"/>
      <c r="J1134" s="23" t="s">
        <v>6</v>
      </c>
      <c r="K1134" s="23" t="str">
        <f t="shared" si="1"/>
        <v>663333</v>
      </c>
      <c r="L1134" s="23"/>
      <c r="M1134" s="26"/>
      <c r="N1134" s="26"/>
      <c r="O1134" s="26"/>
      <c r="P1134" s="26"/>
      <c r="Q1134" s="26"/>
      <c r="R1134" s="26"/>
      <c r="S1134" s="26"/>
      <c r="T1134" s="26"/>
      <c r="U1134" s="26"/>
      <c r="V1134" s="26"/>
      <c r="W1134" s="26"/>
      <c r="X1134" s="26"/>
    </row>
    <row r="1135" hidden="1">
      <c r="A1135" s="10" t="s">
        <v>427</v>
      </c>
      <c r="B1135" s="10" t="s">
        <v>3621</v>
      </c>
      <c r="C1135" s="27" t="s">
        <v>3622</v>
      </c>
      <c r="D1135" s="10" t="s">
        <v>3623</v>
      </c>
      <c r="E1135" s="28" t="s">
        <v>431</v>
      </c>
      <c r="F1135" s="23" t="s">
        <v>1235</v>
      </c>
      <c r="G1135" s="23" t="s">
        <v>203</v>
      </c>
      <c r="H1135" s="23" t="s">
        <v>998</v>
      </c>
      <c r="I1135" s="32"/>
      <c r="J1135" s="23" t="s">
        <v>6</v>
      </c>
      <c r="K1135" s="23" t="str">
        <f t="shared" si="1"/>
        <v>670584</v>
      </c>
      <c r="L1135" s="23"/>
      <c r="M1135" s="26"/>
      <c r="N1135" s="26"/>
      <c r="O1135" s="26"/>
      <c r="P1135" s="26"/>
      <c r="Q1135" s="26"/>
      <c r="R1135" s="26"/>
      <c r="S1135" s="26"/>
      <c r="T1135" s="26"/>
      <c r="U1135" s="26"/>
      <c r="V1135" s="26"/>
      <c r="W1135" s="26"/>
      <c r="X1135" s="26"/>
    </row>
    <row r="1136" hidden="1">
      <c r="A1136" s="10" t="s">
        <v>427</v>
      </c>
      <c r="B1136" s="10" t="s">
        <v>3624</v>
      </c>
      <c r="C1136" s="27" t="s">
        <v>3625</v>
      </c>
      <c r="D1136" s="10" t="s">
        <v>3626</v>
      </c>
      <c r="E1136" s="28" t="s">
        <v>534</v>
      </c>
      <c r="F1136" s="23" t="s">
        <v>954</v>
      </c>
      <c r="G1136" s="23" t="s">
        <v>203</v>
      </c>
      <c r="H1136" s="23" t="s">
        <v>998</v>
      </c>
      <c r="I1136" s="32"/>
      <c r="J1136" s="23" t="s">
        <v>6</v>
      </c>
      <c r="K1136" s="23" t="str">
        <f t="shared" si="1"/>
        <v>645278</v>
      </c>
      <c r="L1136" s="23"/>
      <c r="M1136" s="26"/>
      <c r="N1136" s="26"/>
      <c r="O1136" s="26"/>
      <c r="P1136" s="26"/>
      <c r="Q1136" s="26"/>
      <c r="R1136" s="26"/>
      <c r="S1136" s="26"/>
      <c r="T1136" s="26"/>
      <c r="U1136" s="26"/>
      <c r="V1136" s="26"/>
      <c r="W1136" s="26"/>
      <c r="X1136" s="26"/>
    </row>
    <row r="1137" hidden="1">
      <c r="A1137" s="10" t="s">
        <v>427</v>
      </c>
      <c r="B1137" s="10" t="s">
        <v>3627</v>
      </c>
      <c r="C1137" s="27" t="s">
        <v>3628</v>
      </c>
      <c r="D1137" s="10" t="s">
        <v>3629</v>
      </c>
      <c r="E1137" s="28" t="s">
        <v>431</v>
      </c>
      <c r="F1137" s="23" t="s">
        <v>933</v>
      </c>
      <c r="G1137" s="23" t="s">
        <v>203</v>
      </c>
      <c r="H1137" s="23" t="s">
        <v>998</v>
      </c>
      <c r="I1137" s="32"/>
      <c r="J1137" s="23" t="s">
        <v>6</v>
      </c>
      <c r="K1137" s="23" t="str">
        <f t="shared" si="1"/>
        <v>635262</v>
      </c>
      <c r="L1137" s="23"/>
      <c r="M1137" s="26"/>
      <c r="N1137" s="26"/>
      <c r="O1137" s="26"/>
      <c r="P1137" s="26"/>
      <c r="Q1137" s="26"/>
      <c r="R1137" s="26"/>
      <c r="S1137" s="26"/>
      <c r="T1137" s="26"/>
      <c r="U1137" s="26"/>
      <c r="V1137" s="26"/>
      <c r="W1137" s="26"/>
      <c r="X1137" s="26"/>
    </row>
    <row r="1138" hidden="1">
      <c r="A1138" s="10" t="s">
        <v>427</v>
      </c>
      <c r="B1138" s="10" t="s">
        <v>3630</v>
      </c>
      <c r="C1138" s="27" t="s">
        <v>3631</v>
      </c>
      <c r="D1138" s="10" t="s">
        <v>3632</v>
      </c>
      <c r="E1138" s="28" t="s">
        <v>418</v>
      </c>
      <c r="F1138" s="23" t="s">
        <v>419</v>
      </c>
      <c r="G1138" s="23" t="s">
        <v>203</v>
      </c>
      <c r="H1138" s="23" t="s">
        <v>998</v>
      </c>
      <c r="I1138" s="32"/>
      <c r="J1138" s="23" t="s">
        <v>6</v>
      </c>
      <c r="K1138" s="23" t="str">
        <f t="shared" si="1"/>
        <v>644202</v>
      </c>
      <c r="L1138" s="23"/>
      <c r="M1138" s="26"/>
      <c r="N1138" s="26"/>
      <c r="O1138" s="26"/>
      <c r="P1138" s="26"/>
      <c r="Q1138" s="26"/>
      <c r="R1138" s="26"/>
      <c r="S1138" s="26"/>
      <c r="T1138" s="26"/>
      <c r="U1138" s="26"/>
      <c r="V1138" s="26"/>
      <c r="W1138" s="26"/>
      <c r="X1138" s="26"/>
    </row>
    <row r="1139" hidden="1">
      <c r="A1139" s="10" t="s">
        <v>427</v>
      </c>
      <c r="B1139" s="10" t="s">
        <v>3633</v>
      </c>
      <c r="C1139" s="27" t="s">
        <v>3634</v>
      </c>
      <c r="D1139" s="10" t="s">
        <v>3635</v>
      </c>
      <c r="E1139" s="28" t="s">
        <v>418</v>
      </c>
      <c r="F1139" s="23" t="s">
        <v>419</v>
      </c>
      <c r="G1139" s="23" t="s">
        <v>203</v>
      </c>
      <c r="H1139" s="23" t="s">
        <v>998</v>
      </c>
      <c r="I1139" s="32"/>
      <c r="J1139" s="23" t="s">
        <v>6</v>
      </c>
      <c r="K1139" s="23" t="str">
        <f t="shared" si="1"/>
        <v>663098</v>
      </c>
      <c r="L1139" s="23"/>
      <c r="M1139" s="26"/>
      <c r="N1139" s="26"/>
      <c r="O1139" s="26"/>
      <c r="P1139" s="26"/>
      <c r="Q1139" s="26"/>
      <c r="R1139" s="26"/>
      <c r="S1139" s="26"/>
      <c r="T1139" s="26"/>
      <c r="U1139" s="26"/>
      <c r="V1139" s="26"/>
      <c r="W1139" s="26"/>
      <c r="X1139" s="26"/>
    </row>
    <row r="1140" hidden="1">
      <c r="A1140" s="10" t="s">
        <v>427</v>
      </c>
      <c r="B1140" s="10" t="s">
        <v>3636</v>
      </c>
      <c r="C1140" s="27" t="s">
        <v>3637</v>
      </c>
      <c r="D1140" s="10" t="s">
        <v>3638</v>
      </c>
      <c r="E1140" s="28" t="s">
        <v>604</v>
      </c>
      <c r="F1140" s="23" t="s">
        <v>605</v>
      </c>
      <c r="G1140" s="23" t="s">
        <v>203</v>
      </c>
      <c r="H1140" s="23" t="s">
        <v>998</v>
      </c>
      <c r="I1140" s="32"/>
      <c r="J1140" s="23" t="s">
        <v>6</v>
      </c>
      <c r="K1140" s="23" t="str">
        <f t="shared" si="1"/>
        <v>677880</v>
      </c>
      <c r="L1140" s="23"/>
      <c r="M1140" s="26"/>
      <c r="N1140" s="26"/>
      <c r="O1140" s="26"/>
      <c r="P1140" s="26"/>
      <c r="Q1140" s="26"/>
      <c r="R1140" s="26"/>
      <c r="S1140" s="26"/>
      <c r="T1140" s="26"/>
      <c r="U1140" s="26"/>
      <c r="V1140" s="26"/>
      <c r="W1140" s="26"/>
      <c r="X1140" s="26"/>
    </row>
    <row r="1141" hidden="1">
      <c r="A1141" s="10" t="s">
        <v>427</v>
      </c>
      <c r="B1141" s="10" t="s">
        <v>3639</v>
      </c>
      <c r="C1141" s="27" t="s">
        <v>3640</v>
      </c>
      <c r="D1141" s="10" t="s">
        <v>3641</v>
      </c>
      <c r="E1141" s="28" t="s">
        <v>431</v>
      </c>
      <c r="F1141" s="23" t="s">
        <v>1867</v>
      </c>
      <c r="G1141" s="23" t="s">
        <v>203</v>
      </c>
      <c r="H1141" s="23" t="s">
        <v>998</v>
      </c>
      <c r="I1141" s="32"/>
      <c r="J1141" s="23" t="s">
        <v>6</v>
      </c>
      <c r="K1141" s="23" t="str">
        <f t="shared" si="1"/>
        <v>637464</v>
      </c>
      <c r="L1141" s="23"/>
      <c r="M1141" s="26"/>
      <c r="N1141" s="26"/>
      <c r="O1141" s="26"/>
      <c r="P1141" s="26"/>
      <c r="Q1141" s="26"/>
      <c r="R1141" s="26"/>
      <c r="S1141" s="26"/>
      <c r="T1141" s="26"/>
      <c r="U1141" s="26"/>
      <c r="V1141" s="26"/>
      <c r="W1141" s="26"/>
      <c r="X1141" s="26"/>
    </row>
    <row r="1142" hidden="1">
      <c r="A1142" s="10" t="s">
        <v>427</v>
      </c>
      <c r="B1142" s="10" t="s">
        <v>3642</v>
      </c>
      <c r="C1142" s="27" t="s">
        <v>3643</v>
      </c>
      <c r="D1142" s="10" t="s">
        <v>3644</v>
      </c>
      <c r="E1142" s="28" t="s">
        <v>580</v>
      </c>
      <c r="F1142" s="23" t="s">
        <v>585</v>
      </c>
      <c r="G1142" s="23" t="s">
        <v>203</v>
      </c>
      <c r="H1142" s="23" t="s">
        <v>998</v>
      </c>
      <c r="I1142" s="32"/>
      <c r="J1142" s="23" t="s">
        <v>6</v>
      </c>
      <c r="K1142" s="23" t="str">
        <f t="shared" si="1"/>
        <v>673387</v>
      </c>
      <c r="L1142" s="23"/>
      <c r="M1142" s="26"/>
      <c r="N1142" s="26"/>
      <c r="O1142" s="26"/>
      <c r="P1142" s="26"/>
      <c r="Q1142" s="26"/>
      <c r="R1142" s="26"/>
      <c r="S1142" s="26"/>
      <c r="T1142" s="26"/>
      <c r="U1142" s="26"/>
      <c r="V1142" s="26"/>
      <c r="W1142" s="26"/>
      <c r="X1142" s="26"/>
    </row>
    <row r="1143" hidden="1">
      <c r="A1143" s="10" t="s">
        <v>427</v>
      </c>
      <c r="B1143" s="10" t="s">
        <v>3645</v>
      </c>
      <c r="C1143" s="27" t="s">
        <v>3646</v>
      </c>
      <c r="D1143" s="10" t="s">
        <v>3647</v>
      </c>
      <c r="E1143" s="28" t="s">
        <v>534</v>
      </c>
      <c r="F1143" s="23" t="s">
        <v>757</v>
      </c>
      <c r="G1143" s="23" t="s">
        <v>203</v>
      </c>
      <c r="H1143" s="23" t="s">
        <v>998</v>
      </c>
      <c r="I1143" s="32"/>
      <c r="J1143" s="23" t="s">
        <v>6</v>
      </c>
      <c r="K1143" s="23" t="str">
        <f t="shared" si="1"/>
        <v>675732</v>
      </c>
      <c r="L1143" s="23"/>
      <c r="M1143" s="26"/>
      <c r="N1143" s="26"/>
      <c r="O1143" s="26"/>
      <c r="P1143" s="26"/>
      <c r="Q1143" s="26"/>
      <c r="R1143" s="26"/>
      <c r="S1143" s="26"/>
      <c r="T1143" s="26"/>
      <c r="U1143" s="26"/>
      <c r="V1143" s="26"/>
      <c r="W1143" s="26"/>
      <c r="X1143" s="26"/>
    </row>
    <row r="1144" hidden="1">
      <c r="A1144" s="10" t="s">
        <v>427</v>
      </c>
      <c r="B1144" s="10" t="s">
        <v>3648</v>
      </c>
      <c r="C1144" s="27" t="s">
        <v>3649</v>
      </c>
      <c r="D1144" s="10" t="s">
        <v>3650</v>
      </c>
      <c r="E1144" s="28" t="s">
        <v>534</v>
      </c>
      <c r="F1144" s="23" t="s">
        <v>954</v>
      </c>
      <c r="G1144" s="23" t="s">
        <v>521</v>
      </c>
      <c r="H1144" s="23" t="s">
        <v>3651</v>
      </c>
      <c r="I1144" s="32"/>
      <c r="J1144" s="23" t="s">
        <v>6</v>
      </c>
      <c r="K1144" s="23" t="str">
        <f t="shared" si="1"/>
        <v>650272</v>
      </c>
      <c r="L1144" s="23"/>
      <c r="M1144" s="26"/>
      <c r="N1144" s="26"/>
      <c r="O1144" s="26"/>
      <c r="P1144" s="26"/>
      <c r="Q1144" s="26"/>
      <c r="R1144" s="26"/>
      <c r="S1144" s="26"/>
      <c r="T1144" s="26"/>
      <c r="U1144" s="26"/>
      <c r="V1144" s="26"/>
      <c r="W1144" s="26"/>
      <c r="X1144" s="26"/>
    </row>
    <row r="1145" hidden="1">
      <c r="A1145" s="10" t="s">
        <v>427</v>
      </c>
      <c r="B1145" s="10" t="s">
        <v>3652</v>
      </c>
      <c r="C1145" s="27" t="s">
        <v>3653</v>
      </c>
      <c r="D1145" s="10" t="s">
        <v>3654</v>
      </c>
      <c r="E1145" s="28" t="s">
        <v>431</v>
      </c>
      <c r="F1145" s="23" t="s">
        <v>1788</v>
      </c>
      <c r="G1145" s="23" t="s">
        <v>521</v>
      </c>
      <c r="H1145" s="23" t="s">
        <v>3651</v>
      </c>
      <c r="I1145" s="32"/>
      <c r="J1145" s="23" t="s">
        <v>6</v>
      </c>
      <c r="K1145" s="23" t="str">
        <f t="shared" si="1"/>
        <v>627533</v>
      </c>
      <c r="L1145" s="23"/>
      <c r="M1145" s="26"/>
      <c r="N1145" s="26"/>
      <c r="O1145" s="26"/>
      <c r="P1145" s="26"/>
      <c r="Q1145" s="26"/>
      <c r="R1145" s="26"/>
      <c r="S1145" s="26"/>
      <c r="T1145" s="26"/>
      <c r="U1145" s="26"/>
      <c r="V1145" s="26"/>
      <c r="W1145" s="26"/>
      <c r="X1145" s="26"/>
    </row>
    <row r="1146" hidden="1">
      <c r="A1146" s="10" t="s">
        <v>427</v>
      </c>
      <c r="B1146" s="10" t="s">
        <v>3655</v>
      </c>
      <c r="C1146" s="27" t="s">
        <v>3656</v>
      </c>
      <c r="D1146" s="10" t="s">
        <v>3657</v>
      </c>
      <c r="E1146" s="28" t="s">
        <v>431</v>
      </c>
      <c r="F1146" s="23" t="s">
        <v>933</v>
      </c>
      <c r="G1146" s="23" t="s">
        <v>521</v>
      </c>
      <c r="H1146" s="23" t="s">
        <v>3651</v>
      </c>
      <c r="I1146" s="32"/>
      <c r="J1146" s="23" t="s">
        <v>6</v>
      </c>
      <c r="K1146" s="23" t="str">
        <f t="shared" si="1"/>
        <v>629353</v>
      </c>
      <c r="L1146" s="23"/>
      <c r="M1146" s="26"/>
      <c r="N1146" s="26"/>
      <c r="O1146" s="26"/>
      <c r="P1146" s="26"/>
      <c r="Q1146" s="26"/>
      <c r="R1146" s="26"/>
      <c r="S1146" s="26"/>
      <c r="T1146" s="26"/>
      <c r="U1146" s="26"/>
      <c r="V1146" s="26"/>
      <c r="W1146" s="26"/>
      <c r="X1146" s="26"/>
    </row>
    <row r="1147" hidden="1">
      <c r="A1147" s="10" t="s">
        <v>427</v>
      </c>
      <c r="B1147" s="10" t="s">
        <v>3658</v>
      </c>
      <c r="C1147" s="27" t="s">
        <v>3659</v>
      </c>
      <c r="D1147" s="10" t="s">
        <v>3660</v>
      </c>
      <c r="E1147" s="28" t="s">
        <v>431</v>
      </c>
      <c r="F1147" s="23" t="s">
        <v>1867</v>
      </c>
      <c r="G1147" s="23" t="s">
        <v>521</v>
      </c>
      <c r="H1147" s="23" t="s">
        <v>3651</v>
      </c>
      <c r="I1147" s="32"/>
      <c r="J1147" s="23" t="s">
        <v>6</v>
      </c>
      <c r="K1147" s="23" t="str">
        <f t="shared" si="1"/>
        <v>637488</v>
      </c>
      <c r="L1147" s="23"/>
      <c r="M1147" s="26"/>
      <c r="N1147" s="26"/>
      <c r="O1147" s="26"/>
      <c r="P1147" s="26"/>
      <c r="Q1147" s="26"/>
      <c r="R1147" s="26"/>
      <c r="S1147" s="26"/>
      <c r="T1147" s="26"/>
      <c r="U1147" s="26"/>
      <c r="V1147" s="26"/>
      <c r="W1147" s="26"/>
      <c r="X1147" s="26"/>
    </row>
    <row r="1148" hidden="1">
      <c r="A1148" s="10" t="s">
        <v>427</v>
      </c>
      <c r="B1148" s="10" t="s">
        <v>3661</v>
      </c>
      <c r="C1148" s="27" t="s">
        <v>3662</v>
      </c>
      <c r="D1148" s="10" t="s">
        <v>3663</v>
      </c>
      <c r="E1148" s="28" t="s">
        <v>580</v>
      </c>
      <c r="F1148" s="23" t="s">
        <v>581</v>
      </c>
      <c r="G1148" s="23" t="s">
        <v>521</v>
      </c>
      <c r="H1148" s="23" t="s">
        <v>3651</v>
      </c>
      <c r="I1148" s="32"/>
      <c r="J1148" s="23" t="s">
        <v>6</v>
      </c>
      <c r="K1148" s="23" t="str">
        <f t="shared" si="1"/>
        <v>673394</v>
      </c>
      <c r="L1148" s="23"/>
      <c r="M1148" s="26"/>
      <c r="N1148" s="26"/>
      <c r="O1148" s="26"/>
      <c r="P1148" s="26"/>
      <c r="Q1148" s="26"/>
      <c r="R1148" s="26"/>
      <c r="S1148" s="26"/>
      <c r="T1148" s="26"/>
      <c r="U1148" s="26"/>
      <c r="V1148" s="26"/>
      <c r="W1148" s="26"/>
      <c r="X1148" s="26"/>
    </row>
    <row r="1149" hidden="1">
      <c r="A1149" s="10" t="s">
        <v>427</v>
      </c>
      <c r="B1149" s="10" t="s">
        <v>3664</v>
      </c>
      <c r="C1149" s="27" t="s">
        <v>3665</v>
      </c>
      <c r="D1149" s="10" t="s">
        <v>3666</v>
      </c>
      <c r="E1149" s="28" t="s">
        <v>431</v>
      </c>
      <c r="F1149" s="23" t="s">
        <v>432</v>
      </c>
      <c r="G1149" s="23" t="s">
        <v>521</v>
      </c>
      <c r="H1149" s="23" t="s">
        <v>3651</v>
      </c>
      <c r="I1149" s="32"/>
      <c r="J1149" s="23" t="s">
        <v>6</v>
      </c>
      <c r="K1149" s="23" t="str">
        <f t="shared" si="1"/>
        <v>678085</v>
      </c>
      <c r="L1149" s="23"/>
      <c r="M1149" s="26"/>
      <c r="N1149" s="26"/>
      <c r="O1149" s="26"/>
      <c r="P1149" s="26"/>
      <c r="Q1149" s="26"/>
      <c r="R1149" s="26"/>
      <c r="S1149" s="26"/>
      <c r="T1149" s="26"/>
      <c r="U1149" s="26"/>
      <c r="V1149" s="26"/>
      <c r="W1149" s="26"/>
      <c r="X1149" s="26"/>
    </row>
    <row r="1150" hidden="1">
      <c r="A1150" s="10" t="s">
        <v>427</v>
      </c>
      <c r="B1150" s="10" t="s">
        <v>3667</v>
      </c>
      <c r="C1150" s="27" t="s">
        <v>3668</v>
      </c>
      <c r="D1150" s="10" t="s">
        <v>3669</v>
      </c>
      <c r="E1150" s="28" t="s">
        <v>534</v>
      </c>
      <c r="F1150" s="23" t="s">
        <v>535</v>
      </c>
      <c r="G1150" s="23" t="s">
        <v>521</v>
      </c>
      <c r="H1150" s="23" t="s">
        <v>3651</v>
      </c>
      <c r="I1150" s="32"/>
      <c r="J1150" s="23" t="s">
        <v>6</v>
      </c>
      <c r="K1150" s="23" t="str">
        <f t="shared" si="1"/>
        <v>690759</v>
      </c>
      <c r="L1150" s="23"/>
      <c r="M1150" s="26"/>
      <c r="N1150" s="26"/>
      <c r="O1150" s="26"/>
      <c r="P1150" s="26"/>
      <c r="Q1150" s="26"/>
      <c r="R1150" s="26"/>
      <c r="S1150" s="26"/>
      <c r="T1150" s="26"/>
      <c r="U1150" s="26"/>
      <c r="V1150" s="26"/>
      <c r="W1150" s="26"/>
      <c r="X1150" s="26"/>
    </row>
    <row r="1151" hidden="1">
      <c r="A1151" s="10" t="s">
        <v>427</v>
      </c>
      <c r="B1151" s="10" t="s">
        <v>3670</v>
      </c>
      <c r="C1151" s="27" t="s">
        <v>3671</v>
      </c>
      <c r="D1151" s="10" t="s">
        <v>3672</v>
      </c>
      <c r="E1151" s="28" t="s">
        <v>431</v>
      </c>
      <c r="F1151" s="23" t="s">
        <v>1235</v>
      </c>
      <c r="G1151" s="23" t="s">
        <v>521</v>
      </c>
      <c r="H1151" s="23" t="s">
        <v>3651</v>
      </c>
      <c r="I1151" s="32"/>
      <c r="J1151" s="23" t="s">
        <v>6</v>
      </c>
      <c r="K1151" s="23" t="str">
        <f t="shared" si="1"/>
        <v>673806</v>
      </c>
      <c r="L1151" s="23"/>
      <c r="M1151" s="26"/>
      <c r="N1151" s="26"/>
      <c r="O1151" s="26"/>
      <c r="P1151" s="26"/>
      <c r="Q1151" s="26"/>
      <c r="R1151" s="26"/>
      <c r="S1151" s="26"/>
      <c r="T1151" s="26"/>
      <c r="U1151" s="26"/>
      <c r="V1151" s="26"/>
      <c r="W1151" s="26"/>
      <c r="X1151" s="26"/>
    </row>
    <row r="1152" hidden="1">
      <c r="A1152" s="10" t="s">
        <v>427</v>
      </c>
      <c r="B1152" s="10" t="s">
        <v>3673</v>
      </c>
      <c r="C1152" s="27" t="s">
        <v>3674</v>
      </c>
      <c r="D1152" s="10" t="s">
        <v>3675</v>
      </c>
      <c r="E1152" s="28" t="s">
        <v>604</v>
      </c>
      <c r="F1152" s="23" t="s">
        <v>605</v>
      </c>
      <c r="G1152" s="23" t="s">
        <v>521</v>
      </c>
      <c r="H1152" s="23" t="s">
        <v>3651</v>
      </c>
      <c r="I1152" s="32"/>
      <c r="J1152" s="23" t="s">
        <v>6</v>
      </c>
      <c r="K1152" s="23" t="str">
        <f t="shared" si="1"/>
        <v>678825</v>
      </c>
      <c r="L1152" s="23"/>
      <c r="M1152" s="26"/>
      <c r="N1152" s="26"/>
      <c r="O1152" s="26"/>
      <c r="P1152" s="26"/>
      <c r="Q1152" s="26"/>
      <c r="R1152" s="26"/>
      <c r="S1152" s="26"/>
      <c r="T1152" s="26"/>
      <c r="U1152" s="26"/>
      <c r="V1152" s="26"/>
      <c r="W1152" s="26"/>
      <c r="X1152" s="26"/>
    </row>
    <row r="1153" hidden="1">
      <c r="A1153" s="10" t="s">
        <v>427</v>
      </c>
      <c r="B1153" s="10" t="s">
        <v>3676</v>
      </c>
      <c r="C1153" s="27" t="s">
        <v>3677</v>
      </c>
      <c r="D1153" s="10" t="s">
        <v>3678</v>
      </c>
      <c r="E1153" s="28" t="s">
        <v>431</v>
      </c>
      <c r="F1153" s="23" t="s">
        <v>950</v>
      </c>
      <c r="G1153" s="23" t="s">
        <v>521</v>
      </c>
      <c r="H1153" s="23" t="s">
        <v>3651</v>
      </c>
      <c r="I1153" s="32"/>
      <c r="J1153" s="23" t="s">
        <v>6</v>
      </c>
      <c r="K1153" s="23" t="str">
        <f t="shared" si="1"/>
        <v>632209</v>
      </c>
      <c r="L1153" s="23"/>
      <c r="M1153" s="26"/>
      <c r="N1153" s="26"/>
      <c r="O1153" s="26"/>
      <c r="P1153" s="26"/>
      <c r="Q1153" s="26"/>
      <c r="R1153" s="26"/>
      <c r="S1153" s="26"/>
      <c r="T1153" s="26"/>
      <c r="U1153" s="26"/>
      <c r="V1153" s="26"/>
      <c r="W1153" s="26"/>
      <c r="X1153" s="26"/>
    </row>
    <row r="1154" hidden="1">
      <c r="A1154" s="10" t="s">
        <v>427</v>
      </c>
      <c r="B1154" s="10" t="s">
        <v>3679</v>
      </c>
      <c r="C1154" s="27" t="s">
        <v>3680</v>
      </c>
      <c r="D1154" s="10" t="s">
        <v>3681</v>
      </c>
      <c r="E1154" s="28" t="s">
        <v>418</v>
      </c>
      <c r="F1154" s="23" t="s">
        <v>977</v>
      </c>
      <c r="G1154" s="23" t="s">
        <v>521</v>
      </c>
      <c r="H1154" s="23" t="s">
        <v>3651</v>
      </c>
      <c r="I1154" s="32"/>
      <c r="J1154" s="23" t="s">
        <v>6</v>
      </c>
      <c r="K1154" s="23" t="str">
        <f t="shared" si="1"/>
        <v>671390</v>
      </c>
      <c r="L1154" s="23"/>
      <c r="M1154" s="26"/>
      <c r="N1154" s="26"/>
      <c r="O1154" s="26"/>
      <c r="P1154" s="26"/>
      <c r="Q1154" s="26"/>
      <c r="R1154" s="26"/>
      <c r="S1154" s="26"/>
      <c r="T1154" s="26"/>
      <c r="U1154" s="26"/>
      <c r="V1154" s="26"/>
      <c r="W1154" s="26"/>
      <c r="X1154" s="26"/>
    </row>
    <row r="1155" hidden="1">
      <c r="A1155" s="10" t="s">
        <v>427</v>
      </c>
      <c r="B1155" s="10" t="s">
        <v>3682</v>
      </c>
      <c r="C1155" s="27" t="s">
        <v>3683</v>
      </c>
      <c r="D1155" s="10" t="s">
        <v>3684</v>
      </c>
      <c r="E1155" s="28" t="s">
        <v>534</v>
      </c>
      <c r="F1155" s="23" t="s">
        <v>757</v>
      </c>
      <c r="G1155" s="23" t="s">
        <v>521</v>
      </c>
      <c r="H1155" s="23" t="s">
        <v>3651</v>
      </c>
      <c r="I1155" s="32"/>
      <c r="J1155" s="23" t="s">
        <v>6</v>
      </c>
      <c r="K1155" s="23" t="str">
        <f t="shared" si="1"/>
        <v>645131</v>
      </c>
      <c r="L1155" s="23"/>
      <c r="M1155" s="26"/>
      <c r="N1155" s="26"/>
      <c r="O1155" s="26"/>
      <c r="P1155" s="26"/>
      <c r="Q1155" s="26"/>
      <c r="R1155" s="26"/>
      <c r="S1155" s="26"/>
      <c r="T1155" s="26"/>
      <c r="U1155" s="26"/>
      <c r="V1155" s="26"/>
      <c r="W1155" s="26"/>
      <c r="X1155" s="26"/>
    </row>
    <row r="1156" hidden="1">
      <c r="A1156" s="10" t="s">
        <v>427</v>
      </c>
      <c r="B1156" s="10" t="s">
        <v>3685</v>
      </c>
      <c r="C1156" s="27" t="s">
        <v>3686</v>
      </c>
      <c r="D1156" s="10" t="s">
        <v>3687</v>
      </c>
      <c r="E1156" s="28" t="s">
        <v>534</v>
      </c>
      <c r="F1156" s="23" t="s">
        <v>1238</v>
      </c>
      <c r="G1156" s="23" t="s">
        <v>521</v>
      </c>
      <c r="H1156" s="23" t="s">
        <v>3651</v>
      </c>
      <c r="I1156" s="32"/>
      <c r="J1156" s="23" t="s">
        <v>6</v>
      </c>
      <c r="K1156" s="23" t="str">
        <f t="shared" si="1"/>
        <v>654034</v>
      </c>
      <c r="L1156" s="23"/>
      <c r="M1156" s="26"/>
      <c r="N1156" s="26"/>
      <c r="O1156" s="26"/>
      <c r="P1156" s="26"/>
      <c r="Q1156" s="26"/>
      <c r="R1156" s="26"/>
      <c r="S1156" s="26"/>
      <c r="T1156" s="26"/>
      <c r="U1156" s="26"/>
      <c r="V1156" s="26"/>
      <c r="W1156" s="26"/>
      <c r="X1156" s="26"/>
    </row>
    <row r="1157" hidden="1">
      <c r="A1157" s="10" t="s">
        <v>427</v>
      </c>
      <c r="B1157" s="10" t="s">
        <v>3688</v>
      </c>
      <c r="C1157" s="27" t="s">
        <v>3689</v>
      </c>
      <c r="D1157" s="10" t="s">
        <v>3690</v>
      </c>
      <c r="E1157" s="28" t="s">
        <v>431</v>
      </c>
      <c r="F1157" s="23" t="s">
        <v>1053</v>
      </c>
      <c r="G1157" s="23" t="s">
        <v>521</v>
      </c>
      <c r="H1157" s="23" t="s">
        <v>3651</v>
      </c>
      <c r="I1157" s="32"/>
      <c r="J1157" s="23" t="s">
        <v>6</v>
      </c>
      <c r="K1157" s="23" t="str">
        <f t="shared" si="1"/>
        <v>671055</v>
      </c>
      <c r="L1157" s="23"/>
      <c r="M1157" s="26"/>
      <c r="N1157" s="26"/>
      <c r="O1157" s="26"/>
      <c r="P1157" s="26"/>
      <c r="Q1157" s="26"/>
      <c r="R1157" s="26"/>
      <c r="S1157" s="26"/>
      <c r="T1157" s="26"/>
      <c r="U1157" s="26"/>
      <c r="V1157" s="26"/>
      <c r="W1157" s="26"/>
      <c r="X1157" s="26"/>
    </row>
    <row r="1158" hidden="1">
      <c r="A1158" s="10" t="s">
        <v>427</v>
      </c>
      <c r="B1158" s="10" t="s">
        <v>3691</v>
      </c>
      <c r="C1158" s="27" t="s">
        <v>3692</v>
      </c>
      <c r="D1158" s="10" t="s">
        <v>3693</v>
      </c>
      <c r="E1158" s="28" t="s">
        <v>431</v>
      </c>
      <c r="F1158" s="23" t="s">
        <v>933</v>
      </c>
      <c r="G1158" s="23" t="s">
        <v>521</v>
      </c>
      <c r="H1158" s="23" t="s">
        <v>3651</v>
      </c>
      <c r="I1158" s="32"/>
      <c r="J1158" s="23" t="s">
        <v>6</v>
      </c>
      <c r="K1158" s="23" t="str">
        <f t="shared" si="1"/>
        <v>650333</v>
      </c>
      <c r="L1158" s="23"/>
      <c r="M1158" s="26"/>
      <c r="N1158" s="26"/>
      <c r="O1158" s="26"/>
      <c r="P1158" s="26"/>
      <c r="Q1158" s="26"/>
      <c r="R1158" s="26"/>
      <c r="S1158" s="26"/>
      <c r="T1158" s="26"/>
      <c r="U1158" s="26"/>
      <c r="V1158" s="26"/>
      <c r="W1158" s="26"/>
      <c r="X1158" s="26"/>
    </row>
    <row r="1159" hidden="1">
      <c r="A1159" s="10" t="s">
        <v>427</v>
      </c>
      <c r="B1159" s="10" t="s">
        <v>3694</v>
      </c>
      <c r="C1159" s="27" t="s">
        <v>3695</v>
      </c>
      <c r="D1159" s="10" t="s">
        <v>3696</v>
      </c>
      <c r="E1159" s="28" t="s">
        <v>534</v>
      </c>
      <c r="F1159" s="23" t="s">
        <v>757</v>
      </c>
      <c r="G1159" s="23" t="s">
        <v>521</v>
      </c>
      <c r="H1159" s="23" t="s">
        <v>3651</v>
      </c>
      <c r="I1159" s="32"/>
      <c r="J1159" s="23" t="s">
        <v>6</v>
      </c>
      <c r="K1159" s="23" t="str">
        <f t="shared" si="1"/>
        <v>668369</v>
      </c>
      <c r="L1159" s="23"/>
      <c r="M1159" s="26"/>
      <c r="N1159" s="26"/>
      <c r="O1159" s="26"/>
      <c r="P1159" s="26"/>
      <c r="Q1159" s="26"/>
      <c r="R1159" s="26"/>
      <c r="S1159" s="26"/>
      <c r="T1159" s="26"/>
      <c r="U1159" s="26"/>
      <c r="V1159" s="26"/>
      <c r="W1159" s="26"/>
      <c r="X1159" s="26"/>
    </row>
    <row r="1160" hidden="1">
      <c r="A1160" s="10" t="s">
        <v>427</v>
      </c>
      <c r="B1160" s="10" t="s">
        <v>3697</v>
      </c>
      <c r="C1160" s="27" t="s">
        <v>3698</v>
      </c>
      <c r="D1160" s="10" t="s">
        <v>3699</v>
      </c>
      <c r="E1160" s="28" t="s">
        <v>534</v>
      </c>
      <c r="F1160" s="23" t="s">
        <v>535</v>
      </c>
      <c r="G1160" s="23" t="s">
        <v>521</v>
      </c>
      <c r="H1160" s="23" t="s">
        <v>3651</v>
      </c>
      <c r="I1160" s="32"/>
      <c r="J1160" s="23" t="s">
        <v>6</v>
      </c>
      <c r="K1160" s="23" t="str">
        <f t="shared" si="1"/>
        <v>666884</v>
      </c>
      <c r="L1160" s="23"/>
      <c r="M1160" s="26"/>
      <c r="N1160" s="26"/>
      <c r="O1160" s="26"/>
      <c r="P1160" s="26"/>
      <c r="Q1160" s="26"/>
      <c r="R1160" s="26"/>
      <c r="S1160" s="26"/>
      <c r="T1160" s="26"/>
      <c r="U1160" s="26"/>
      <c r="V1160" s="26"/>
      <c r="W1160" s="26"/>
      <c r="X1160" s="26"/>
    </row>
    <row r="1161" hidden="1">
      <c r="A1161" s="10" t="s">
        <v>427</v>
      </c>
      <c r="B1161" s="10" t="s">
        <v>3700</v>
      </c>
      <c r="C1161" s="27" t="s">
        <v>3701</v>
      </c>
      <c r="D1161" s="10" t="s">
        <v>3702</v>
      </c>
      <c r="E1161" s="28" t="s">
        <v>418</v>
      </c>
      <c r="F1161" s="23" t="s">
        <v>419</v>
      </c>
      <c r="G1161" s="23" t="s">
        <v>521</v>
      </c>
      <c r="H1161" s="23" t="s">
        <v>3651</v>
      </c>
      <c r="I1161" s="32"/>
      <c r="J1161" s="23" t="s">
        <v>6</v>
      </c>
      <c r="K1161" s="23" t="str">
        <f t="shared" si="1"/>
        <v>666822</v>
      </c>
      <c r="L1161" s="23"/>
      <c r="M1161" s="26"/>
      <c r="N1161" s="26"/>
      <c r="O1161" s="26"/>
      <c r="P1161" s="26"/>
      <c r="Q1161" s="26"/>
      <c r="R1161" s="26"/>
      <c r="S1161" s="26"/>
      <c r="T1161" s="26"/>
      <c r="U1161" s="26"/>
      <c r="V1161" s="26"/>
      <c r="W1161" s="26"/>
      <c r="X1161" s="26"/>
    </row>
    <row r="1162" hidden="1">
      <c r="A1162" s="10" t="s">
        <v>427</v>
      </c>
      <c r="B1162" s="10" t="s">
        <v>3703</v>
      </c>
      <c r="C1162" s="27" t="s">
        <v>3704</v>
      </c>
      <c r="D1162" s="10" t="s">
        <v>3705</v>
      </c>
      <c r="E1162" s="28" t="s">
        <v>534</v>
      </c>
      <c r="F1162" s="23" t="s">
        <v>535</v>
      </c>
      <c r="G1162" s="23" t="s">
        <v>521</v>
      </c>
      <c r="H1162" s="23" t="s">
        <v>3651</v>
      </c>
      <c r="I1162" s="32"/>
      <c r="J1162" s="23" t="s">
        <v>6</v>
      </c>
      <c r="K1162" s="23" t="str">
        <f t="shared" si="1"/>
        <v>673738</v>
      </c>
      <c r="L1162" s="23"/>
      <c r="M1162" s="26"/>
      <c r="N1162" s="26"/>
      <c r="O1162" s="26"/>
      <c r="P1162" s="26"/>
      <c r="Q1162" s="26"/>
      <c r="R1162" s="26"/>
      <c r="S1162" s="26"/>
      <c r="T1162" s="26"/>
      <c r="U1162" s="26"/>
      <c r="V1162" s="26"/>
      <c r="W1162" s="26"/>
      <c r="X1162" s="26"/>
    </row>
    <row r="1163" hidden="1">
      <c r="A1163" s="10" t="s">
        <v>190</v>
      </c>
      <c r="B1163" s="10" t="s">
        <v>3706</v>
      </c>
      <c r="C1163" s="27" t="s">
        <v>3707</v>
      </c>
      <c r="D1163" s="10" t="s">
        <v>3708</v>
      </c>
      <c r="E1163" s="28" t="s">
        <v>194</v>
      </c>
      <c r="F1163" s="23" t="s">
        <v>195</v>
      </c>
      <c r="G1163" s="23" t="s">
        <v>196</v>
      </c>
      <c r="H1163" s="23" t="s">
        <v>227</v>
      </c>
      <c r="I1163" s="23" t="s">
        <v>3709</v>
      </c>
      <c r="J1163" s="23" t="s">
        <v>238</v>
      </c>
      <c r="K1163" s="23" t="str">
        <f t="shared" si="1"/>
        <v>686455</v>
      </c>
      <c r="L1163" s="23"/>
      <c r="M1163" s="26"/>
      <c r="N1163" s="26"/>
      <c r="O1163" s="26"/>
      <c r="P1163" s="26"/>
      <c r="Q1163" s="26"/>
      <c r="R1163" s="26"/>
      <c r="S1163" s="26"/>
      <c r="T1163" s="26"/>
      <c r="U1163" s="26"/>
      <c r="V1163" s="26"/>
      <c r="W1163" s="26"/>
      <c r="X1163" s="26"/>
    </row>
    <row r="1164" hidden="1">
      <c r="A1164" s="10" t="s">
        <v>499</v>
      </c>
      <c r="B1164" s="10" t="s">
        <v>3710</v>
      </c>
      <c r="C1164" s="27" t="s">
        <v>3711</v>
      </c>
      <c r="D1164" s="10" t="s">
        <v>3712</v>
      </c>
      <c r="E1164" s="28" t="s">
        <v>194</v>
      </c>
      <c r="F1164" s="23" t="s">
        <v>195</v>
      </c>
      <c r="G1164" s="23" t="s">
        <v>196</v>
      </c>
      <c r="H1164" s="23" t="s">
        <v>227</v>
      </c>
      <c r="I1164" s="23" t="s">
        <v>3713</v>
      </c>
      <c r="J1164" s="23" t="s">
        <v>6</v>
      </c>
      <c r="K1164" s="23" t="str">
        <f t="shared" si="1"/>
        <v>671925</v>
      </c>
      <c r="L1164" s="23"/>
      <c r="M1164" s="26"/>
      <c r="N1164" s="26"/>
      <c r="O1164" s="26"/>
      <c r="P1164" s="26"/>
      <c r="Q1164" s="26"/>
      <c r="R1164" s="26"/>
      <c r="S1164" s="26"/>
      <c r="T1164" s="26"/>
      <c r="U1164" s="26"/>
      <c r="V1164" s="26"/>
      <c r="W1164" s="26"/>
      <c r="X1164" s="26"/>
    </row>
    <row r="1165" hidden="1">
      <c r="A1165" s="10" t="s">
        <v>499</v>
      </c>
      <c r="B1165" s="10" t="s">
        <v>3714</v>
      </c>
      <c r="C1165" s="27" t="s">
        <v>3715</v>
      </c>
      <c r="D1165" s="10" t="s">
        <v>3716</v>
      </c>
      <c r="E1165" s="28" t="s">
        <v>194</v>
      </c>
      <c r="F1165" s="23" t="s">
        <v>195</v>
      </c>
      <c r="G1165" s="23" t="s">
        <v>196</v>
      </c>
      <c r="H1165" s="23" t="s">
        <v>227</v>
      </c>
      <c r="I1165" s="23" t="s">
        <v>3713</v>
      </c>
      <c r="J1165" s="23" t="s">
        <v>6</v>
      </c>
      <c r="K1165" s="23" t="str">
        <f t="shared" si="1"/>
        <v>671918</v>
      </c>
      <c r="L1165" s="23"/>
      <c r="M1165" s="26"/>
      <c r="N1165" s="26"/>
      <c r="O1165" s="26"/>
      <c r="P1165" s="26"/>
      <c r="Q1165" s="26"/>
      <c r="R1165" s="26"/>
      <c r="S1165" s="26"/>
      <c r="T1165" s="26"/>
      <c r="U1165" s="26"/>
      <c r="V1165" s="26"/>
      <c r="W1165" s="26"/>
      <c r="X1165" s="26"/>
    </row>
    <row r="1166" hidden="1">
      <c r="A1166" s="10" t="s">
        <v>499</v>
      </c>
      <c r="B1166" s="10" t="s">
        <v>3717</v>
      </c>
      <c r="C1166" s="27" t="s">
        <v>3718</v>
      </c>
      <c r="D1166" s="10" t="s">
        <v>3719</v>
      </c>
      <c r="E1166" s="28" t="s">
        <v>194</v>
      </c>
      <c r="F1166" s="23" t="s">
        <v>195</v>
      </c>
      <c r="G1166" s="23" t="s">
        <v>196</v>
      </c>
      <c r="H1166" s="23" t="s">
        <v>227</v>
      </c>
      <c r="I1166" s="23" t="s">
        <v>3713</v>
      </c>
      <c r="J1166" s="23" t="s">
        <v>6</v>
      </c>
      <c r="K1166" s="23" t="str">
        <f t="shared" si="1"/>
        <v>671932</v>
      </c>
      <c r="L1166" s="23"/>
      <c r="M1166" s="26"/>
      <c r="N1166" s="26"/>
      <c r="O1166" s="26"/>
      <c r="P1166" s="26"/>
      <c r="Q1166" s="26"/>
      <c r="R1166" s="26"/>
      <c r="S1166" s="26"/>
      <c r="T1166" s="26"/>
      <c r="U1166" s="26"/>
      <c r="V1166" s="26"/>
      <c r="W1166" s="26"/>
      <c r="X1166" s="26"/>
    </row>
    <row r="1167" hidden="1">
      <c r="A1167" s="10" t="s">
        <v>499</v>
      </c>
      <c r="B1167" s="10" t="s">
        <v>3720</v>
      </c>
      <c r="C1167" s="27" t="s">
        <v>3721</v>
      </c>
      <c r="D1167" s="10" t="s">
        <v>3722</v>
      </c>
      <c r="E1167" s="28" t="s">
        <v>194</v>
      </c>
      <c r="F1167" s="23" t="s">
        <v>1037</v>
      </c>
      <c r="G1167" s="23" t="s">
        <v>196</v>
      </c>
      <c r="H1167" s="23" t="s">
        <v>227</v>
      </c>
      <c r="I1167" s="23" t="s">
        <v>228</v>
      </c>
      <c r="J1167" s="23" t="s">
        <v>6</v>
      </c>
      <c r="K1167" s="23" t="str">
        <f t="shared" si="1"/>
        <v>621128</v>
      </c>
      <c r="L1167" s="23"/>
      <c r="M1167" s="26"/>
      <c r="N1167" s="26"/>
      <c r="O1167" s="26"/>
      <c r="P1167" s="26"/>
      <c r="Q1167" s="26"/>
      <c r="R1167" s="26"/>
      <c r="S1167" s="26"/>
      <c r="T1167" s="26"/>
      <c r="U1167" s="26"/>
      <c r="V1167" s="26"/>
      <c r="W1167" s="26"/>
      <c r="X1167" s="26"/>
    </row>
    <row r="1168" hidden="1">
      <c r="A1168" s="10" t="s">
        <v>190</v>
      </c>
      <c r="B1168" s="10" t="s">
        <v>3723</v>
      </c>
      <c r="C1168" s="27" t="s">
        <v>3724</v>
      </c>
      <c r="D1168" s="10" t="s">
        <v>3725</v>
      </c>
      <c r="E1168" s="28" t="s">
        <v>194</v>
      </c>
      <c r="F1168" s="23" t="s">
        <v>195</v>
      </c>
      <c r="G1168" s="23" t="s">
        <v>203</v>
      </c>
      <c r="H1168" s="23" t="s">
        <v>3726</v>
      </c>
      <c r="I1168" s="23" t="s">
        <v>3727</v>
      </c>
      <c r="J1168" s="23" t="s">
        <v>229</v>
      </c>
      <c r="K1168" s="23" t="str">
        <f t="shared" si="1"/>
        <v>691800</v>
      </c>
      <c r="L1168" s="23"/>
      <c r="M1168" s="26"/>
      <c r="N1168" s="26"/>
      <c r="O1168" s="26"/>
      <c r="P1168" s="26"/>
      <c r="Q1168" s="26"/>
      <c r="R1168" s="26"/>
      <c r="S1168" s="26"/>
      <c r="T1168" s="26"/>
      <c r="U1168" s="26"/>
      <c r="V1168" s="26"/>
      <c r="W1168" s="26"/>
      <c r="X1168" s="26"/>
    </row>
    <row r="1169" hidden="1">
      <c r="A1169" s="10" t="s">
        <v>190</v>
      </c>
      <c r="B1169" s="10" t="s">
        <v>3728</v>
      </c>
      <c r="C1169" s="27" t="s">
        <v>3729</v>
      </c>
      <c r="D1169" s="10" t="s">
        <v>3730</v>
      </c>
      <c r="E1169" s="28" t="s">
        <v>194</v>
      </c>
      <c r="F1169" s="23" t="s">
        <v>195</v>
      </c>
      <c r="G1169" s="23" t="s">
        <v>203</v>
      </c>
      <c r="H1169" s="23" t="s">
        <v>3731</v>
      </c>
      <c r="I1169" s="23" t="s">
        <v>1264</v>
      </c>
      <c r="J1169" s="23" t="s">
        <v>198</v>
      </c>
      <c r="K1169" s="23" t="str">
        <f t="shared" si="1"/>
        <v>684222</v>
      </c>
      <c r="L1169" s="23"/>
      <c r="M1169" s="26"/>
      <c r="N1169" s="26"/>
      <c r="O1169" s="26"/>
      <c r="P1169" s="26"/>
      <c r="Q1169" s="26"/>
      <c r="R1169" s="26"/>
      <c r="S1169" s="26"/>
      <c r="T1169" s="26"/>
      <c r="U1169" s="26"/>
      <c r="V1169" s="26"/>
      <c r="W1169" s="26"/>
      <c r="X1169" s="26"/>
    </row>
    <row r="1170" hidden="1">
      <c r="A1170" s="10" t="s">
        <v>190</v>
      </c>
      <c r="B1170" s="10" t="s">
        <v>3732</v>
      </c>
      <c r="C1170" s="27" t="s">
        <v>3733</v>
      </c>
      <c r="D1170" s="10" t="s">
        <v>3734</v>
      </c>
      <c r="E1170" s="28" t="s">
        <v>194</v>
      </c>
      <c r="F1170" s="23" t="s">
        <v>195</v>
      </c>
      <c r="G1170" s="23" t="s">
        <v>203</v>
      </c>
      <c r="H1170" s="23" t="s">
        <v>3731</v>
      </c>
      <c r="I1170" s="23" t="s">
        <v>3735</v>
      </c>
      <c r="J1170" s="23" t="s">
        <v>198</v>
      </c>
      <c r="K1170" s="23" t="str">
        <f t="shared" si="1"/>
        <v>688428</v>
      </c>
      <c r="L1170" s="23"/>
      <c r="M1170" s="26"/>
      <c r="N1170" s="26"/>
      <c r="O1170" s="26"/>
      <c r="P1170" s="26"/>
      <c r="Q1170" s="26"/>
      <c r="R1170" s="26"/>
      <c r="S1170" s="26"/>
      <c r="T1170" s="26"/>
      <c r="U1170" s="26"/>
      <c r="V1170" s="26"/>
      <c r="W1170" s="26"/>
      <c r="X1170" s="26"/>
    </row>
    <row r="1171" hidden="1">
      <c r="A1171" s="10" t="s">
        <v>190</v>
      </c>
      <c r="B1171" s="10" t="s">
        <v>3736</v>
      </c>
      <c r="C1171" s="27" t="s">
        <v>3737</v>
      </c>
      <c r="D1171" s="10" t="s">
        <v>3738</v>
      </c>
      <c r="E1171" s="28" t="s">
        <v>194</v>
      </c>
      <c r="F1171" s="23" t="s">
        <v>195</v>
      </c>
      <c r="G1171" s="23" t="s">
        <v>203</v>
      </c>
      <c r="H1171" s="23" t="s">
        <v>3731</v>
      </c>
      <c r="I1171" s="23" t="s">
        <v>3735</v>
      </c>
      <c r="J1171" s="23" t="s">
        <v>198</v>
      </c>
      <c r="K1171" s="23" t="str">
        <f t="shared" si="1"/>
        <v>688435</v>
      </c>
      <c r="L1171" s="23"/>
      <c r="M1171" s="26"/>
      <c r="N1171" s="26"/>
      <c r="O1171" s="26"/>
      <c r="P1171" s="26"/>
      <c r="Q1171" s="26"/>
      <c r="R1171" s="26"/>
      <c r="S1171" s="26"/>
      <c r="T1171" s="26"/>
      <c r="U1171" s="26"/>
      <c r="V1171" s="26"/>
      <c r="W1171" s="26"/>
      <c r="X1171" s="26"/>
    </row>
    <row r="1172" hidden="1">
      <c r="A1172" s="10" t="s">
        <v>190</v>
      </c>
      <c r="B1172" s="10" t="s">
        <v>3739</v>
      </c>
      <c r="C1172" s="27" t="s">
        <v>3740</v>
      </c>
      <c r="D1172" s="10" t="s">
        <v>3741</v>
      </c>
      <c r="E1172" s="28" t="s">
        <v>194</v>
      </c>
      <c r="F1172" s="23" t="s">
        <v>195</v>
      </c>
      <c r="G1172" s="23" t="s">
        <v>203</v>
      </c>
      <c r="H1172" s="23" t="s">
        <v>3731</v>
      </c>
      <c r="I1172" s="23" t="s">
        <v>3735</v>
      </c>
      <c r="J1172" s="23" t="s">
        <v>198</v>
      </c>
      <c r="K1172" s="23" t="str">
        <f t="shared" si="1"/>
        <v>688411</v>
      </c>
      <c r="L1172" s="23"/>
      <c r="M1172" s="26"/>
      <c r="N1172" s="26"/>
      <c r="O1172" s="26"/>
      <c r="P1172" s="26"/>
      <c r="Q1172" s="26"/>
      <c r="R1172" s="26"/>
      <c r="S1172" s="26"/>
      <c r="T1172" s="26"/>
      <c r="U1172" s="26"/>
      <c r="V1172" s="26"/>
      <c r="W1172" s="26"/>
      <c r="X1172" s="26"/>
    </row>
    <row r="1173" hidden="1">
      <c r="A1173" s="10" t="s">
        <v>190</v>
      </c>
      <c r="B1173" s="10" t="s">
        <v>3742</v>
      </c>
      <c r="C1173" s="27" t="s">
        <v>3743</v>
      </c>
      <c r="D1173" s="10" t="s">
        <v>3744</v>
      </c>
      <c r="E1173" s="28" t="s">
        <v>194</v>
      </c>
      <c r="F1173" s="23" t="s">
        <v>195</v>
      </c>
      <c r="G1173" s="23" t="s">
        <v>203</v>
      </c>
      <c r="H1173" s="23" t="s">
        <v>3731</v>
      </c>
      <c r="I1173" s="23" t="s">
        <v>3735</v>
      </c>
      <c r="J1173" s="23" t="s">
        <v>198</v>
      </c>
      <c r="K1173" s="23" t="str">
        <f t="shared" si="1"/>
        <v>688404</v>
      </c>
      <c r="L1173" s="23"/>
      <c r="M1173" s="26"/>
      <c r="N1173" s="26"/>
      <c r="O1173" s="26"/>
      <c r="P1173" s="26"/>
      <c r="Q1173" s="26"/>
      <c r="R1173" s="26"/>
      <c r="S1173" s="26"/>
      <c r="T1173" s="26"/>
      <c r="U1173" s="26"/>
      <c r="V1173" s="26"/>
      <c r="W1173" s="26"/>
      <c r="X1173" s="26"/>
    </row>
    <row r="1174" hidden="1">
      <c r="A1174" s="10" t="s">
        <v>499</v>
      </c>
      <c r="B1174" s="10" t="s">
        <v>3745</v>
      </c>
      <c r="C1174" s="27" t="s">
        <v>3746</v>
      </c>
      <c r="D1174" s="10" t="s">
        <v>3747</v>
      </c>
      <c r="E1174" s="28" t="s">
        <v>194</v>
      </c>
      <c r="F1174" s="23" t="s">
        <v>195</v>
      </c>
      <c r="G1174" s="23" t="s">
        <v>203</v>
      </c>
      <c r="H1174" s="23" t="s">
        <v>3748</v>
      </c>
      <c r="I1174" s="32"/>
      <c r="J1174" s="23" t="s">
        <v>6</v>
      </c>
      <c r="K1174" s="23" t="str">
        <f t="shared" si="1"/>
        <v>650531</v>
      </c>
      <c r="L1174" s="23"/>
      <c r="M1174" s="26"/>
      <c r="N1174" s="26"/>
      <c r="O1174" s="26"/>
      <c r="P1174" s="26"/>
      <c r="Q1174" s="26"/>
      <c r="R1174" s="26"/>
      <c r="S1174" s="26"/>
      <c r="T1174" s="26"/>
      <c r="U1174" s="26"/>
      <c r="V1174" s="26"/>
      <c r="W1174" s="26"/>
      <c r="X1174" s="26"/>
    </row>
    <row r="1175" hidden="1">
      <c r="A1175" s="10" t="s">
        <v>427</v>
      </c>
      <c r="B1175" s="10" t="s">
        <v>3749</v>
      </c>
      <c r="C1175" s="27" t="s">
        <v>3750</v>
      </c>
      <c r="D1175" s="10" t="s">
        <v>3751</v>
      </c>
      <c r="E1175" s="28" t="s">
        <v>534</v>
      </c>
      <c r="F1175" s="23" t="s">
        <v>757</v>
      </c>
      <c r="G1175" s="23" t="s">
        <v>203</v>
      </c>
      <c r="H1175" s="23" t="s">
        <v>3748</v>
      </c>
      <c r="I1175" s="32"/>
      <c r="J1175" s="23" t="s">
        <v>6</v>
      </c>
      <c r="K1175" s="23" t="str">
        <f t="shared" si="1"/>
        <v>657967</v>
      </c>
      <c r="L1175" s="23"/>
      <c r="M1175" s="26"/>
      <c r="N1175" s="26"/>
      <c r="O1175" s="26"/>
      <c r="P1175" s="26"/>
      <c r="Q1175" s="26"/>
      <c r="R1175" s="26"/>
      <c r="S1175" s="26"/>
      <c r="T1175" s="26"/>
      <c r="U1175" s="26"/>
      <c r="V1175" s="26"/>
      <c r="W1175" s="26"/>
      <c r="X1175" s="26"/>
    </row>
    <row r="1176" hidden="1">
      <c r="A1176" s="10" t="s">
        <v>427</v>
      </c>
      <c r="B1176" s="10" t="s">
        <v>3752</v>
      </c>
      <c r="C1176" s="27" t="s">
        <v>3753</v>
      </c>
      <c r="D1176" s="10" t="s">
        <v>3754</v>
      </c>
      <c r="E1176" s="28" t="s">
        <v>431</v>
      </c>
      <c r="F1176" s="23" t="s">
        <v>950</v>
      </c>
      <c r="G1176" s="23" t="s">
        <v>203</v>
      </c>
      <c r="H1176" s="23" t="s">
        <v>3748</v>
      </c>
      <c r="I1176" s="32"/>
      <c r="J1176" s="23" t="s">
        <v>6</v>
      </c>
      <c r="K1176" s="23" t="str">
        <f t="shared" si="1"/>
        <v>632179</v>
      </c>
      <c r="L1176" s="23"/>
      <c r="M1176" s="26"/>
      <c r="N1176" s="26"/>
      <c r="O1176" s="26"/>
      <c r="P1176" s="26"/>
      <c r="Q1176" s="26"/>
      <c r="R1176" s="26"/>
      <c r="S1176" s="26"/>
      <c r="T1176" s="26"/>
      <c r="U1176" s="26"/>
      <c r="V1176" s="26"/>
      <c r="W1176" s="26"/>
      <c r="X1176" s="26"/>
    </row>
    <row r="1177" hidden="1">
      <c r="A1177" s="10" t="s">
        <v>427</v>
      </c>
      <c r="B1177" s="10" t="s">
        <v>3755</v>
      </c>
      <c r="C1177" s="27" t="s">
        <v>3756</v>
      </c>
      <c r="D1177" s="10" t="s">
        <v>3757</v>
      </c>
      <c r="E1177" s="28" t="s">
        <v>431</v>
      </c>
      <c r="F1177" s="23" t="s">
        <v>933</v>
      </c>
      <c r="G1177" s="23" t="s">
        <v>203</v>
      </c>
      <c r="H1177" s="23" t="s">
        <v>3748</v>
      </c>
      <c r="I1177" s="32"/>
      <c r="J1177" s="23" t="s">
        <v>6</v>
      </c>
      <c r="K1177" s="23" t="str">
        <f t="shared" si="1"/>
        <v>633343</v>
      </c>
      <c r="L1177" s="23"/>
      <c r="M1177" s="26"/>
      <c r="N1177" s="26"/>
      <c r="O1177" s="26"/>
      <c r="P1177" s="26"/>
      <c r="Q1177" s="26"/>
      <c r="R1177" s="26"/>
      <c r="S1177" s="26"/>
      <c r="T1177" s="26"/>
      <c r="U1177" s="26"/>
      <c r="V1177" s="26"/>
      <c r="W1177" s="26"/>
      <c r="X1177" s="26"/>
    </row>
    <row r="1178" hidden="1">
      <c r="A1178" s="10" t="s">
        <v>427</v>
      </c>
      <c r="B1178" s="10" t="s">
        <v>3758</v>
      </c>
      <c r="C1178" s="27" t="s">
        <v>3759</v>
      </c>
      <c r="D1178" s="10" t="s">
        <v>3760</v>
      </c>
      <c r="E1178" s="28" t="s">
        <v>1047</v>
      </c>
      <c r="F1178" s="23" t="s">
        <v>1048</v>
      </c>
      <c r="G1178" s="23" t="s">
        <v>203</v>
      </c>
      <c r="H1178" s="23" t="s">
        <v>1049</v>
      </c>
      <c r="I1178" s="32"/>
      <c r="J1178" s="23" t="s">
        <v>6</v>
      </c>
      <c r="K1178" s="23" t="str">
        <f t="shared" si="1"/>
        <v>671277</v>
      </c>
      <c r="L1178" s="23"/>
      <c r="M1178" s="26"/>
      <c r="N1178" s="26"/>
      <c r="O1178" s="26"/>
      <c r="P1178" s="26"/>
      <c r="Q1178" s="26"/>
      <c r="R1178" s="26"/>
      <c r="S1178" s="26"/>
      <c r="T1178" s="26"/>
      <c r="U1178" s="26"/>
      <c r="V1178" s="26"/>
      <c r="W1178" s="26"/>
      <c r="X1178" s="26"/>
    </row>
    <row r="1179" hidden="1">
      <c r="A1179" s="10" t="s">
        <v>190</v>
      </c>
      <c r="B1179" s="10" t="s">
        <v>3761</v>
      </c>
      <c r="C1179" s="27" t="s">
        <v>3762</v>
      </c>
      <c r="D1179" s="10" t="s">
        <v>3763</v>
      </c>
      <c r="E1179" s="28" t="s">
        <v>194</v>
      </c>
      <c r="F1179" s="23" t="s">
        <v>195</v>
      </c>
      <c r="G1179" s="23" t="s">
        <v>196</v>
      </c>
      <c r="H1179" s="23" t="s">
        <v>197</v>
      </c>
      <c r="I1179" s="23" t="s">
        <v>197</v>
      </c>
      <c r="J1179" s="23" t="s">
        <v>229</v>
      </c>
      <c r="K1179" s="23" t="str">
        <f t="shared" si="1"/>
        <v>668024</v>
      </c>
      <c r="L1179" s="23"/>
      <c r="M1179" s="26"/>
      <c r="N1179" s="26"/>
      <c r="O1179" s="26"/>
      <c r="P1179" s="26"/>
      <c r="Q1179" s="26"/>
      <c r="R1179" s="26"/>
      <c r="S1179" s="26"/>
      <c r="T1179" s="26"/>
      <c r="U1179" s="26"/>
      <c r="V1179" s="26"/>
      <c r="W1179" s="26"/>
      <c r="X1179" s="26"/>
    </row>
    <row r="1180" hidden="1">
      <c r="A1180" s="10" t="s">
        <v>190</v>
      </c>
      <c r="B1180" s="10" t="s">
        <v>3764</v>
      </c>
      <c r="C1180" s="27" t="s">
        <v>3765</v>
      </c>
      <c r="D1180" s="10" t="s">
        <v>3766</v>
      </c>
      <c r="E1180" s="28" t="s">
        <v>194</v>
      </c>
      <c r="F1180" s="23" t="s">
        <v>195</v>
      </c>
      <c r="G1180" s="23" t="s">
        <v>196</v>
      </c>
      <c r="H1180" s="23" t="s">
        <v>197</v>
      </c>
      <c r="I1180" s="23" t="s">
        <v>3767</v>
      </c>
      <c r="J1180" s="23" t="s">
        <v>238</v>
      </c>
      <c r="K1180" s="23" t="str">
        <f t="shared" si="1"/>
        <v>687445</v>
      </c>
      <c r="L1180" s="23"/>
      <c r="M1180" s="26"/>
      <c r="N1180" s="26"/>
      <c r="O1180" s="26"/>
      <c r="P1180" s="26"/>
      <c r="Q1180" s="26"/>
      <c r="R1180" s="26"/>
      <c r="S1180" s="26"/>
      <c r="T1180" s="26"/>
      <c r="U1180" s="26"/>
      <c r="V1180" s="26"/>
      <c r="W1180" s="26"/>
      <c r="X1180" s="26"/>
    </row>
    <row r="1181" hidden="1">
      <c r="A1181" s="10" t="s">
        <v>190</v>
      </c>
      <c r="B1181" s="10" t="s">
        <v>3768</v>
      </c>
      <c r="C1181" s="27" t="s">
        <v>3769</v>
      </c>
      <c r="D1181" s="10" t="s">
        <v>3770</v>
      </c>
      <c r="E1181" s="28" t="s">
        <v>194</v>
      </c>
      <c r="F1181" s="23" t="s">
        <v>195</v>
      </c>
      <c r="G1181" s="23" t="s">
        <v>196</v>
      </c>
      <c r="H1181" s="23" t="s">
        <v>197</v>
      </c>
      <c r="I1181" s="23" t="s">
        <v>3767</v>
      </c>
      <c r="J1181" s="23" t="s">
        <v>238</v>
      </c>
      <c r="K1181" s="23" t="str">
        <f t="shared" si="1"/>
        <v>687476</v>
      </c>
      <c r="L1181" s="23"/>
      <c r="M1181" s="26"/>
      <c r="N1181" s="26"/>
      <c r="O1181" s="26"/>
      <c r="P1181" s="26"/>
      <c r="Q1181" s="26"/>
      <c r="R1181" s="26"/>
      <c r="S1181" s="26"/>
      <c r="T1181" s="26"/>
      <c r="U1181" s="26"/>
      <c r="V1181" s="26"/>
      <c r="W1181" s="26"/>
      <c r="X1181" s="26"/>
    </row>
    <row r="1182" hidden="1">
      <c r="A1182" s="10" t="s">
        <v>190</v>
      </c>
      <c r="B1182" s="10" t="s">
        <v>3771</v>
      </c>
      <c r="C1182" s="27" t="s">
        <v>3772</v>
      </c>
      <c r="D1182" s="10" t="s">
        <v>3773</v>
      </c>
      <c r="E1182" s="28" t="s">
        <v>194</v>
      </c>
      <c r="F1182" s="23" t="s">
        <v>195</v>
      </c>
      <c r="G1182" s="23" t="s">
        <v>196</v>
      </c>
      <c r="H1182" s="23" t="s">
        <v>197</v>
      </c>
      <c r="I1182" s="23" t="s">
        <v>197</v>
      </c>
      <c r="J1182" s="23" t="s">
        <v>198</v>
      </c>
      <c r="K1182" s="23" t="str">
        <f t="shared" si="1"/>
        <v>687506</v>
      </c>
      <c r="L1182" s="23"/>
      <c r="M1182" s="26"/>
      <c r="N1182" s="26"/>
      <c r="O1182" s="26"/>
      <c r="P1182" s="26"/>
      <c r="Q1182" s="26"/>
      <c r="R1182" s="26"/>
      <c r="S1182" s="26"/>
      <c r="T1182" s="26"/>
      <c r="U1182" s="26"/>
      <c r="V1182" s="26"/>
      <c r="W1182" s="26"/>
      <c r="X1182" s="26"/>
    </row>
    <row r="1183" hidden="1">
      <c r="A1183" s="10" t="s">
        <v>190</v>
      </c>
      <c r="B1183" s="10" t="s">
        <v>3774</v>
      </c>
      <c r="C1183" s="27" t="s">
        <v>3775</v>
      </c>
      <c r="D1183" s="10" t="s">
        <v>3776</v>
      </c>
      <c r="E1183" s="28" t="s">
        <v>194</v>
      </c>
      <c r="F1183" s="23" t="s">
        <v>195</v>
      </c>
      <c r="G1183" s="23" t="s">
        <v>196</v>
      </c>
      <c r="H1183" s="23" t="s">
        <v>197</v>
      </c>
      <c r="I1183" s="23" t="s">
        <v>197</v>
      </c>
      <c r="J1183" s="23" t="s">
        <v>238</v>
      </c>
      <c r="K1183" s="23" t="str">
        <f t="shared" si="1"/>
        <v>687483</v>
      </c>
      <c r="L1183" s="23"/>
      <c r="M1183" s="26"/>
      <c r="N1183" s="26"/>
      <c r="O1183" s="26"/>
      <c r="P1183" s="26"/>
      <c r="Q1183" s="26"/>
      <c r="R1183" s="26"/>
      <c r="S1183" s="26"/>
      <c r="T1183" s="26"/>
      <c r="U1183" s="26"/>
      <c r="V1183" s="26"/>
      <c r="W1183" s="26"/>
      <c r="X1183" s="26"/>
    </row>
    <row r="1184" hidden="1">
      <c r="A1184" s="10" t="s">
        <v>190</v>
      </c>
      <c r="B1184" s="10" t="s">
        <v>3777</v>
      </c>
      <c r="C1184" s="27" t="s">
        <v>3778</v>
      </c>
      <c r="D1184" s="10" t="s">
        <v>3779</v>
      </c>
      <c r="E1184" s="28" t="s">
        <v>194</v>
      </c>
      <c r="F1184" s="23" t="s">
        <v>195</v>
      </c>
      <c r="G1184" s="23" t="s">
        <v>196</v>
      </c>
      <c r="H1184" s="23" t="s">
        <v>197</v>
      </c>
      <c r="I1184" s="23" t="s">
        <v>3767</v>
      </c>
      <c r="J1184" s="23" t="s">
        <v>238</v>
      </c>
      <c r="K1184" s="23" t="str">
        <f t="shared" si="1"/>
        <v>677460</v>
      </c>
      <c r="L1184" s="23"/>
      <c r="M1184" s="26"/>
      <c r="N1184" s="26"/>
      <c r="O1184" s="26"/>
      <c r="P1184" s="26"/>
      <c r="Q1184" s="26"/>
      <c r="R1184" s="26"/>
      <c r="S1184" s="26"/>
      <c r="T1184" s="26"/>
      <c r="U1184" s="26"/>
      <c r="V1184" s="26"/>
      <c r="W1184" s="26"/>
      <c r="X1184" s="26"/>
    </row>
    <row r="1185" hidden="1">
      <c r="A1185" s="10" t="s">
        <v>190</v>
      </c>
      <c r="B1185" s="10" t="s">
        <v>3780</v>
      </c>
      <c r="C1185" s="27" t="s">
        <v>3781</v>
      </c>
      <c r="D1185" s="10" t="s">
        <v>3782</v>
      </c>
      <c r="E1185" s="28" t="s">
        <v>194</v>
      </c>
      <c r="F1185" s="23" t="s">
        <v>195</v>
      </c>
      <c r="G1185" s="23" t="s">
        <v>196</v>
      </c>
      <c r="H1185" s="23" t="s">
        <v>197</v>
      </c>
      <c r="I1185" s="23" t="s">
        <v>197</v>
      </c>
      <c r="J1185" s="23" t="s">
        <v>238</v>
      </c>
      <c r="K1185" s="23" t="str">
        <f t="shared" si="1"/>
        <v>687513</v>
      </c>
      <c r="L1185" s="23"/>
      <c r="M1185" s="26"/>
      <c r="N1185" s="26"/>
      <c r="O1185" s="26"/>
      <c r="P1185" s="26"/>
      <c r="Q1185" s="26"/>
      <c r="R1185" s="26"/>
      <c r="S1185" s="26"/>
      <c r="T1185" s="26"/>
      <c r="U1185" s="26"/>
      <c r="V1185" s="26"/>
      <c r="W1185" s="26"/>
      <c r="X1185" s="26"/>
    </row>
    <row r="1186" hidden="1">
      <c r="A1186" s="10" t="s">
        <v>190</v>
      </c>
      <c r="B1186" s="10" t="s">
        <v>3783</v>
      </c>
      <c r="C1186" s="27" t="s">
        <v>3784</v>
      </c>
      <c r="D1186" s="10" t="s">
        <v>3785</v>
      </c>
      <c r="E1186" s="28" t="s">
        <v>194</v>
      </c>
      <c r="F1186" s="23" t="s">
        <v>195</v>
      </c>
      <c r="G1186" s="23" t="s">
        <v>196</v>
      </c>
      <c r="H1186" s="23" t="s">
        <v>197</v>
      </c>
      <c r="I1186" s="23" t="s">
        <v>197</v>
      </c>
      <c r="J1186" s="23" t="s">
        <v>238</v>
      </c>
      <c r="K1186" s="23" t="str">
        <f t="shared" si="1"/>
        <v>681009</v>
      </c>
      <c r="L1186" s="23"/>
      <c r="M1186" s="26"/>
      <c r="N1186" s="26"/>
      <c r="O1186" s="26"/>
      <c r="P1186" s="26"/>
      <c r="Q1186" s="26"/>
      <c r="R1186" s="26"/>
      <c r="S1186" s="26"/>
      <c r="T1186" s="26"/>
      <c r="U1186" s="26"/>
      <c r="V1186" s="26"/>
      <c r="W1186" s="26"/>
      <c r="X1186" s="26"/>
    </row>
    <row r="1187" hidden="1">
      <c r="A1187" s="10" t="s">
        <v>499</v>
      </c>
      <c r="B1187" s="10" t="s">
        <v>3786</v>
      </c>
      <c r="C1187" s="27" t="s">
        <v>3787</v>
      </c>
      <c r="D1187" s="10" t="s">
        <v>3788</v>
      </c>
      <c r="E1187" s="28" t="s">
        <v>194</v>
      </c>
      <c r="F1187" s="23" t="s">
        <v>1037</v>
      </c>
      <c r="G1187" s="23" t="s">
        <v>196</v>
      </c>
      <c r="H1187" s="23" t="s">
        <v>3789</v>
      </c>
      <c r="I1187" s="32"/>
      <c r="J1187" s="23" t="s">
        <v>6</v>
      </c>
      <c r="K1187" s="23" t="str">
        <f t="shared" si="1"/>
        <v>621340</v>
      </c>
      <c r="L1187" s="23"/>
      <c r="M1187" s="26"/>
      <c r="N1187" s="26"/>
      <c r="O1187" s="26"/>
      <c r="P1187" s="26"/>
      <c r="Q1187" s="26"/>
      <c r="R1187" s="26"/>
      <c r="S1187" s="26"/>
      <c r="T1187" s="26"/>
      <c r="U1187" s="26"/>
      <c r="V1187" s="26"/>
      <c r="W1187" s="26"/>
      <c r="X1187" s="26"/>
    </row>
    <row r="1188" hidden="1">
      <c r="A1188" s="10" t="s">
        <v>499</v>
      </c>
      <c r="B1188" s="10" t="s">
        <v>3790</v>
      </c>
      <c r="C1188" s="27" t="s">
        <v>3791</v>
      </c>
      <c r="D1188" s="10" t="s">
        <v>3792</v>
      </c>
      <c r="E1188" s="28" t="s">
        <v>194</v>
      </c>
      <c r="F1188" s="23" t="s">
        <v>1037</v>
      </c>
      <c r="G1188" s="23" t="s">
        <v>196</v>
      </c>
      <c r="H1188" s="23" t="s">
        <v>3789</v>
      </c>
      <c r="I1188" s="32"/>
      <c r="J1188" s="23" t="s">
        <v>6</v>
      </c>
      <c r="K1188" s="23" t="str">
        <f t="shared" si="1"/>
        <v>635903</v>
      </c>
      <c r="L1188" s="23"/>
      <c r="M1188" s="26"/>
      <c r="N1188" s="26"/>
      <c r="O1188" s="26"/>
      <c r="P1188" s="26"/>
      <c r="Q1188" s="26"/>
      <c r="R1188" s="26"/>
      <c r="S1188" s="26"/>
      <c r="T1188" s="26"/>
      <c r="U1188" s="26"/>
      <c r="V1188" s="26"/>
      <c r="W1188" s="26"/>
      <c r="X1188" s="26"/>
    </row>
    <row r="1189" hidden="1">
      <c r="A1189" s="10" t="s">
        <v>427</v>
      </c>
      <c r="B1189" s="10" t="s">
        <v>3793</v>
      </c>
      <c r="C1189" s="27" t="s">
        <v>3794</v>
      </c>
      <c r="D1189" s="10" t="s">
        <v>3795</v>
      </c>
      <c r="E1189" s="28" t="s">
        <v>534</v>
      </c>
      <c r="F1189" s="23" t="s">
        <v>535</v>
      </c>
      <c r="G1189" s="23" t="s">
        <v>521</v>
      </c>
      <c r="H1189" s="23" t="s">
        <v>3789</v>
      </c>
      <c r="I1189" s="32"/>
      <c r="J1189" s="23" t="s">
        <v>6</v>
      </c>
      <c r="K1189" s="23" t="str">
        <f t="shared" si="1"/>
        <v>674933</v>
      </c>
      <c r="L1189" s="23"/>
      <c r="M1189" s="26"/>
      <c r="N1189" s="26"/>
      <c r="O1189" s="26"/>
      <c r="P1189" s="26"/>
      <c r="Q1189" s="26"/>
      <c r="R1189" s="26"/>
      <c r="S1189" s="26"/>
      <c r="T1189" s="26"/>
      <c r="U1189" s="26"/>
      <c r="V1189" s="26"/>
      <c r="W1189" s="26"/>
      <c r="X1189" s="26"/>
    </row>
    <row r="1190" hidden="1">
      <c r="A1190" s="10" t="s">
        <v>427</v>
      </c>
      <c r="B1190" s="10" t="s">
        <v>3796</v>
      </c>
      <c r="C1190" s="27" t="s">
        <v>3797</v>
      </c>
      <c r="D1190" s="10" t="s">
        <v>3798</v>
      </c>
      <c r="E1190" s="28" t="s">
        <v>604</v>
      </c>
      <c r="F1190" s="23" t="s">
        <v>605</v>
      </c>
      <c r="G1190" s="23" t="s">
        <v>521</v>
      </c>
      <c r="H1190" s="23" t="s">
        <v>3789</v>
      </c>
      <c r="I1190" s="32"/>
      <c r="J1190" s="23" t="s">
        <v>6</v>
      </c>
      <c r="K1190" s="23" t="str">
        <f t="shared" si="1"/>
        <v>682693</v>
      </c>
      <c r="L1190" s="23"/>
      <c r="M1190" s="26"/>
      <c r="N1190" s="26"/>
      <c r="O1190" s="26"/>
      <c r="P1190" s="26"/>
      <c r="Q1190" s="26"/>
      <c r="R1190" s="26"/>
      <c r="S1190" s="26"/>
      <c r="T1190" s="26"/>
      <c r="U1190" s="26"/>
      <c r="V1190" s="26"/>
      <c r="W1190" s="26"/>
      <c r="X1190" s="26"/>
    </row>
    <row r="1191" hidden="1">
      <c r="A1191" s="10" t="s">
        <v>427</v>
      </c>
      <c r="B1191" s="10" t="s">
        <v>3799</v>
      </c>
      <c r="C1191" s="27" t="s">
        <v>3800</v>
      </c>
      <c r="D1191" s="10" t="s">
        <v>3801</v>
      </c>
      <c r="E1191" s="28" t="s">
        <v>418</v>
      </c>
      <c r="F1191" s="23" t="s">
        <v>977</v>
      </c>
      <c r="G1191" s="23" t="s">
        <v>521</v>
      </c>
      <c r="H1191" s="23" t="s">
        <v>3789</v>
      </c>
      <c r="I1191" s="32"/>
      <c r="J1191" s="23" t="s">
        <v>6</v>
      </c>
      <c r="K1191" s="23" t="str">
        <f t="shared" si="1"/>
        <v>674803</v>
      </c>
      <c r="L1191" s="23"/>
      <c r="M1191" s="26"/>
      <c r="N1191" s="26"/>
      <c r="O1191" s="26"/>
      <c r="P1191" s="26"/>
      <c r="Q1191" s="26"/>
      <c r="R1191" s="26"/>
      <c r="S1191" s="26"/>
      <c r="T1191" s="26"/>
      <c r="U1191" s="26"/>
      <c r="V1191" s="26"/>
      <c r="W1191" s="26"/>
      <c r="X1191" s="26"/>
    </row>
    <row r="1192" hidden="1">
      <c r="A1192" s="10" t="s">
        <v>427</v>
      </c>
      <c r="B1192" s="10" t="s">
        <v>3802</v>
      </c>
      <c r="C1192" s="27" t="s">
        <v>3803</v>
      </c>
      <c r="D1192" s="10" t="s">
        <v>3804</v>
      </c>
      <c r="E1192" s="28" t="s">
        <v>534</v>
      </c>
      <c r="F1192" s="23" t="s">
        <v>757</v>
      </c>
      <c r="G1192" s="23" t="s">
        <v>521</v>
      </c>
      <c r="H1192" s="23" t="s">
        <v>3789</v>
      </c>
      <c r="I1192" s="32"/>
      <c r="J1192" s="23" t="s">
        <v>6</v>
      </c>
      <c r="K1192" s="23" t="str">
        <f t="shared" si="1"/>
        <v>666907</v>
      </c>
      <c r="L1192" s="23"/>
      <c r="M1192" s="26"/>
      <c r="N1192" s="26"/>
      <c r="O1192" s="26"/>
      <c r="P1192" s="26"/>
      <c r="Q1192" s="26"/>
      <c r="R1192" s="26"/>
      <c r="S1192" s="26"/>
      <c r="T1192" s="26"/>
      <c r="U1192" s="26"/>
      <c r="V1192" s="26"/>
      <c r="W1192" s="26"/>
      <c r="X1192" s="26"/>
    </row>
    <row r="1193" hidden="1">
      <c r="A1193" s="10" t="s">
        <v>427</v>
      </c>
      <c r="B1193" s="10" t="s">
        <v>3805</v>
      </c>
      <c r="C1193" s="27" t="s">
        <v>3806</v>
      </c>
      <c r="D1193" s="10" t="s">
        <v>3807</v>
      </c>
      <c r="E1193" s="28" t="s">
        <v>431</v>
      </c>
      <c r="F1193" s="23" t="s">
        <v>950</v>
      </c>
      <c r="G1193" s="23" t="s">
        <v>521</v>
      </c>
      <c r="H1193" s="23" t="s">
        <v>3789</v>
      </c>
      <c r="I1193" s="32"/>
      <c r="J1193" s="23" t="s">
        <v>6</v>
      </c>
      <c r="K1193" s="23" t="str">
        <f t="shared" si="1"/>
        <v>666921</v>
      </c>
      <c r="L1193" s="23"/>
      <c r="M1193" s="26"/>
      <c r="N1193" s="26"/>
      <c r="O1193" s="26"/>
      <c r="P1193" s="26"/>
      <c r="Q1193" s="26"/>
      <c r="R1193" s="26"/>
      <c r="S1193" s="26"/>
      <c r="T1193" s="26"/>
      <c r="U1193" s="26"/>
      <c r="V1193" s="26"/>
      <c r="W1193" s="26"/>
      <c r="X1193" s="26"/>
    </row>
    <row r="1194" hidden="1">
      <c r="A1194" s="10" t="s">
        <v>427</v>
      </c>
      <c r="B1194" s="10" t="s">
        <v>3808</v>
      </c>
      <c r="C1194" s="27" t="s">
        <v>3809</v>
      </c>
      <c r="D1194" s="10" t="s">
        <v>3810</v>
      </c>
      <c r="E1194" s="28" t="s">
        <v>534</v>
      </c>
      <c r="F1194" s="23" t="s">
        <v>1238</v>
      </c>
      <c r="G1194" s="23" t="s">
        <v>521</v>
      </c>
      <c r="H1194" s="23" t="s">
        <v>3789</v>
      </c>
      <c r="I1194" s="32"/>
      <c r="J1194" s="23" t="s">
        <v>6</v>
      </c>
      <c r="K1194" s="23" t="str">
        <f t="shared" si="1"/>
        <v>674216</v>
      </c>
      <c r="L1194" s="23"/>
      <c r="M1194" s="26"/>
      <c r="N1194" s="26"/>
      <c r="O1194" s="26"/>
      <c r="P1194" s="26"/>
      <c r="Q1194" s="26"/>
      <c r="R1194" s="26"/>
      <c r="S1194" s="26"/>
      <c r="T1194" s="26"/>
      <c r="U1194" s="26"/>
      <c r="V1194" s="26"/>
      <c r="W1194" s="26"/>
      <c r="X1194" s="26"/>
    </row>
    <row r="1195" hidden="1">
      <c r="A1195" s="10" t="s">
        <v>427</v>
      </c>
      <c r="B1195" s="10" t="s">
        <v>3811</v>
      </c>
      <c r="C1195" s="27" t="s">
        <v>3812</v>
      </c>
      <c r="D1195" s="10" t="s">
        <v>3813</v>
      </c>
      <c r="E1195" s="28" t="s">
        <v>431</v>
      </c>
      <c r="F1195" s="23" t="s">
        <v>946</v>
      </c>
      <c r="G1195" s="23" t="s">
        <v>521</v>
      </c>
      <c r="H1195" s="23" t="s">
        <v>3789</v>
      </c>
      <c r="I1195" s="32"/>
      <c r="J1195" s="23" t="s">
        <v>6</v>
      </c>
      <c r="K1195" s="23" t="str">
        <f t="shared" si="1"/>
        <v>631837</v>
      </c>
      <c r="L1195" s="23"/>
      <c r="M1195" s="26"/>
      <c r="N1195" s="26"/>
      <c r="O1195" s="26"/>
      <c r="P1195" s="26"/>
      <c r="Q1195" s="26"/>
      <c r="R1195" s="26"/>
      <c r="S1195" s="26"/>
      <c r="T1195" s="26"/>
      <c r="U1195" s="26"/>
      <c r="V1195" s="26"/>
      <c r="W1195" s="26"/>
      <c r="X1195" s="26"/>
    </row>
    <row r="1196" hidden="1">
      <c r="A1196" s="10" t="s">
        <v>427</v>
      </c>
      <c r="B1196" s="10" t="s">
        <v>3814</v>
      </c>
      <c r="C1196" s="27" t="s">
        <v>3815</v>
      </c>
      <c r="D1196" s="10" t="s">
        <v>3816</v>
      </c>
      <c r="E1196" s="28" t="s">
        <v>431</v>
      </c>
      <c r="F1196" s="23" t="s">
        <v>933</v>
      </c>
      <c r="G1196" s="23" t="s">
        <v>521</v>
      </c>
      <c r="H1196" s="23" t="s">
        <v>3789</v>
      </c>
      <c r="I1196" s="32"/>
      <c r="J1196" s="23" t="s">
        <v>6</v>
      </c>
      <c r="K1196" s="23" t="str">
        <f t="shared" si="1"/>
        <v>637068</v>
      </c>
      <c r="L1196" s="23"/>
      <c r="M1196" s="26"/>
      <c r="N1196" s="26"/>
      <c r="O1196" s="26"/>
      <c r="P1196" s="26"/>
      <c r="Q1196" s="26"/>
      <c r="R1196" s="26"/>
      <c r="S1196" s="26"/>
      <c r="T1196" s="26"/>
      <c r="U1196" s="26"/>
      <c r="V1196" s="26"/>
      <c r="W1196" s="26"/>
      <c r="X1196" s="26"/>
    </row>
    <row r="1197" hidden="1">
      <c r="A1197" s="10" t="s">
        <v>427</v>
      </c>
      <c r="B1197" s="10" t="s">
        <v>3817</v>
      </c>
      <c r="C1197" s="27" t="s">
        <v>3818</v>
      </c>
      <c r="D1197" s="10" t="s">
        <v>3819</v>
      </c>
      <c r="E1197" s="28" t="s">
        <v>534</v>
      </c>
      <c r="F1197" s="23" t="s">
        <v>757</v>
      </c>
      <c r="G1197" s="23" t="s">
        <v>521</v>
      </c>
      <c r="H1197" s="23" t="s">
        <v>3789</v>
      </c>
      <c r="I1197" s="32"/>
      <c r="J1197" s="23" t="s">
        <v>6</v>
      </c>
      <c r="K1197" s="23" t="str">
        <f t="shared" si="1"/>
        <v>671093</v>
      </c>
      <c r="L1197" s="23"/>
      <c r="M1197" s="26"/>
      <c r="N1197" s="26"/>
      <c r="O1197" s="26"/>
      <c r="P1197" s="26"/>
      <c r="Q1197" s="26"/>
      <c r="R1197" s="26"/>
      <c r="S1197" s="26"/>
      <c r="T1197" s="26"/>
      <c r="U1197" s="26"/>
      <c r="V1197" s="26"/>
      <c r="W1197" s="26"/>
      <c r="X1197" s="26"/>
    </row>
    <row r="1198" hidden="1">
      <c r="A1198" s="10" t="s">
        <v>427</v>
      </c>
      <c r="B1198" s="10" t="s">
        <v>3820</v>
      </c>
      <c r="C1198" s="27" t="s">
        <v>3821</v>
      </c>
      <c r="D1198" s="10" t="s">
        <v>3822</v>
      </c>
      <c r="E1198" s="28" t="s">
        <v>418</v>
      </c>
      <c r="F1198" s="23" t="s">
        <v>419</v>
      </c>
      <c r="G1198" s="23" t="s">
        <v>521</v>
      </c>
      <c r="H1198" s="23" t="s">
        <v>3789</v>
      </c>
      <c r="I1198" s="32"/>
      <c r="J1198" s="23" t="s">
        <v>6</v>
      </c>
      <c r="K1198" s="23" t="str">
        <f t="shared" si="1"/>
        <v>667324</v>
      </c>
      <c r="L1198" s="23"/>
      <c r="M1198" s="26"/>
      <c r="N1198" s="26"/>
      <c r="O1198" s="26"/>
      <c r="P1198" s="26"/>
      <c r="Q1198" s="26"/>
      <c r="R1198" s="26"/>
      <c r="S1198" s="26"/>
      <c r="T1198" s="26"/>
      <c r="U1198" s="26"/>
      <c r="V1198" s="26"/>
      <c r="W1198" s="26"/>
      <c r="X1198" s="26"/>
    </row>
    <row r="1199" hidden="1">
      <c r="A1199" s="10" t="s">
        <v>427</v>
      </c>
      <c r="B1199" s="10" t="s">
        <v>3823</v>
      </c>
      <c r="C1199" s="27" t="s">
        <v>3824</v>
      </c>
      <c r="D1199" s="10" t="s">
        <v>3825</v>
      </c>
      <c r="E1199" s="28" t="s">
        <v>431</v>
      </c>
      <c r="F1199" s="23" t="s">
        <v>1231</v>
      </c>
      <c r="G1199" s="23" t="s">
        <v>521</v>
      </c>
      <c r="H1199" s="23" t="s">
        <v>3789</v>
      </c>
      <c r="I1199" s="32"/>
      <c r="J1199" s="23" t="s">
        <v>6</v>
      </c>
      <c r="K1199" s="23" t="str">
        <f t="shared" si="1"/>
        <v>674834</v>
      </c>
      <c r="L1199" s="23"/>
      <c r="M1199" s="26"/>
      <c r="N1199" s="26"/>
      <c r="O1199" s="26"/>
      <c r="P1199" s="26"/>
      <c r="Q1199" s="26"/>
      <c r="R1199" s="26"/>
      <c r="S1199" s="26"/>
      <c r="T1199" s="26"/>
      <c r="U1199" s="26"/>
      <c r="V1199" s="26"/>
      <c r="W1199" s="26"/>
      <c r="X1199" s="26"/>
    </row>
    <row r="1200" hidden="1">
      <c r="A1200" s="10" t="s">
        <v>427</v>
      </c>
      <c r="B1200" s="10" t="s">
        <v>3826</v>
      </c>
      <c r="C1200" s="27" t="s">
        <v>3827</v>
      </c>
      <c r="D1200" s="10" t="s">
        <v>3828</v>
      </c>
      <c r="E1200" s="28" t="s">
        <v>431</v>
      </c>
      <c r="F1200" s="23" t="s">
        <v>933</v>
      </c>
      <c r="G1200" s="23" t="s">
        <v>521</v>
      </c>
      <c r="H1200" s="23" t="s">
        <v>3789</v>
      </c>
      <c r="I1200" s="32"/>
      <c r="J1200" s="23" t="s">
        <v>6</v>
      </c>
      <c r="K1200" s="23" t="str">
        <f t="shared" si="1"/>
        <v>674919</v>
      </c>
      <c r="L1200" s="23"/>
      <c r="M1200" s="26"/>
      <c r="N1200" s="26"/>
      <c r="O1200" s="26"/>
      <c r="P1200" s="26"/>
      <c r="Q1200" s="26"/>
      <c r="R1200" s="26"/>
      <c r="S1200" s="26"/>
      <c r="T1200" s="26"/>
      <c r="U1200" s="26"/>
      <c r="V1200" s="26"/>
      <c r="W1200" s="26"/>
      <c r="X1200" s="26"/>
    </row>
    <row r="1201" hidden="1">
      <c r="A1201" s="10" t="s">
        <v>427</v>
      </c>
      <c r="B1201" s="10" t="s">
        <v>3829</v>
      </c>
      <c r="C1201" s="27" t="s">
        <v>3830</v>
      </c>
      <c r="D1201" s="10" t="s">
        <v>3831</v>
      </c>
      <c r="E1201" s="28" t="s">
        <v>431</v>
      </c>
      <c r="F1201" s="23" t="s">
        <v>432</v>
      </c>
      <c r="G1201" s="23" t="s">
        <v>203</v>
      </c>
      <c r="H1201" s="23" t="s">
        <v>3789</v>
      </c>
      <c r="I1201" s="32"/>
      <c r="J1201" s="23" t="s">
        <v>6</v>
      </c>
      <c r="K1201" s="23" t="str">
        <f t="shared" si="1"/>
        <v>678900</v>
      </c>
      <c r="L1201" s="23"/>
      <c r="M1201" s="26"/>
      <c r="N1201" s="26"/>
      <c r="O1201" s="26"/>
      <c r="P1201" s="26"/>
      <c r="Q1201" s="26"/>
      <c r="R1201" s="26"/>
      <c r="S1201" s="26"/>
      <c r="T1201" s="26"/>
      <c r="U1201" s="26"/>
      <c r="V1201" s="26"/>
      <c r="W1201" s="26"/>
      <c r="X1201" s="26"/>
    </row>
    <row r="1202" hidden="1">
      <c r="A1202" s="10" t="s">
        <v>427</v>
      </c>
      <c r="B1202" s="10" t="s">
        <v>3832</v>
      </c>
      <c r="C1202" s="27" t="s">
        <v>3833</v>
      </c>
      <c r="D1202" s="10" t="s">
        <v>3834</v>
      </c>
      <c r="E1202" s="28" t="s">
        <v>534</v>
      </c>
      <c r="F1202" s="23" t="s">
        <v>535</v>
      </c>
      <c r="G1202" s="23" t="s">
        <v>521</v>
      </c>
      <c r="H1202" s="23" t="s">
        <v>3789</v>
      </c>
      <c r="I1202" s="32"/>
      <c r="J1202" s="23" t="s">
        <v>6</v>
      </c>
      <c r="K1202" s="23" t="str">
        <f t="shared" si="1"/>
        <v>674926</v>
      </c>
      <c r="L1202" s="23"/>
      <c r="M1202" s="26"/>
      <c r="N1202" s="26"/>
      <c r="O1202" s="26"/>
      <c r="P1202" s="26"/>
      <c r="Q1202" s="26"/>
      <c r="R1202" s="26"/>
      <c r="S1202" s="26"/>
      <c r="T1202" s="26"/>
      <c r="U1202" s="26"/>
      <c r="V1202" s="26"/>
      <c r="W1202" s="26"/>
      <c r="X1202" s="26"/>
    </row>
    <row r="1203" hidden="1">
      <c r="A1203" s="10" t="s">
        <v>427</v>
      </c>
      <c r="B1203" s="10" t="s">
        <v>3835</v>
      </c>
      <c r="C1203" s="27" t="s">
        <v>3836</v>
      </c>
      <c r="D1203" s="10" t="s">
        <v>3837</v>
      </c>
      <c r="E1203" s="28" t="s">
        <v>431</v>
      </c>
      <c r="F1203" s="23" t="s">
        <v>1231</v>
      </c>
      <c r="G1203" s="23" t="s">
        <v>521</v>
      </c>
      <c r="H1203" s="23" t="s">
        <v>3789</v>
      </c>
      <c r="I1203" s="32"/>
      <c r="J1203" s="23" t="s">
        <v>6</v>
      </c>
      <c r="K1203" s="23" t="str">
        <f t="shared" si="1"/>
        <v>674827</v>
      </c>
      <c r="L1203" s="23"/>
      <c r="M1203" s="26"/>
      <c r="N1203" s="26"/>
      <c r="O1203" s="26"/>
      <c r="P1203" s="26"/>
      <c r="Q1203" s="26"/>
      <c r="R1203" s="26"/>
      <c r="S1203" s="26"/>
      <c r="T1203" s="26"/>
      <c r="U1203" s="26"/>
      <c r="V1203" s="26"/>
      <c r="W1203" s="26"/>
      <c r="X1203" s="26"/>
    </row>
    <row r="1204" hidden="1">
      <c r="A1204" s="10" t="s">
        <v>427</v>
      </c>
      <c r="B1204" s="10" t="s">
        <v>3838</v>
      </c>
      <c r="C1204" s="27" t="s">
        <v>3839</v>
      </c>
      <c r="D1204" s="10" t="s">
        <v>3840</v>
      </c>
      <c r="E1204" s="28" t="s">
        <v>431</v>
      </c>
      <c r="F1204" s="23" t="s">
        <v>933</v>
      </c>
      <c r="G1204" s="23" t="s">
        <v>521</v>
      </c>
      <c r="H1204" s="23" t="s">
        <v>3789</v>
      </c>
      <c r="I1204" s="32"/>
      <c r="J1204" s="23" t="s">
        <v>6</v>
      </c>
      <c r="K1204" s="23" t="str">
        <f t="shared" si="1"/>
        <v>674902</v>
      </c>
      <c r="L1204" s="23"/>
      <c r="M1204" s="26"/>
      <c r="N1204" s="26"/>
      <c r="O1204" s="26"/>
      <c r="P1204" s="26"/>
      <c r="Q1204" s="26"/>
      <c r="R1204" s="26"/>
      <c r="S1204" s="26"/>
      <c r="T1204" s="26"/>
      <c r="U1204" s="26"/>
      <c r="V1204" s="26"/>
      <c r="W1204" s="26"/>
      <c r="X1204" s="26"/>
    </row>
    <row r="1205" hidden="1">
      <c r="A1205" s="10" t="s">
        <v>499</v>
      </c>
      <c r="B1205" s="10" t="s">
        <v>3841</v>
      </c>
      <c r="C1205" s="27" t="s">
        <v>3842</v>
      </c>
      <c r="D1205" s="10" t="s">
        <v>3843</v>
      </c>
      <c r="E1205" s="28" t="s">
        <v>194</v>
      </c>
      <c r="F1205" s="23" t="s">
        <v>195</v>
      </c>
      <c r="G1205" s="23" t="s">
        <v>745</v>
      </c>
      <c r="H1205" s="23" t="s">
        <v>1057</v>
      </c>
      <c r="I1205" s="32"/>
      <c r="J1205" s="23" t="s">
        <v>6</v>
      </c>
      <c r="K1205" s="23" t="str">
        <f t="shared" si="1"/>
        <v>643076</v>
      </c>
      <c r="L1205" s="23"/>
      <c r="M1205" s="26"/>
      <c r="N1205" s="26"/>
      <c r="O1205" s="26"/>
      <c r="P1205" s="26"/>
      <c r="Q1205" s="26"/>
      <c r="R1205" s="26"/>
      <c r="S1205" s="26"/>
      <c r="T1205" s="26"/>
      <c r="U1205" s="26"/>
      <c r="V1205" s="26"/>
      <c r="W1205" s="26"/>
      <c r="X1205" s="26"/>
    </row>
    <row r="1206" hidden="1">
      <c r="A1206" s="10" t="s">
        <v>499</v>
      </c>
      <c r="B1206" s="10" t="s">
        <v>3844</v>
      </c>
      <c r="C1206" s="27" t="s">
        <v>3845</v>
      </c>
      <c r="D1206" s="10" t="s">
        <v>3846</v>
      </c>
      <c r="E1206" s="28" t="s">
        <v>194</v>
      </c>
      <c r="F1206" s="23" t="s">
        <v>589</v>
      </c>
      <c r="G1206" s="23" t="s">
        <v>745</v>
      </c>
      <c r="H1206" s="23" t="s">
        <v>1057</v>
      </c>
      <c r="I1206" s="32"/>
      <c r="J1206" s="23" t="s">
        <v>6</v>
      </c>
      <c r="K1206" s="23" t="str">
        <f t="shared" si="1"/>
        <v>666666</v>
      </c>
      <c r="L1206" s="23"/>
      <c r="M1206" s="26"/>
      <c r="N1206" s="26"/>
      <c r="O1206" s="26"/>
      <c r="P1206" s="26"/>
      <c r="Q1206" s="26"/>
      <c r="R1206" s="26"/>
      <c r="S1206" s="26"/>
      <c r="T1206" s="26"/>
      <c r="U1206" s="26"/>
      <c r="V1206" s="26"/>
      <c r="W1206" s="26"/>
      <c r="X1206" s="26"/>
    </row>
    <row r="1207" hidden="1">
      <c r="A1207" s="10" t="s">
        <v>499</v>
      </c>
      <c r="B1207" s="10" t="s">
        <v>3847</v>
      </c>
      <c r="C1207" s="27" t="s">
        <v>3848</v>
      </c>
      <c r="D1207" s="10" t="s">
        <v>3849</v>
      </c>
      <c r="E1207" s="28" t="s">
        <v>194</v>
      </c>
      <c r="F1207" s="23" t="s">
        <v>195</v>
      </c>
      <c r="G1207" s="23" t="s">
        <v>745</v>
      </c>
      <c r="H1207" s="23" t="s">
        <v>1057</v>
      </c>
      <c r="I1207" s="32"/>
      <c r="J1207" s="23" t="s">
        <v>6</v>
      </c>
      <c r="K1207" s="23" t="str">
        <f t="shared" si="1"/>
        <v>638362</v>
      </c>
      <c r="L1207" s="23"/>
      <c r="M1207" s="26"/>
      <c r="N1207" s="26"/>
      <c r="O1207" s="26"/>
      <c r="P1207" s="26"/>
      <c r="Q1207" s="26"/>
      <c r="R1207" s="26"/>
      <c r="S1207" s="26"/>
      <c r="T1207" s="26"/>
      <c r="U1207" s="26"/>
      <c r="V1207" s="26"/>
      <c r="W1207" s="26"/>
      <c r="X1207" s="26"/>
    </row>
    <row r="1208" hidden="1">
      <c r="A1208" s="10" t="s">
        <v>427</v>
      </c>
      <c r="B1208" s="10" t="s">
        <v>3850</v>
      </c>
      <c r="C1208" s="27" t="s">
        <v>3851</v>
      </c>
      <c r="D1208" s="10" t="s">
        <v>3852</v>
      </c>
      <c r="E1208" s="28" t="s">
        <v>418</v>
      </c>
      <c r="F1208" s="23" t="s">
        <v>419</v>
      </c>
      <c r="G1208" s="23" t="s">
        <v>745</v>
      </c>
      <c r="H1208" s="23" t="s">
        <v>1057</v>
      </c>
      <c r="I1208" s="32"/>
      <c r="J1208" s="23" t="s">
        <v>6</v>
      </c>
      <c r="K1208" s="23" t="str">
        <f t="shared" si="1"/>
        <v>662954</v>
      </c>
      <c r="L1208" s="23"/>
      <c r="M1208" s="26"/>
      <c r="N1208" s="26"/>
      <c r="O1208" s="26"/>
      <c r="P1208" s="26"/>
      <c r="Q1208" s="26"/>
      <c r="R1208" s="26"/>
      <c r="S1208" s="26"/>
      <c r="T1208" s="26"/>
      <c r="U1208" s="26"/>
      <c r="V1208" s="26"/>
      <c r="W1208" s="26"/>
      <c r="X1208" s="26"/>
    </row>
    <row r="1209" hidden="1">
      <c r="A1209" s="10" t="s">
        <v>427</v>
      </c>
      <c r="B1209" s="10" t="s">
        <v>3853</v>
      </c>
      <c r="C1209" s="27" t="s">
        <v>3854</v>
      </c>
      <c r="D1209" s="10" t="s">
        <v>3855</v>
      </c>
      <c r="E1209" s="28" t="s">
        <v>534</v>
      </c>
      <c r="F1209" s="23" t="s">
        <v>1238</v>
      </c>
      <c r="G1209" s="23" t="s">
        <v>745</v>
      </c>
      <c r="H1209" s="23" t="s">
        <v>1057</v>
      </c>
      <c r="I1209" s="32"/>
      <c r="J1209" s="23" t="s">
        <v>6</v>
      </c>
      <c r="K1209" s="23" t="str">
        <f t="shared" si="1"/>
        <v>631745</v>
      </c>
      <c r="L1209" s="23"/>
      <c r="M1209" s="26"/>
      <c r="N1209" s="26"/>
      <c r="O1209" s="26"/>
      <c r="P1209" s="26"/>
      <c r="Q1209" s="26"/>
      <c r="R1209" s="26"/>
      <c r="S1209" s="26"/>
      <c r="T1209" s="26"/>
      <c r="U1209" s="26"/>
      <c r="V1209" s="26"/>
      <c r="W1209" s="26"/>
      <c r="X1209" s="26"/>
    </row>
    <row r="1210" hidden="1">
      <c r="A1210" s="10" t="s">
        <v>414</v>
      </c>
      <c r="B1210" s="10" t="s">
        <v>3856</v>
      </c>
      <c r="C1210" s="27" t="s">
        <v>3857</v>
      </c>
      <c r="D1210" s="10" t="s">
        <v>1064</v>
      </c>
      <c r="E1210" s="28" t="s">
        <v>534</v>
      </c>
      <c r="F1210" s="23" t="s">
        <v>1238</v>
      </c>
      <c r="G1210" s="23" t="s">
        <v>745</v>
      </c>
      <c r="H1210" s="23" t="s">
        <v>1057</v>
      </c>
      <c r="I1210" s="32"/>
      <c r="J1210" s="23" t="s">
        <v>6</v>
      </c>
      <c r="K1210" s="23" t="str">
        <f t="shared" si="1"/>
        <v>674226</v>
      </c>
      <c r="L1210" s="23"/>
      <c r="M1210" s="26"/>
      <c r="N1210" s="26"/>
      <c r="O1210" s="26"/>
      <c r="P1210" s="26"/>
      <c r="Q1210" s="26"/>
      <c r="R1210" s="26"/>
      <c r="S1210" s="26"/>
      <c r="T1210" s="26"/>
      <c r="U1210" s="26"/>
      <c r="V1210" s="26"/>
      <c r="W1210" s="26"/>
      <c r="X1210" s="26"/>
    </row>
    <row r="1211" hidden="1">
      <c r="A1211" s="10" t="s">
        <v>414</v>
      </c>
      <c r="B1211" s="10" t="s">
        <v>3858</v>
      </c>
      <c r="C1211" s="27" t="s">
        <v>3859</v>
      </c>
      <c r="D1211" s="10" t="s">
        <v>1064</v>
      </c>
      <c r="E1211" s="28" t="s">
        <v>529</v>
      </c>
      <c r="F1211" s="23" t="s">
        <v>530</v>
      </c>
      <c r="G1211" s="23" t="s">
        <v>745</v>
      </c>
      <c r="H1211" s="23" t="s">
        <v>1057</v>
      </c>
      <c r="I1211" s="32"/>
      <c r="J1211" s="23" t="s">
        <v>6</v>
      </c>
      <c r="K1211" s="23" t="str">
        <f t="shared" si="1"/>
        <v>671161</v>
      </c>
      <c r="L1211" s="23"/>
      <c r="M1211" s="26"/>
      <c r="N1211" s="26"/>
      <c r="O1211" s="26"/>
      <c r="P1211" s="26"/>
      <c r="Q1211" s="26"/>
      <c r="R1211" s="26"/>
      <c r="S1211" s="26"/>
      <c r="T1211" s="26"/>
      <c r="U1211" s="26"/>
      <c r="V1211" s="26"/>
      <c r="W1211" s="26"/>
      <c r="X1211" s="26"/>
    </row>
    <row r="1212" hidden="1">
      <c r="A1212" s="10" t="s">
        <v>414</v>
      </c>
      <c r="B1212" s="10" t="s">
        <v>3860</v>
      </c>
      <c r="C1212" s="27" t="s">
        <v>3861</v>
      </c>
      <c r="D1212" s="10" t="s">
        <v>3862</v>
      </c>
      <c r="E1212" s="28" t="s">
        <v>194</v>
      </c>
      <c r="F1212" s="23" t="s">
        <v>195</v>
      </c>
      <c r="G1212" s="23" t="s">
        <v>745</v>
      </c>
      <c r="H1212" s="23" t="s">
        <v>1057</v>
      </c>
      <c r="I1212" s="32"/>
      <c r="J1212" s="23" t="s">
        <v>6</v>
      </c>
      <c r="K1212" s="23" t="str">
        <f t="shared" si="1"/>
        <v>671382</v>
      </c>
      <c r="L1212" s="23"/>
      <c r="M1212" s="26"/>
      <c r="N1212" s="26"/>
      <c r="O1212" s="26"/>
      <c r="P1212" s="26"/>
      <c r="Q1212" s="26"/>
      <c r="R1212" s="26"/>
      <c r="S1212" s="26"/>
      <c r="T1212" s="26"/>
      <c r="U1212" s="26"/>
      <c r="V1212" s="26"/>
      <c r="W1212" s="26"/>
      <c r="X1212" s="26"/>
    </row>
    <row r="1213" hidden="1">
      <c r="A1213" s="10" t="s">
        <v>190</v>
      </c>
      <c r="B1213" s="10" t="s">
        <v>3863</v>
      </c>
      <c r="C1213" s="27" t="s">
        <v>3864</v>
      </c>
      <c r="D1213" s="10" t="s">
        <v>3865</v>
      </c>
      <c r="E1213" s="28" t="s">
        <v>194</v>
      </c>
      <c r="F1213" s="23" t="s">
        <v>195</v>
      </c>
      <c r="G1213" s="23" t="s">
        <v>1076</v>
      </c>
      <c r="H1213" s="23" t="s">
        <v>1076</v>
      </c>
      <c r="I1213" s="23" t="s">
        <v>1076</v>
      </c>
      <c r="J1213" s="23" t="s">
        <v>229</v>
      </c>
      <c r="K1213" s="23" t="str">
        <f t="shared" si="1"/>
        <v>243651</v>
      </c>
      <c r="L1213" s="23"/>
      <c r="M1213" s="26"/>
      <c r="N1213" s="26"/>
      <c r="O1213" s="26"/>
      <c r="P1213" s="26"/>
      <c r="Q1213" s="26"/>
      <c r="R1213" s="26"/>
      <c r="S1213" s="26"/>
      <c r="T1213" s="26"/>
      <c r="U1213" s="26"/>
      <c r="V1213" s="26"/>
      <c r="W1213" s="26"/>
      <c r="X1213" s="26"/>
    </row>
    <row r="1214" hidden="1">
      <c r="A1214" s="10" t="s">
        <v>190</v>
      </c>
      <c r="B1214" s="10" t="s">
        <v>3866</v>
      </c>
      <c r="C1214" s="27" t="s">
        <v>3867</v>
      </c>
      <c r="D1214" s="10" t="s">
        <v>3868</v>
      </c>
      <c r="E1214" s="28" t="s">
        <v>194</v>
      </c>
      <c r="F1214" s="23" t="s">
        <v>195</v>
      </c>
      <c r="G1214" s="23" t="s">
        <v>1076</v>
      </c>
      <c r="H1214" s="23" t="s">
        <v>1076</v>
      </c>
      <c r="I1214" s="23" t="s">
        <v>1076</v>
      </c>
      <c r="J1214" s="23" t="s">
        <v>229</v>
      </c>
      <c r="K1214" s="23" t="str">
        <f t="shared" si="1"/>
        <v>243652</v>
      </c>
      <c r="L1214" s="23"/>
      <c r="M1214" s="26"/>
      <c r="N1214" s="26"/>
      <c r="O1214" s="26"/>
      <c r="P1214" s="26"/>
      <c r="Q1214" s="26"/>
      <c r="R1214" s="26"/>
      <c r="S1214" s="26"/>
      <c r="T1214" s="26"/>
      <c r="U1214" s="26"/>
      <c r="V1214" s="26"/>
      <c r="W1214" s="26"/>
      <c r="X1214" s="26"/>
    </row>
    <row r="1215" hidden="1">
      <c r="A1215" s="10" t="s">
        <v>190</v>
      </c>
      <c r="B1215" s="10" t="s">
        <v>3869</v>
      </c>
      <c r="C1215" s="27" t="s">
        <v>3870</v>
      </c>
      <c r="D1215" s="10" t="s">
        <v>3871</v>
      </c>
      <c r="E1215" s="28" t="s">
        <v>194</v>
      </c>
      <c r="F1215" s="23" t="s">
        <v>195</v>
      </c>
      <c r="G1215" s="23" t="s">
        <v>203</v>
      </c>
      <c r="H1215" s="23" t="s">
        <v>1115</v>
      </c>
      <c r="I1215" s="23" t="s">
        <v>1115</v>
      </c>
      <c r="J1215" s="23" t="s">
        <v>229</v>
      </c>
      <c r="K1215" s="23" t="str">
        <f t="shared" si="1"/>
        <v>690018</v>
      </c>
      <c r="L1215" s="23"/>
      <c r="M1215" s="26"/>
      <c r="N1215" s="26"/>
      <c r="O1215" s="26"/>
      <c r="P1215" s="26"/>
      <c r="Q1215" s="26"/>
      <c r="R1215" s="26"/>
      <c r="S1215" s="26"/>
      <c r="T1215" s="26"/>
      <c r="U1215" s="26"/>
      <c r="V1215" s="26"/>
      <c r="W1215" s="26"/>
      <c r="X1215" s="26"/>
    </row>
    <row r="1216" hidden="1">
      <c r="A1216" s="10" t="s">
        <v>190</v>
      </c>
      <c r="B1216" s="10" t="s">
        <v>3872</v>
      </c>
      <c r="C1216" s="27" t="s">
        <v>3873</v>
      </c>
      <c r="D1216" s="10" t="s">
        <v>3874</v>
      </c>
      <c r="E1216" s="28" t="s">
        <v>194</v>
      </c>
      <c r="F1216" s="23" t="s">
        <v>195</v>
      </c>
      <c r="G1216" s="23" t="s">
        <v>203</v>
      </c>
      <c r="H1216" s="23" t="s">
        <v>1115</v>
      </c>
      <c r="I1216" s="23" t="s">
        <v>1115</v>
      </c>
      <c r="J1216" s="23" t="s">
        <v>229</v>
      </c>
      <c r="K1216" s="23" t="str">
        <f t="shared" si="1"/>
        <v>690100</v>
      </c>
      <c r="L1216" s="23"/>
      <c r="M1216" s="26"/>
      <c r="N1216" s="26"/>
      <c r="O1216" s="26"/>
      <c r="P1216" s="26"/>
      <c r="Q1216" s="26"/>
      <c r="R1216" s="26"/>
      <c r="S1216" s="26"/>
      <c r="T1216" s="26"/>
      <c r="U1216" s="26"/>
      <c r="V1216" s="26"/>
      <c r="W1216" s="26"/>
      <c r="X1216" s="26"/>
    </row>
    <row r="1217" hidden="1">
      <c r="A1217" s="10" t="s">
        <v>190</v>
      </c>
      <c r="B1217" s="10" t="s">
        <v>3875</v>
      </c>
      <c r="C1217" s="27" t="s">
        <v>3876</v>
      </c>
      <c r="D1217" s="10" t="s">
        <v>3877</v>
      </c>
      <c r="E1217" s="28" t="s">
        <v>194</v>
      </c>
      <c r="F1217" s="23" t="s">
        <v>195</v>
      </c>
      <c r="G1217" s="23" t="s">
        <v>196</v>
      </c>
      <c r="H1217" s="23" t="s">
        <v>1115</v>
      </c>
      <c r="I1217" s="23" t="s">
        <v>1115</v>
      </c>
      <c r="J1217" s="23" t="s">
        <v>229</v>
      </c>
      <c r="K1217" s="23" t="str">
        <f t="shared" si="1"/>
        <v>690049</v>
      </c>
      <c r="L1217" s="23"/>
      <c r="M1217" s="26"/>
      <c r="N1217" s="26"/>
      <c r="O1217" s="26"/>
      <c r="P1217" s="26"/>
      <c r="Q1217" s="26"/>
      <c r="R1217" s="26"/>
      <c r="S1217" s="26"/>
      <c r="T1217" s="26"/>
      <c r="U1217" s="26"/>
      <c r="V1217" s="26"/>
      <c r="W1217" s="26"/>
      <c r="X1217" s="26"/>
    </row>
    <row r="1218" hidden="1">
      <c r="A1218" s="10" t="s">
        <v>190</v>
      </c>
      <c r="B1218" s="10" t="s">
        <v>3878</v>
      </c>
      <c r="C1218" s="27" t="s">
        <v>3879</v>
      </c>
      <c r="D1218" s="10" t="s">
        <v>3880</v>
      </c>
      <c r="E1218" s="28" t="s">
        <v>194</v>
      </c>
      <c r="F1218" s="23" t="s">
        <v>195</v>
      </c>
      <c r="G1218" s="23" t="s">
        <v>196</v>
      </c>
      <c r="H1218" s="23" t="s">
        <v>1115</v>
      </c>
      <c r="I1218" s="23" t="s">
        <v>1115</v>
      </c>
      <c r="J1218" s="23" t="s">
        <v>229</v>
      </c>
      <c r="K1218" s="23" t="str">
        <f t="shared" si="1"/>
        <v>690032</v>
      </c>
      <c r="L1218" s="23"/>
      <c r="M1218" s="26"/>
      <c r="N1218" s="26"/>
      <c r="O1218" s="26"/>
      <c r="P1218" s="26"/>
      <c r="Q1218" s="26"/>
      <c r="R1218" s="26"/>
      <c r="S1218" s="26"/>
      <c r="T1218" s="26"/>
      <c r="U1218" s="26"/>
      <c r="V1218" s="26"/>
      <c r="W1218" s="26"/>
      <c r="X1218" s="26"/>
    </row>
    <row r="1219" hidden="1">
      <c r="A1219" s="10" t="s">
        <v>190</v>
      </c>
      <c r="B1219" s="10" t="s">
        <v>3881</v>
      </c>
      <c r="C1219" s="27" t="s">
        <v>3882</v>
      </c>
      <c r="D1219" s="10" t="s">
        <v>3883</v>
      </c>
      <c r="E1219" s="28" t="s">
        <v>194</v>
      </c>
      <c r="F1219" s="23" t="s">
        <v>195</v>
      </c>
      <c r="G1219" s="23" t="s">
        <v>203</v>
      </c>
      <c r="H1219" s="23" t="s">
        <v>1115</v>
      </c>
      <c r="I1219" s="23" t="s">
        <v>1115</v>
      </c>
      <c r="J1219" s="23" t="s">
        <v>229</v>
      </c>
      <c r="K1219" s="23" t="str">
        <f t="shared" si="1"/>
        <v>690025</v>
      </c>
      <c r="L1219" s="23"/>
      <c r="M1219" s="26"/>
      <c r="N1219" s="26"/>
      <c r="O1219" s="26"/>
      <c r="P1219" s="26"/>
      <c r="Q1219" s="26"/>
      <c r="R1219" s="26"/>
      <c r="S1219" s="26"/>
      <c r="T1219" s="26"/>
      <c r="U1219" s="26"/>
      <c r="V1219" s="26"/>
      <c r="W1219" s="26"/>
      <c r="X1219" s="26"/>
    </row>
    <row r="1220" hidden="1">
      <c r="A1220" s="10" t="s">
        <v>190</v>
      </c>
      <c r="B1220" s="10" t="s">
        <v>3884</v>
      </c>
      <c r="C1220" s="27" t="s">
        <v>3885</v>
      </c>
      <c r="D1220" s="10" t="s">
        <v>3886</v>
      </c>
      <c r="E1220" s="28" t="s">
        <v>194</v>
      </c>
      <c r="F1220" s="23" t="s">
        <v>195</v>
      </c>
      <c r="G1220" s="23" t="s">
        <v>203</v>
      </c>
      <c r="H1220" s="23" t="s">
        <v>1115</v>
      </c>
      <c r="I1220" s="23" t="s">
        <v>1115</v>
      </c>
      <c r="J1220" s="23" t="s">
        <v>229</v>
      </c>
      <c r="K1220" s="23" t="str">
        <f t="shared" si="1"/>
        <v>690087</v>
      </c>
      <c r="L1220" s="23"/>
      <c r="M1220" s="26"/>
      <c r="N1220" s="26"/>
      <c r="O1220" s="26"/>
      <c r="P1220" s="26"/>
      <c r="Q1220" s="26"/>
      <c r="R1220" s="26"/>
      <c r="S1220" s="26"/>
      <c r="T1220" s="26"/>
      <c r="U1220" s="26"/>
      <c r="V1220" s="26"/>
      <c r="W1220" s="26"/>
      <c r="X1220" s="26"/>
    </row>
    <row r="1221" hidden="1">
      <c r="A1221" s="10" t="s">
        <v>190</v>
      </c>
      <c r="B1221" s="10" t="s">
        <v>3887</v>
      </c>
      <c r="C1221" s="27" t="s">
        <v>3888</v>
      </c>
      <c r="D1221" s="10" t="s">
        <v>3889</v>
      </c>
      <c r="E1221" s="28" t="s">
        <v>194</v>
      </c>
      <c r="F1221" s="23" t="s">
        <v>195</v>
      </c>
      <c r="G1221" s="23" t="s">
        <v>203</v>
      </c>
      <c r="H1221" s="23" t="s">
        <v>1115</v>
      </c>
      <c r="I1221" s="23" t="s">
        <v>1115</v>
      </c>
      <c r="J1221" s="23" t="s">
        <v>229</v>
      </c>
      <c r="K1221" s="23" t="str">
        <f t="shared" si="1"/>
        <v>690513</v>
      </c>
      <c r="L1221" s="23"/>
      <c r="M1221" s="26"/>
      <c r="N1221" s="26"/>
      <c r="O1221" s="26"/>
      <c r="P1221" s="26"/>
      <c r="Q1221" s="26"/>
      <c r="R1221" s="26"/>
      <c r="S1221" s="26"/>
      <c r="T1221" s="26"/>
      <c r="U1221" s="26"/>
      <c r="V1221" s="26"/>
      <c r="W1221" s="26"/>
      <c r="X1221" s="26"/>
    </row>
    <row r="1222" hidden="1">
      <c r="A1222" s="10" t="s">
        <v>190</v>
      </c>
      <c r="B1222" s="10" t="s">
        <v>3890</v>
      </c>
      <c r="C1222" s="27" t="s">
        <v>3891</v>
      </c>
      <c r="D1222" s="10" t="s">
        <v>3892</v>
      </c>
      <c r="E1222" s="28" t="s">
        <v>194</v>
      </c>
      <c r="F1222" s="23" t="s">
        <v>195</v>
      </c>
      <c r="G1222" s="23" t="s">
        <v>203</v>
      </c>
      <c r="H1222" s="23" t="s">
        <v>1115</v>
      </c>
      <c r="I1222" s="23" t="s">
        <v>1115</v>
      </c>
      <c r="J1222" s="23" t="s">
        <v>229</v>
      </c>
      <c r="K1222" s="23" t="str">
        <f t="shared" si="1"/>
        <v>690070</v>
      </c>
      <c r="L1222" s="23"/>
      <c r="M1222" s="26"/>
      <c r="N1222" s="26"/>
      <c r="O1222" s="26"/>
      <c r="P1222" s="26"/>
      <c r="Q1222" s="26"/>
      <c r="R1222" s="26"/>
      <c r="S1222" s="26"/>
      <c r="T1222" s="26"/>
      <c r="U1222" s="26"/>
      <c r="V1222" s="26"/>
      <c r="W1222" s="26"/>
      <c r="X1222" s="26"/>
    </row>
    <row r="1223" hidden="1">
      <c r="A1223" s="10" t="s">
        <v>190</v>
      </c>
      <c r="B1223" s="10" t="s">
        <v>3893</v>
      </c>
      <c r="C1223" s="27" t="s">
        <v>3894</v>
      </c>
      <c r="D1223" s="10" t="s">
        <v>3895</v>
      </c>
      <c r="E1223" s="28" t="s">
        <v>194</v>
      </c>
      <c r="F1223" s="23" t="s">
        <v>195</v>
      </c>
      <c r="G1223" s="23" t="s">
        <v>203</v>
      </c>
      <c r="H1223" s="23" t="s">
        <v>1115</v>
      </c>
      <c r="I1223" s="23" t="s">
        <v>1115</v>
      </c>
      <c r="J1223" s="23" t="s">
        <v>198</v>
      </c>
      <c r="K1223" s="23" t="str">
        <f t="shared" si="1"/>
        <v>685267</v>
      </c>
      <c r="L1223" s="23"/>
      <c r="M1223" s="26"/>
      <c r="N1223" s="26"/>
      <c r="O1223" s="26"/>
      <c r="P1223" s="26"/>
      <c r="Q1223" s="26"/>
      <c r="R1223" s="26"/>
      <c r="S1223" s="26"/>
      <c r="T1223" s="26"/>
      <c r="U1223" s="26"/>
      <c r="V1223" s="26"/>
      <c r="W1223" s="26"/>
      <c r="X1223" s="26"/>
    </row>
    <row r="1224" hidden="1">
      <c r="A1224" s="10" t="s">
        <v>190</v>
      </c>
      <c r="B1224" s="10" t="s">
        <v>3896</v>
      </c>
      <c r="C1224" s="27" t="s">
        <v>3897</v>
      </c>
      <c r="D1224" s="10" t="s">
        <v>3898</v>
      </c>
      <c r="E1224" s="28" t="s">
        <v>194</v>
      </c>
      <c r="F1224" s="23" t="s">
        <v>195</v>
      </c>
      <c r="G1224" s="23" t="s">
        <v>203</v>
      </c>
      <c r="H1224" s="23" t="s">
        <v>1115</v>
      </c>
      <c r="I1224" s="32"/>
      <c r="J1224" s="23" t="s">
        <v>229</v>
      </c>
      <c r="K1224" s="23" t="str">
        <f t="shared" si="1"/>
        <v>603377</v>
      </c>
      <c r="L1224" s="23"/>
      <c r="M1224" s="26"/>
      <c r="N1224" s="26"/>
      <c r="O1224" s="26"/>
      <c r="P1224" s="26"/>
      <c r="Q1224" s="26"/>
      <c r="R1224" s="26"/>
      <c r="S1224" s="26"/>
      <c r="T1224" s="26"/>
      <c r="U1224" s="26"/>
      <c r="V1224" s="26"/>
      <c r="W1224" s="26"/>
      <c r="X1224" s="26"/>
    </row>
    <row r="1225" hidden="1">
      <c r="A1225" s="10" t="s">
        <v>190</v>
      </c>
      <c r="B1225" s="10" t="s">
        <v>3899</v>
      </c>
      <c r="C1225" s="27" t="s">
        <v>3900</v>
      </c>
      <c r="D1225" s="10" t="s">
        <v>3901</v>
      </c>
      <c r="E1225" s="28" t="s">
        <v>194</v>
      </c>
      <c r="F1225" s="23" t="s">
        <v>195</v>
      </c>
      <c r="G1225" s="23" t="s">
        <v>203</v>
      </c>
      <c r="H1225" s="23" t="s">
        <v>1115</v>
      </c>
      <c r="I1225" s="23" t="s">
        <v>1115</v>
      </c>
      <c r="J1225" s="23" t="s">
        <v>229</v>
      </c>
      <c r="K1225" s="23" t="str">
        <f t="shared" si="1"/>
        <v>690056</v>
      </c>
      <c r="L1225" s="23"/>
      <c r="M1225" s="26"/>
      <c r="N1225" s="26"/>
      <c r="O1225" s="26"/>
      <c r="P1225" s="26"/>
      <c r="Q1225" s="26"/>
      <c r="R1225" s="26"/>
      <c r="S1225" s="26"/>
      <c r="T1225" s="26"/>
      <c r="U1225" s="26"/>
      <c r="V1225" s="26"/>
      <c r="W1225" s="26"/>
      <c r="X1225" s="26"/>
    </row>
    <row r="1226" hidden="1">
      <c r="A1226" s="10" t="s">
        <v>190</v>
      </c>
      <c r="B1226" s="10" t="s">
        <v>3902</v>
      </c>
      <c r="C1226" s="27" t="s">
        <v>3903</v>
      </c>
      <c r="D1226" s="10" t="s">
        <v>3904</v>
      </c>
      <c r="E1226" s="28" t="s">
        <v>194</v>
      </c>
      <c r="F1226" s="23" t="s">
        <v>195</v>
      </c>
      <c r="G1226" s="23" t="s">
        <v>203</v>
      </c>
      <c r="H1226" s="23" t="s">
        <v>1115</v>
      </c>
      <c r="I1226" s="32"/>
      <c r="J1226" s="23" t="s">
        <v>229</v>
      </c>
      <c r="K1226" s="23" t="str">
        <f t="shared" si="1"/>
        <v>614069</v>
      </c>
      <c r="L1226" s="23"/>
      <c r="M1226" s="26"/>
      <c r="N1226" s="26"/>
      <c r="O1226" s="26"/>
      <c r="P1226" s="26"/>
      <c r="Q1226" s="26"/>
      <c r="R1226" s="26"/>
      <c r="S1226" s="26"/>
      <c r="T1226" s="26"/>
      <c r="U1226" s="26"/>
      <c r="V1226" s="26"/>
      <c r="W1226" s="26"/>
      <c r="X1226" s="26"/>
    </row>
    <row r="1227" hidden="1">
      <c r="A1227" s="10" t="s">
        <v>190</v>
      </c>
      <c r="B1227" s="10" t="s">
        <v>3905</v>
      </c>
      <c r="C1227" s="27" t="s">
        <v>3906</v>
      </c>
      <c r="D1227" s="10" t="s">
        <v>3907</v>
      </c>
      <c r="E1227" s="28" t="s">
        <v>194</v>
      </c>
      <c r="F1227" s="23" t="s">
        <v>195</v>
      </c>
      <c r="G1227" s="23" t="s">
        <v>203</v>
      </c>
      <c r="H1227" s="23" t="s">
        <v>1115</v>
      </c>
      <c r="I1227" s="23" t="s">
        <v>1115</v>
      </c>
      <c r="J1227" s="23" t="s">
        <v>198</v>
      </c>
      <c r="K1227" s="23" t="str">
        <f t="shared" si="1"/>
        <v>243696</v>
      </c>
      <c r="L1227" s="23"/>
      <c r="M1227" s="26"/>
      <c r="N1227" s="26"/>
      <c r="O1227" s="26"/>
      <c r="P1227" s="26"/>
      <c r="Q1227" s="26"/>
      <c r="R1227" s="26"/>
      <c r="S1227" s="26"/>
      <c r="T1227" s="26"/>
      <c r="U1227" s="26"/>
      <c r="V1227" s="26"/>
      <c r="W1227" s="26"/>
      <c r="X1227" s="26"/>
    </row>
    <row r="1228" hidden="1">
      <c r="A1228" s="10" t="s">
        <v>190</v>
      </c>
      <c r="B1228" s="10" t="s">
        <v>3908</v>
      </c>
      <c r="C1228" s="27" t="s">
        <v>3909</v>
      </c>
      <c r="D1228" s="10" t="s">
        <v>3910</v>
      </c>
      <c r="E1228" s="28" t="s">
        <v>194</v>
      </c>
      <c r="F1228" s="23" t="s">
        <v>195</v>
      </c>
      <c r="G1228" s="23" t="s">
        <v>203</v>
      </c>
      <c r="H1228" s="23" t="s">
        <v>1115</v>
      </c>
      <c r="I1228" s="23" t="s">
        <v>1115</v>
      </c>
      <c r="J1228" s="23" t="s">
        <v>198</v>
      </c>
      <c r="K1228" s="23" t="str">
        <f t="shared" si="1"/>
        <v>722214</v>
      </c>
      <c r="L1228" s="23"/>
      <c r="M1228" s="26"/>
      <c r="N1228" s="26"/>
      <c r="O1228" s="26"/>
      <c r="P1228" s="26"/>
      <c r="Q1228" s="26"/>
      <c r="R1228" s="26"/>
      <c r="S1228" s="26"/>
      <c r="T1228" s="26"/>
      <c r="U1228" s="26"/>
      <c r="V1228" s="26"/>
      <c r="W1228" s="26"/>
      <c r="X1228" s="26"/>
    </row>
    <row r="1229" hidden="1">
      <c r="A1229" s="10" t="s">
        <v>190</v>
      </c>
      <c r="B1229" s="10" t="s">
        <v>3911</v>
      </c>
      <c r="C1229" s="27" t="s">
        <v>3912</v>
      </c>
      <c r="D1229" s="10" t="s">
        <v>3865</v>
      </c>
      <c r="E1229" s="28" t="s">
        <v>194</v>
      </c>
      <c r="F1229" s="23" t="s">
        <v>195</v>
      </c>
      <c r="G1229" s="23" t="s">
        <v>203</v>
      </c>
      <c r="H1229" s="23" t="s">
        <v>1115</v>
      </c>
      <c r="I1229" s="23" t="s">
        <v>1115</v>
      </c>
      <c r="J1229" s="23" t="s">
        <v>198</v>
      </c>
      <c r="K1229" s="23" t="str">
        <f t="shared" si="1"/>
        <v>243658</v>
      </c>
      <c r="L1229" s="23"/>
      <c r="M1229" s="26"/>
      <c r="N1229" s="26"/>
      <c r="O1229" s="26"/>
      <c r="P1229" s="26"/>
      <c r="Q1229" s="26"/>
      <c r="R1229" s="26"/>
      <c r="S1229" s="26"/>
      <c r="T1229" s="26"/>
      <c r="U1229" s="26"/>
      <c r="V1229" s="26"/>
      <c r="W1229" s="26"/>
      <c r="X1229" s="26"/>
    </row>
    <row r="1230" hidden="1">
      <c r="A1230" s="10" t="s">
        <v>190</v>
      </c>
      <c r="B1230" s="10" t="s">
        <v>3913</v>
      </c>
      <c r="C1230" s="27" t="s">
        <v>3914</v>
      </c>
      <c r="D1230" s="10" t="s">
        <v>3915</v>
      </c>
      <c r="E1230" s="28" t="s">
        <v>194</v>
      </c>
      <c r="F1230" s="23" t="s">
        <v>195</v>
      </c>
      <c r="G1230" s="23" t="s">
        <v>1</v>
      </c>
      <c r="H1230" s="23" t="s">
        <v>1115</v>
      </c>
      <c r="I1230" s="32"/>
      <c r="J1230" s="23" t="s">
        <v>238</v>
      </c>
      <c r="K1230" s="23" t="str">
        <f t="shared" si="1"/>
        <v>691589</v>
      </c>
      <c r="L1230" s="23"/>
      <c r="M1230" s="26"/>
      <c r="N1230" s="26"/>
      <c r="O1230" s="26"/>
      <c r="P1230" s="26"/>
      <c r="Q1230" s="26"/>
      <c r="R1230" s="26"/>
      <c r="S1230" s="26"/>
      <c r="T1230" s="26"/>
      <c r="U1230" s="26"/>
      <c r="V1230" s="26"/>
      <c r="W1230" s="26"/>
      <c r="X1230" s="26"/>
    </row>
    <row r="1231" hidden="1">
      <c r="A1231" s="10" t="s">
        <v>190</v>
      </c>
      <c r="B1231" s="10" t="s">
        <v>3916</v>
      </c>
      <c r="C1231" s="27" t="s">
        <v>3917</v>
      </c>
      <c r="D1231" s="10" t="s">
        <v>3918</v>
      </c>
      <c r="E1231" s="36"/>
      <c r="F1231" s="32"/>
      <c r="G1231" s="23" t="s">
        <v>203</v>
      </c>
      <c r="H1231" s="23" t="s">
        <v>1115</v>
      </c>
      <c r="I1231" s="32"/>
      <c r="J1231" s="23" t="s">
        <v>238</v>
      </c>
      <c r="K1231" s="23" t="str">
        <f t="shared" si="1"/>
        <v>692005</v>
      </c>
      <c r="L1231" s="23"/>
      <c r="M1231" s="26"/>
      <c r="N1231" s="26"/>
      <c r="O1231" s="26"/>
      <c r="P1231" s="26"/>
      <c r="Q1231" s="26"/>
      <c r="R1231" s="26"/>
      <c r="S1231" s="26"/>
      <c r="T1231" s="26"/>
      <c r="U1231" s="26"/>
      <c r="V1231" s="26"/>
      <c r="W1231" s="26"/>
      <c r="X1231" s="26"/>
    </row>
    <row r="1232" hidden="1">
      <c r="A1232" s="10" t="s">
        <v>499</v>
      </c>
      <c r="B1232" s="10" t="s">
        <v>3919</v>
      </c>
      <c r="C1232" s="27" t="s">
        <v>3920</v>
      </c>
      <c r="D1232" s="10" t="s">
        <v>3921</v>
      </c>
      <c r="E1232" s="28" t="s">
        <v>194</v>
      </c>
      <c r="F1232" s="23" t="s">
        <v>195</v>
      </c>
      <c r="G1232" s="23" t="s">
        <v>203</v>
      </c>
      <c r="H1232" s="23" t="s">
        <v>1115</v>
      </c>
      <c r="I1232" s="32"/>
      <c r="J1232" s="23" t="s">
        <v>6</v>
      </c>
      <c r="K1232" s="23" t="str">
        <f t="shared" si="1"/>
        <v>604978</v>
      </c>
      <c r="L1232" s="23"/>
      <c r="M1232" s="26"/>
      <c r="N1232" s="26"/>
      <c r="O1232" s="26"/>
      <c r="P1232" s="26"/>
      <c r="Q1232" s="26"/>
      <c r="R1232" s="26"/>
      <c r="S1232" s="26"/>
      <c r="T1232" s="26"/>
      <c r="U1232" s="26"/>
      <c r="V1232" s="26"/>
      <c r="W1232" s="26"/>
      <c r="X1232" s="26"/>
    </row>
    <row r="1233" hidden="1">
      <c r="A1233" s="10" t="s">
        <v>499</v>
      </c>
      <c r="B1233" s="10" t="s">
        <v>3922</v>
      </c>
      <c r="C1233" s="27" t="s">
        <v>3923</v>
      </c>
      <c r="D1233" s="10" t="s">
        <v>3924</v>
      </c>
      <c r="E1233" s="28" t="s">
        <v>194</v>
      </c>
      <c r="F1233" s="23" t="s">
        <v>195</v>
      </c>
      <c r="G1233" s="23" t="s">
        <v>203</v>
      </c>
      <c r="H1233" s="23" t="s">
        <v>1115</v>
      </c>
      <c r="I1233" s="32"/>
      <c r="J1233" s="23" t="s">
        <v>6</v>
      </c>
      <c r="K1233" s="23" t="str">
        <f t="shared" si="1"/>
        <v>632322</v>
      </c>
      <c r="L1233" s="23"/>
      <c r="M1233" s="26"/>
      <c r="N1233" s="26"/>
      <c r="O1233" s="26"/>
      <c r="P1233" s="26"/>
      <c r="Q1233" s="26"/>
      <c r="R1233" s="26"/>
      <c r="S1233" s="26"/>
      <c r="T1233" s="26"/>
      <c r="U1233" s="26"/>
      <c r="V1233" s="26"/>
      <c r="W1233" s="26"/>
      <c r="X1233" s="26"/>
    </row>
    <row r="1234" hidden="1">
      <c r="A1234" s="10" t="s">
        <v>499</v>
      </c>
      <c r="B1234" s="10" t="s">
        <v>3925</v>
      </c>
      <c r="C1234" s="27" t="s">
        <v>3926</v>
      </c>
      <c r="D1234" s="10" t="s">
        <v>3927</v>
      </c>
      <c r="E1234" s="28" t="s">
        <v>194</v>
      </c>
      <c r="F1234" s="23" t="s">
        <v>195</v>
      </c>
      <c r="G1234" s="23" t="s">
        <v>203</v>
      </c>
      <c r="H1234" s="23" t="s">
        <v>1115</v>
      </c>
      <c r="I1234" s="32"/>
      <c r="J1234" s="23" t="s">
        <v>6</v>
      </c>
      <c r="K1234" s="23" t="str">
        <f t="shared" si="1"/>
        <v>647289</v>
      </c>
      <c r="L1234" s="23"/>
      <c r="M1234" s="26"/>
      <c r="N1234" s="26"/>
      <c r="O1234" s="26"/>
      <c r="P1234" s="26"/>
      <c r="Q1234" s="26"/>
      <c r="R1234" s="26"/>
      <c r="S1234" s="26"/>
      <c r="T1234" s="26"/>
      <c r="U1234" s="26"/>
      <c r="V1234" s="26"/>
      <c r="W1234" s="26"/>
      <c r="X1234" s="26"/>
    </row>
    <row r="1235" hidden="1">
      <c r="A1235" s="10" t="s">
        <v>499</v>
      </c>
      <c r="B1235" s="10" t="s">
        <v>3928</v>
      </c>
      <c r="C1235" s="27" t="s">
        <v>3929</v>
      </c>
      <c r="D1235" s="10" t="s">
        <v>3930</v>
      </c>
      <c r="E1235" s="28" t="s">
        <v>194</v>
      </c>
      <c r="F1235" s="23" t="s">
        <v>195</v>
      </c>
      <c r="G1235" s="23" t="s">
        <v>203</v>
      </c>
      <c r="H1235" s="23" t="s">
        <v>1115</v>
      </c>
      <c r="I1235" s="32"/>
      <c r="J1235" s="23" t="s">
        <v>6</v>
      </c>
      <c r="K1235" s="23" t="str">
        <f t="shared" si="1"/>
        <v>636016</v>
      </c>
      <c r="L1235" s="23"/>
      <c r="M1235" s="26"/>
      <c r="N1235" s="26"/>
      <c r="O1235" s="26"/>
      <c r="P1235" s="26"/>
      <c r="Q1235" s="26"/>
      <c r="R1235" s="26"/>
      <c r="S1235" s="26"/>
      <c r="T1235" s="26"/>
      <c r="U1235" s="26"/>
      <c r="V1235" s="26"/>
      <c r="W1235" s="26"/>
      <c r="X1235" s="26"/>
    </row>
    <row r="1236" hidden="1">
      <c r="A1236" s="10" t="s">
        <v>499</v>
      </c>
      <c r="B1236" s="10" t="s">
        <v>3931</v>
      </c>
      <c r="C1236" s="27" t="s">
        <v>3932</v>
      </c>
      <c r="D1236" s="10" t="s">
        <v>3933</v>
      </c>
      <c r="E1236" s="28" t="s">
        <v>194</v>
      </c>
      <c r="F1236" s="23" t="s">
        <v>195</v>
      </c>
      <c r="G1236" s="23" t="s">
        <v>203</v>
      </c>
      <c r="H1236" s="23" t="s">
        <v>1115</v>
      </c>
      <c r="I1236" s="32"/>
      <c r="J1236" s="23" t="s">
        <v>6</v>
      </c>
      <c r="K1236" s="23" t="str">
        <f t="shared" si="1"/>
        <v>636023</v>
      </c>
      <c r="L1236" s="23"/>
      <c r="M1236" s="26"/>
      <c r="N1236" s="26"/>
      <c r="O1236" s="26"/>
      <c r="P1236" s="26"/>
      <c r="Q1236" s="26"/>
      <c r="R1236" s="26"/>
      <c r="S1236" s="26"/>
      <c r="T1236" s="26"/>
      <c r="U1236" s="26"/>
      <c r="V1236" s="26"/>
      <c r="W1236" s="26"/>
      <c r="X1236" s="26"/>
    </row>
    <row r="1237" hidden="1">
      <c r="A1237" s="10" t="s">
        <v>499</v>
      </c>
      <c r="B1237" s="10" t="s">
        <v>3934</v>
      </c>
      <c r="C1237" s="27" t="s">
        <v>3935</v>
      </c>
      <c r="D1237" s="10" t="s">
        <v>3936</v>
      </c>
      <c r="E1237" s="28" t="s">
        <v>194</v>
      </c>
      <c r="F1237" s="23" t="s">
        <v>195</v>
      </c>
      <c r="G1237" s="23" t="s">
        <v>203</v>
      </c>
      <c r="H1237" s="23" t="s">
        <v>1115</v>
      </c>
      <c r="I1237" s="32"/>
      <c r="J1237" s="23" t="s">
        <v>6</v>
      </c>
      <c r="K1237" s="23" t="str">
        <f t="shared" si="1"/>
        <v>631462</v>
      </c>
      <c r="L1237" s="23"/>
      <c r="M1237" s="26"/>
      <c r="N1237" s="26"/>
      <c r="O1237" s="26"/>
      <c r="P1237" s="26"/>
      <c r="Q1237" s="26"/>
      <c r="R1237" s="26"/>
      <c r="S1237" s="26"/>
      <c r="T1237" s="26"/>
      <c r="U1237" s="26"/>
      <c r="V1237" s="26"/>
      <c r="W1237" s="26"/>
      <c r="X1237" s="26"/>
    </row>
    <row r="1238" hidden="1">
      <c r="A1238" s="10" t="s">
        <v>499</v>
      </c>
      <c r="B1238" s="10" t="s">
        <v>3937</v>
      </c>
      <c r="C1238" s="27" t="s">
        <v>3938</v>
      </c>
      <c r="D1238" s="10" t="s">
        <v>3939</v>
      </c>
      <c r="E1238" s="28" t="s">
        <v>194</v>
      </c>
      <c r="F1238" s="23" t="s">
        <v>195</v>
      </c>
      <c r="G1238" s="23" t="s">
        <v>203</v>
      </c>
      <c r="H1238" s="23" t="s">
        <v>1115</v>
      </c>
      <c r="I1238" s="32"/>
      <c r="J1238" s="23" t="s">
        <v>6</v>
      </c>
      <c r="K1238" s="23" t="str">
        <f t="shared" si="1"/>
        <v>632568</v>
      </c>
      <c r="L1238" s="23"/>
      <c r="M1238" s="26"/>
      <c r="N1238" s="26"/>
      <c r="O1238" s="26"/>
      <c r="P1238" s="26"/>
      <c r="Q1238" s="26"/>
      <c r="R1238" s="26"/>
      <c r="S1238" s="26"/>
      <c r="T1238" s="26"/>
      <c r="U1238" s="26"/>
      <c r="V1238" s="26"/>
      <c r="W1238" s="26"/>
      <c r="X1238" s="26"/>
    </row>
    <row r="1239" hidden="1">
      <c r="A1239" s="10" t="s">
        <v>499</v>
      </c>
      <c r="B1239" s="10" t="s">
        <v>3940</v>
      </c>
      <c r="C1239" s="27" t="s">
        <v>3941</v>
      </c>
      <c r="D1239" s="10" t="s">
        <v>3942</v>
      </c>
      <c r="E1239" s="28" t="s">
        <v>194</v>
      </c>
      <c r="F1239" s="23" t="s">
        <v>195</v>
      </c>
      <c r="G1239" s="23" t="s">
        <v>203</v>
      </c>
      <c r="H1239" s="23" t="s">
        <v>1115</v>
      </c>
      <c r="I1239" s="32"/>
      <c r="J1239" s="23" t="s">
        <v>6</v>
      </c>
      <c r="K1239" s="23" t="str">
        <f t="shared" si="1"/>
        <v>690063</v>
      </c>
      <c r="L1239" s="23"/>
      <c r="M1239" s="26"/>
      <c r="N1239" s="26"/>
      <c r="O1239" s="26"/>
      <c r="P1239" s="26"/>
      <c r="Q1239" s="26"/>
      <c r="R1239" s="26"/>
      <c r="S1239" s="26"/>
      <c r="T1239" s="26"/>
      <c r="U1239" s="26"/>
      <c r="V1239" s="26"/>
      <c r="W1239" s="26"/>
      <c r="X1239" s="26"/>
    </row>
    <row r="1240" hidden="1">
      <c r="A1240" s="10" t="s">
        <v>499</v>
      </c>
      <c r="B1240" s="10" t="s">
        <v>3943</v>
      </c>
      <c r="C1240" s="27" t="s">
        <v>3944</v>
      </c>
      <c r="D1240" s="10" t="s">
        <v>3945</v>
      </c>
      <c r="E1240" s="28" t="s">
        <v>194</v>
      </c>
      <c r="F1240" s="23" t="s">
        <v>195</v>
      </c>
      <c r="G1240" s="23" t="s">
        <v>203</v>
      </c>
      <c r="H1240" s="23" t="s">
        <v>1115</v>
      </c>
      <c r="I1240" s="32"/>
      <c r="J1240" s="23" t="s">
        <v>6</v>
      </c>
      <c r="K1240" s="23" t="str">
        <f t="shared" si="1"/>
        <v>647296</v>
      </c>
      <c r="L1240" s="23"/>
      <c r="M1240" s="26"/>
      <c r="N1240" s="26"/>
      <c r="O1240" s="26"/>
      <c r="P1240" s="26"/>
      <c r="Q1240" s="26"/>
      <c r="R1240" s="26"/>
      <c r="S1240" s="26"/>
      <c r="T1240" s="26"/>
      <c r="U1240" s="26"/>
      <c r="V1240" s="26"/>
      <c r="W1240" s="26"/>
      <c r="X1240" s="26"/>
    </row>
    <row r="1241" hidden="1">
      <c r="A1241" s="10" t="s">
        <v>499</v>
      </c>
      <c r="B1241" s="10" t="s">
        <v>3946</v>
      </c>
      <c r="C1241" s="27" t="s">
        <v>3947</v>
      </c>
      <c r="D1241" s="10" t="s">
        <v>3948</v>
      </c>
      <c r="E1241" s="28" t="s">
        <v>194</v>
      </c>
      <c r="F1241" s="23" t="s">
        <v>195</v>
      </c>
      <c r="G1241" s="23" t="s">
        <v>203</v>
      </c>
      <c r="H1241" s="23" t="s">
        <v>1115</v>
      </c>
      <c r="I1241" s="32"/>
      <c r="J1241" s="23" t="s">
        <v>6</v>
      </c>
      <c r="K1241" s="23" t="str">
        <f t="shared" si="1"/>
        <v>678109</v>
      </c>
      <c r="L1241" s="23"/>
      <c r="M1241" s="26"/>
      <c r="N1241" s="26"/>
      <c r="O1241" s="26"/>
      <c r="P1241" s="26"/>
      <c r="Q1241" s="26"/>
      <c r="R1241" s="26"/>
      <c r="S1241" s="26"/>
      <c r="T1241" s="26"/>
      <c r="U1241" s="26"/>
      <c r="V1241" s="26"/>
      <c r="W1241" s="26"/>
      <c r="X1241" s="26"/>
    </row>
    <row r="1242" hidden="1">
      <c r="A1242" s="10" t="s">
        <v>499</v>
      </c>
      <c r="B1242" s="10" t="s">
        <v>3949</v>
      </c>
      <c r="C1242" s="27" t="s">
        <v>3950</v>
      </c>
      <c r="D1242" s="10" t="s">
        <v>3951</v>
      </c>
      <c r="E1242" s="28" t="s">
        <v>194</v>
      </c>
      <c r="F1242" s="23" t="s">
        <v>3952</v>
      </c>
      <c r="G1242" s="23" t="s">
        <v>203</v>
      </c>
      <c r="H1242" s="23" t="s">
        <v>1115</v>
      </c>
      <c r="I1242" s="32"/>
      <c r="J1242" s="23" t="s">
        <v>6</v>
      </c>
      <c r="K1242" s="23" t="str">
        <f t="shared" si="1"/>
        <v>673653</v>
      </c>
      <c r="L1242" s="23"/>
      <c r="M1242" s="26"/>
      <c r="N1242" s="26"/>
      <c r="O1242" s="26"/>
      <c r="P1242" s="26"/>
      <c r="Q1242" s="26"/>
      <c r="R1242" s="26"/>
      <c r="S1242" s="26"/>
      <c r="T1242" s="26"/>
      <c r="U1242" s="26"/>
      <c r="V1242" s="26"/>
      <c r="W1242" s="26"/>
      <c r="X1242" s="26"/>
    </row>
    <row r="1243" hidden="1">
      <c r="A1243" s="10" t="s">
        <v>499</v>
      </c>
      <c r="B1243" s="10" t="s">
        <v>3953</v>
      </c>
      <c r="C1243" s="27" t="s">
        <v>3954</v>
      </c>
      <c r="D1243" s="10" t="s">
        <v>3955</v>
      </c>
      <c r="E1243" s="28" t="s">
        <v>194</v>
      </c>
      <c r="F1243" s="23" t="s">
        <v>195</v>
      </c>
      <c r="G1243" s="23" t="s">
        <v>203</v>
      </c>
      <c r="H1243" s="23" t="s">
        <v>1115</v>
      </c>
      <c r="I1243" s="32"/>
      <c r="J1243" s="23" t="s">
        <v>6</v>
      </c>
      <c r="K1243" s="23" t="str">
        <f t="shared" si="1"/>
        <v>635996</v>
      </c>
      <c r="L1243" s="23"/>
      <c r="M1243" s="26"/>
      <c r="N1243" s="26"/>
      <c r="O1243" s="26"/>
      <c r="P1243" s="26"/>
      <c r="Q1243" s="26"/>
      <c r="R1243" s="26"/>
      <c r="S1243" s="26"/>
      <c r="T1243" s="26"/>
      <c r="U1243" s="26"/>
      <c r="V1243" s="26"/>
      <c r="W1243" s="26"/>
      <c r="X1243" s="26"/>
    </row>
    <row r="1244" hidden="1">
      <c r="A1244" s="10" t="s">
        <v>427</v>
      </c>
      <c r="B1244" s="10" t="s">
        <v>3956</v>
      </c>
      <c r="C1244" s="27" t="s">
        <v>3957</v>
      </c>
      <c r="D1244" s="10" t="s">
        <v>3958</v>
      </c>
      <c r="E1244" s="28" t="s">
        <v>418</v>
      </c>
      <c r="F1244" s="23" t="s">
        <v>419</v>
      </c>
      <c r="G1244" s="23" t="s">
        <v>521</v>
      </c>
      <c r="H1244" s="23" t="s">
        <v>1115</v>
      </c>
      <c r="I1244" s="32"/>
      <c r="J1244" s="23" t="s">
        <v>6</v>
      </c>
      <c r="K1244" s="23" t="str">
        <f t="shared" si="1"/>
        <v>631431</v>
      </c>
      <c r="L1244" s="23"/>
      <c r="M1244" s="26"/>
      <c r="N1244" s="26"/>
      <c r="O1244" s="26"/>
      <c r="P1244" s="26"/>
      <c r="Q1244" s="26"/>
      <c r="R1244" s="26"/>
      <c r="S1244" s="26"/>
      <c r="T1244" s="26"/>
      <c r="U1244" s="26"/>
      <c r="V1244" s="26"/>
      <c r="W1244" s="26"/>
      <c r="X1244" s="26"/>
    </row>
    <row r="1245" hidden="1">
      <c r="A1245" s="10" t="s">
        <v>427</v>
      </c>
      <c r="B1245" s="10" t="s">
        <v>3959</v>
      </c>
      <c r="C1245" s="27" t="s">
        <v>3960</v>
      </c>
      <c r="D1245" s="10" t="s">
        <v>3961</v>
      </c>
      <c r="E1245" s="28" t="s">
        <v>418</v>
      </c>
      <c r="F1245" s="23" t="s">
        <v>419</v>
      </c>
      <c r="G1245" s="23" t="s">
        <v>521</v>
      </c>
      <c r="H1245" s="23" t="s">
        <v>1115</v>
      </c>
      <c r="I1245" s="32"/>
      <c r="J1245" s="23" t="s">
        <v>6</v>
      </c>
      <c r="K1245" s="23" t="str">
        <f t="shared" si="1"/>
        <v>631455</v>
      </c>
      <c r="L1245" s="23"/>
      <c r="M1245" s="26"/>
      <c r="N1245" s="26"/>
      <c r="O1245" s="26"/>
      <c r="P1245" s="26"/>
      <c r="Q1245" s="26"/>
      <c r="R1245" s="26"/>
      <c r="S1245" s="26"/>
      <c r="T1245" s="26"/>
      <c r="U1245" s="26"/>
      <c r="V1245" s="26"/>
      <c r="W1245" s="26"/>
      <c r="X1245" s="26"/>
    </row>
    <row r="1246" hidden="1">
      <c r="A1246" s="10" t="s">
        <v>427</v>
      </c>
      <c r="B1246" s="10" t="s">
        <v>3962</v>
      </c>
      <c r="C1246" s="27" t="s">
        <v>3963</v>
      </c>
      <c r="D1246" s="10" t="s">
        <v>3964</v>
      </c>
      <c r="E1246" s="28" t="s">
        <v>431</v>
      </c>
      <c r="F1246" s="23" t="s">
        <v>933</v>
      </c>
      <c r="G1246" s="23" t="s">
        <v>203</v>
      </c>
      <c r="H1246" s="23" t="s">
        <v>1115</v>
      </c>
      <c r="I1246" s="32"/>
      <c r="J1246" s="23" t="s">
        <v>6</v>
      </c>
      <c r="K1246" s="23" t="str">
        <f t="shared" si="1"/>
        <v>678009</v>
      </c>
      <c r="L1246" s="23"/>
      <c r="M1246" s="26"/>
      <c r="N1246" s="26"/>
      <c r="O1246" s="26"/>
      <c r="P1246" s="26"/>
      <c r="Q1246" s="26"/>
      <c r="R1246" s="26"/>
      <c r="S1246" s="26"/>
      <c r="T1246" s="26"/>
      <c r="U1246" s="26"/>
      <c r="V1246" s="26"/>
      <c r="W1246" s="26"/>
      <c r="X1246" s="26"/>
    </row>
    <row r="1247" hidden="1">
      <c r="A1247" s="10" t="s">
        <v>427</v>
      </c>
      <c r="B1247" s="10" t="s">
        <v>3965</v>
      </c>
      <c r="C1247" s="27" t="s">
        <v>3966</v>
      </c>
      <c r="D1247" s="10" t="s">
        <v>3967</v>
      </c>
      <c r="E1247" s="28" t="s">
        <v>418</v>
      </c>
      <c r="F1247" s="23" t="s">
        <v>419</v>
      </c>
      <c r="G1247" s="23" t="s">
        <v>521</v>
      </c>
      <c r="H1247" s="23" t="s">
        <v>1115</v>
      </c>
      <c r="I1247" s="32"/>
      <c r="J1247" s="23" t="s">
        <v>6</v>
      </c>
      <c r="K1247" s="23" t="str">
        <f t="shared" si="1"/>
        <v>631264</v>
      </c>
      <c r="L1247" s="23"/>
      <c r="M1247" s="26"/>
      <c r="N1247" s="26"/>
      <c r="O1247" s="26"/>
      <c r="P1247" s="26"/>
      <c r="Q1247" s="26"/>
      <c r="R1247" s="26"/>
      <c r="S1247" s="26"/>
      <c r="T1247" s="26"/>
      <c r="U1247" s="26"/>
      <c r="V1247" s="26"/>
      <c r="W1247" s="26"/>
      <c r="X1247" s="26"/>
    </row>
    <row r="1248" hidden="1">
      <c r="A1248" s="10" t="s">
        <v>427</v>
      </c>
      <c r="B1248" s="10" t="s">
        <v>3968</v>
      </c>
      <c r="C1248" s="27" t="s">
        <v>3969</v>
      </c>
      <c r="D1248" s="10" t="s">
        <v>3970</v>
      </c>
      <c r="E1248" s="28" t="s">
        <v>534</v>
      </c>
      <c r="F1248" s="23" t="s">
        <v>1242</v>
      </c>
      <c r="G1248" s="23" t="s">
        <v>521</v>
      </c>
      <c r="H1248" s="23" t="s">
        <v>1115</v>
      </c>
      <c r="I1248" s="32"/>
      <c r="J1248" s="23" t="s">
        <v>6</v>
      </c>
      <c r="K1248" s="23" t="str">
        <f t="shared" si="1"/>
        <v>690414</v>
      </c>
      <c r="L1248" s="23"/>
      <c r="M1248" s="26"/>
      <c r="N1248" s="26"/>
      <c r="O1248" s="26"/>
      <c r="P1248" s="26"/>
      <c r="Q1248" s="26"/>
      <c r="R1248" s="26"/>
      <c r="S1248" s="26"/>
      <c r="T1248" s="26"/>
      <c r="U1248" s="26"/>
      <c r="V1248" s="26"/>
      <c r="W1248" s="26"/>
      <c r="X1248" s="26"/>
    </row>
    <row r="1249" hidden="1">
      <c r="A1249" s="10" t="s">
        <v>190</v>
      </c>
      <c r="B1249" s="10" t="s">
        <v>3971</v>
      </c>
      <c r="C1249" s="27" t="s">
        <v>3972</v>
      </c>
      <c r="D1249" s="10" t="s">
        <v>3973</v>
      </c>
      <c r="E1249" s="28" t="s">
        <v>194</v>
      </c>
      <c r="F1249" s="23" t="s">
        <v>195</v>
      </c>
      <c r="G1249" s="23" t="s">
        <v>203</v>
      </c>
      <c r="H1249" s="23" t="s">
        <v>3974</v>
      </c>
      <c r="I1249" s="32"/>
      <c r="J1249" s="23" t="s">
        <v>238</v>
      </c>
      <c r="K1249" s="23" t="str">
        <f t="shared" si="1"/>
        <v>632223</v>
      </c>
      <c r="L1249" s="23"/>
      <c r="M1249" s="26"/>
      <c r="N1249" s="26"/>
      <c r="O1249" s="26"/>
      <c r="P1249" s="26"/>
      <c r="Q1249" s="26"/>
      <c r="R1249" s="26"/>
      <c r="S1249" s="26"/>
      <c r="T1249" s="26"/>
      <c r="U1249" s="26"/>
      <c r="V1249" s="26"/>
      <c r="W1249" s="26"/>
      <c r="X1249" s="26"/>
    </row>
    <row r="1250" hidden="1">
      <c r="A1250" s="10" t="s">
        <v>190</v>
      </c>
      <c r="B1250" s="10" t="s">
        <v>3975</v>
      </c>
      <c r="C1250" s="27" t="s">
        <v>3976</v>
      </c>
      <c r="D1250" s="10" t="s">
        <v>3977</v>
      </c>
      <c r="E1250" s="28" t="s">
        <v>194</v>
      </c>
      <c r="F1250" s="23" t="s">
        <v>195</v>
      </c>
      <c r="G1250" s="23" t="s">
        <v>203</v>
      </c>
      <c r="H1250" s="23" t="s">
        <v>3974</v>
      </c>
      <c r="I1250" s="32"/>
      <c r="J1250" s="23" t="s">
        <v>238</v>
      </c>
      <c r="K1250" s="23" t="str">
        <f t="shared" si="1"/>
        <v>631486</v>
      </c>
      <c r="L1250" s="23"/>
      <c r="M1250" s="26"/>
      <c r="N1250" s="26"/>
      <c r="O1250" s="26"/>
      <c r="P1250" s="26"/>
      <c r="Q1250" s="26"/>
      <c r="R1250" s="26"/>
      <c r="S1250" s="26"/>
      <c r="T1250" s="26"/>
      <c r="U1250" s="26"/>
      <c r="V1250" s="26"/>
      <c r="W1250" s="26"/>
      <c r="X1250" s="26"/>
    </row>
    <row r="1251" hidden="1">
      <c r="A1251" s="10" t="s">
        <v>190</v>
      </c>
      <c r="B1251" s="10" t="s">
        <v>3978</v>
      </c>
      <c r="C1251" s="27" t="s">
        <v>3979</v>
      </c>
      <c r="D1251" s="10" t="s">
        <v>3980</v>
      </c>
      <c r="E1251" s="28" t="s">
        <v>194</v>
      </c>
      <c r="F1251" s="23" t="s">
        <v>195</v>
      </c>
      <c r="G1251" s="23" t="s">
        <v>203</v>
      </c>
      <c r="H1251" s="23" t="s">
        <v>3974</v>
      </c>
      <c r="I1251" s="32"/>
      <c r="J1251" s="23" t="s">
        <v>238</v>
      </c>
      <c r="K1251" s="23" t="str">
        <f t="shared" si="1"/>
        <v>632315</v>
      </c>
      <c r="L1251" s="23"/>
      <c r="M1251" s="26"/>
      <c r="N1251" s="26"/>
      <c r="O1251" s="26"/>
      <c r="P1251" s="26"/>
      <c r="Q1251" s="26"/>
      <c r="R1251" s="26"/>
      <c r="S1251" s="26"/>
      <c r="T1251" s="26"/>
      <c r="U1251" s="26"/>
      <c r="V1251" s="26"/>
      <c r="W1251" s="26"/>
      <c r="X1251" s="26"/>
    </row>
    <row r="1252" hidden="1">
      <c r="A1252" s="10" t="s">
        <v>190</v>
      </c>
      <c r="B1252" s="10" t="s">
        <v>3981</v>
      </c>
      <c r="C1252" s="27" t="s">
        <v>3982</v>
      </c>
      <c r="D1252" s="10" t="s">
        <v>3983</v>
      </c>
      <c r="E1252" s="28" t="s">
        <v>194</v>
      </c>
      <c r="F1252" s="23" t="s">
        <v>195</v>
      </c>
      <c r="G1252" s="23" t="s">
        <v>203</v>
      </c>
      <c r="H1252" s="23" t="s">
        <v>3974</v>
      </c>
      <c r="I1252" s="32"/>
      <c r="J1252" s="23" t="s">
        <v>229</v>
      </c>
      <c r="K1252" s="23" t="str">
        <f t="shared" si="1"/>
        <v>620428</v>
      </c>
      <c r="L1252" s="23"/>
      <c r="M1252" s="26"/>
      <c r="N1252" s="26"/>
      <c r="O1252" s="26"/>
      <c r="P1252" s="26"/>
      <c r="Q1252" s="26"/>
      <c r="R1252" s="26"/>
      <c r="S1252" s="26"/>
      <c r="T1252" s="26"/>
      <c r="U1252" s="26"/>
      <c r="V1252" s="26"/>
      <c r="W1252" s="26"/>
      <c r="X1252" s="26"/>
    </row>
    <row r="1253" hidden="1">
      <c r="A1253" s="10" t="s">
        <v>190</v>
      </c>
      <c r="B1253" s="10" t="s">
        <v>3984</v>
      </c>
      <c r="C1253" s="27" t="s">
        <v>3985</v>
      </c>
      <c r="D1253" s="10" t="s">
        <v>3986</v>
      </c>
      <c r="E1253" s="28" t="s">
        <v>194</v>
      </c>
      <c r="F1253" s="23" t="s">
        <v>195</v>
      </c>
      <c r="G1253" s="23" t="s">
        <v>203</v>
      </c>
      <c r="H1253" s="23" t="s">
        <v>3974</v>
      </c>
      <c r="I1253" s="32"/>
      <c r="J1253" s="23" t="s">
        <v>238</v>
      </c>
      <c r="K1253" s="23" t="str">
        <f t="shared" si="1"/>
        <v>632216</v>
      </c>
      <c r="L1253" s="23"/>
      <c r="M1253" s="26"/>
      <c r="N1253" s="26"/>
      <c r="O1253" s="26"/>
      <c r="P1253" s="26"/>
      <c r="Q1253" s="26"/>
      <c r="R1253" s="26"/>
      <c r="S1253" s="26"/>
      <c r="T1253" s="26"/>
      <c r="U1253" s="26"/>
      <c r="V1253" s="26"/>
      <c r="W1253" s="26"/>
      <c r="X1253" s="26"/>
    </row>
    <row r="1254" hidden="1">
      <c r="A1254" s="10" t="s">
        <v>190</v>
      </c>
      <c r="B1254" s="10" t="s">
        <v>3987</v>
      </c>
      <c r="C1254" s="27" t="s">
        <v>3988</v>
      </c>
      <c r="D1254" s="10" t="s">
        <v>3989</v>
      </c>
      <c r="E1254" s="28" t="s">
        <v>194</v>
      </c>
      <c r="F1254" s="23" t="s">
        <v>195</v>
      </c>
      <c r="G1254" s="23" t="s">
        <v>203</v>
      </c>
      <c r="H1254" s="23" t="s">
        <v>3974</v>
      </c>
      <c r="I1254" s="32"/>
      <c r="J1254" s="23" t="s">
        <v>238</v>
      </c>
      <c r="K1254" s="23" t="str">
        <f t="shared" si="1"/>
        <v>631493</v>
      </c>
      <c r="L1254" s="23"/>
      <c r="M1254" s="26"/>
      <c r="N1254" s="26"/>
      <c r="O1254" s="26"/>
      <c r="P1254" s="26"/>
      <c r="Q1254" s="26"/>
      <c r="R1254" s="26"/>
      <c r="S1254" s="26"/>
      <c r="T1254" s="26"/>
      <c r="U1254" s="26"/>
      <c r="V1254" s="26"/>
      <c r="W1254" s="26"/>
      <c r="X1254" s="26"/>
    </row>
    <row r="1255" hidden="1">
      <c r="A1255" s="10" t="s">
        <v>190</v>
      </c>
      <c r="B1255" s="10" t="s">
        <v>3990</v>
      </c>
      <c r="C1255" s="27" t="s">
        <v>3991</v>
      </c>
      <c r="D1255" s="10" t="s">
        <v>3992</v>
      </c>
      <c r="E1255" s="28" t="s">
        <v>194</v>
      </c>
      <c r="F1255" s="23" t="s">
        <v>195</v>
      </c>
      <c r="G1255" s="23" t="s">
        <v>203</v>
      </c>
      <c r="H1255" s="23" t="s">
        <v>3974</v>
      </c>
      <c r="I1255" s="32"/>
      <c r="J1255" s="23" t="s">
        <v>229</v>
      </c>
      <c r="K1255" s="23" t="str">
        <f t="shared" si="1"/>
        <v>631769</v>
      </c>
      <c r="L1255" s="23"/>
      <c r="M1255" s="26"/>
      <c r="N1255" s="26"/>
      <c r="O1255" s="26"/>
      <c r="P1255" s="26"/>
      <c r="Q1255" s="26"/>
      <c r="R1255" s="26"/>
      <c r="S1255" s="26"/>
      <c r="T1255" s="26"/>
      <c r="U1255" s="26"/>
      <c r="V1255" s="26"/>
      <c r="W1255" s="26"/>
      <c r="X1255" s="26"/>
    </row>
    <row r="1256" hidden="1">
      <c r="A1256" s="10" t="s">
        <v>190</v>
      </c>
      <c r="B1256" s="10" t="s">
        <v>3993</v>
      </c>
      <c r="C1256" s="27" t="s">
        <v>3994</v>
      </c>
      <c r="D1256" s="10" t="s">
        <v>3995</v>
      </c>
      <c r="E1256" s="28" t="s">
        <v>194</v>
      </c>
      <c r="F1256" s="23" t="s">
        <v>195</v>
      </c>
      <c r="G1256" s="23" t="s">
        <v>203</v>
      </c>
      <c r="H1256" s="23" t="s">
        <v>293</v>
      </c>
      <c r="I1256" s="23" t="s">
        <v>3996</v>
      </c>
      <c r="J1256" s="23" t="s">
        <v>229</v>
      </c>
      <c r="K1256" s="23" t="str">
        <f t="shared" si="1"/>
        <v>635101</v>
      </c>
      <c r="L1256" s="23"/>
      <c r="M1256" s="26"/>
      <c r="N1256" s="26"/>
      <c r="O1256" s="26"/>
      <c r="P1256" s="26"/>
      <c r="Q1256" s="26"/>
      <c r="R1256" s="26"/>
      <c r="S1256" s="26"/>
      <c r="T1256" s="26"/>
      <c r="U1256" s="26"/>
      <c r="V1256" s="26"/>
      <c r="W1256" s="26"/>
      <c r="X1256" s="26"/>
    </row>
    <row r="1257" hidden="1">
      <c r="A1257" s="10" t="s">
        <v>190</v>
      </c>
      <c r="B1257" s="10" t="s">
        <v>3997</v>
      </c>
      <c r="C1257" s="27" t="s">
        <v>3998</v>
      </c>
      <c r="D1257" s="10" t="s">
        <v>3999</v>
      </c>
      <c r="E1257" s="28" t="s">
        <v>194</v>
      </c>
      <c r="F1257" s="23" t="s">
        <v>195</v>
      </c>
      <c r="G1257" s="23" t="s">
        <v>203</v>
      </c>
      <c r="H1257" s="23" t="s">
        <v>293</v>
      </c>
      <c r="I1257" s="23" t="s">
        <v>3996</v>
      </c>
      <c r="J1257" s="23" t="s">
        <v>198</v>
      </c>
      <c r="K1257" s="23" t="str">
        <f t="shared" si="1"/>
        <v>691053</v>
      </c>
      <c r="L1257" s="23"/>
      <c r="M1257" s="26"/>
      <c r="N1257" s="26"/>
      <c r="O1257" s="26"/>
      <c r="P1257" s="26"/>
      <c r="Q1257" s="26"/>
      <c r="R1257" s="26"/>
      <c r="S1257" s="26"/>
      <c r="T1257" s="26"/>
      <c r="U1257" s="26"/>
      <c r="V1257" s="26"/>
      <c r="W1257" s="26"/>
      <c r="X1257" s="26"/>
    </row>
    <row r="1258" hidden="1">
      <c r="A1258" s="10" t="s">
        <v>190</v>
      </c>
      <c r="B1258" s="10" t="s">
        <v>4000</v>
      </c>
      <c r="C1258" s="27" t="s">
        <v>4001</v>
      </c>
      <c r="D1258" s="10" t="s">
        <v>4002</v>
      </c>
      <c r="E1258" s="28" t="s">
        <v>194</v>
      </c>
      <c r="F1258" s="23" t="s">
        <v>195</v>
      </c>
      <c r="G1258" s="23" t="s">
        <v>203</v>
      </c>
      <c r="H1258" s="23" t="s">
        <v>293</v>
      </c>
      <c r="I1258" s="23" t="s">
        <v>1264</v>
      </c>
      <c r="J1258" s="23" t="s">
        <v>229</v>
      </c>
      <c r="K1258" s="23" t="str">
        <f t="shared" si="1"/>
        <v>681290</v>
      </c>
      <c r="L1258" s="23"/>
      <c r="M1258" s="26"/>
      <c r="N1258" s="26"/>
      <c r="O1258" s="26"/>
      <c r="P1258" s="26"/>
      <c r="Q1258" s="26"/>
      <c r="R1258" s="26"/>
      <c r="S1258" s="26"/>
      <c r="T1258" s="26"/>
      <c r="U1258" s="26"/>
      <c r="V1258" s="26"/>
      <c r="W1258" s="26"/>
      <c r="X1258" s="26"/>
    </row>
    <row r="1259" hidden="1">
      <c r="A1259" s="10" t="s">
        <v>190</v>
      </c>
      <c r="B1259" s="10" t="s">
        <v>4003</v>
      </c>
      <c r="C1259" s="27" t="s">
        <v>4004</v>
      </c>
      <c r="D1259" s="10" t="s">
        <v>4005</v>
      </c>
      <c r="E1259" s="28" t="s">
        <v>194</v>
      </c>
      <c r="F1259" s="23" t="s">
        <v>195</v>
      </c>
      <c r="G1259" s="23" t="s">
        <v>203</v>
      </c>
      <c r="H1259" s="23" t="s">
        <v>293</v>
      </c>
      <c r="I1259" s="23" t="s">
        <v>3996</v>
      </c>
      <c r="J1259" s="23" t="s">
        <v>198</v>
      </c>
      <c r="K1259" s="23" t="str">
        <f t="shared" si="1"/>
        <v>664125</v>
      </c>
      <c r="L1259" s="23"/>
      <c r="M1259" s="26"/>
      <c r="N1259" s="26"/>
      <c r="O1259" s="26"/>
      <c r="P1259" s="26"/>
      <c r="Q1259" s="26"/>
      <c r="R1259" s="26"/>
      <c r="S1259" s="26"/>
      <c r="T1259" s="26"/>
      <c r="U1259" s="26"/>
      <c r="V1259" s="26"/>
      <c r="W1259" s="26"/>
      <c r="X1259" s="26"/>
    </row>
    <row r="1260" hidden="1">
      <c r="A1260" s="10" t="s">
        <v>190</v>
      </c>
      <c r="B1260" s="10" t="s">
        <v>4006</v>
      </c>
      <c r="C1260" s="27" t="s">
        <v>4007</v>
      </c>
      <c r="D1260" s="10" t="s">
        <v>4008</v>
      </c>
      <c r="E1260" s="28" t="s">
        <v>194</v>
      </c>
      <c r="F1260" s="23" t="s">
        <v>195</v>
      </c>
      <c r="G1260" s="23" t="s">
        <v>203</v>
      </c>
      <c r="H1260" s="23" t="s">
        <v>293</v>
      </c>
      <c r="I1260" s="23" t="s">
        <v>1264</v>
      </c>
      <c r="J1260" s="23" t="s">
        <v>198</v>
      </c>
      <c r="K1260" s="23" t="str">
        <f t="shared" si="1"/>
        <v>681276</v>
      </c>
      <c r="L1260" s="23"/>
      <c r="M1260" s="26"/>
      <c r="N1260" s="26"/>
      <c r="O1260" s="26"/>
      <c r="P1260" s="26"/>
      <c r="Q1260" s="26"/>
      <c r="R1260" s="26"/>
      <c r="S1260" s="26"/>
      <c r="T1260" s="26"/>
      <c r="U1260" s="26"/>
      <c r="V1260" s="26"/>
      <c r="W1260" s="26"/>
      <c r="X1260" s="26"/>
    </row>
    <row r="1261" hidden="1">
      <c r="A1261" s="10" t="s">
        <v>499</v>
      </c>
      <c r="B1261" s="10" t="s">
        <v>4009</v>
      </c>
      <c r="C1261" s="27" t="s">
        <v>4010</v>
      </c>
      <c r="D1261" s="10" t="s">
        <v>4011</v>
      </c>
      <c r="E1261" s="28" t="s">
        <v>194</v>
      </c>
      <c r="F1261" s="23" t="s">
        <v>195</v>
      </c>
      <c r="G1261" s="23" t="s">
        <v>203</v>
      </c>
      <c r="H1261" s="23" t="s">
        <v>293</v>
      </c>
      <c r="I1261" s="32"/>
      <c r="J1261" s="23" t="s">
        <v>6</v>
      </c>
      <c r="K1261" s="23" t="str">
        <f t="shared" si="1"/>
        <v>635095</v>
      </c>
      <c r="L1261" s="23"/>
      <c r="M1261" s="26"/>
      <c r="N1261" s="26"/>
      <c r="O1261" s="26"/>
      <c r="P1261" s="26"/>
      <c r="Q1261" s="26"/>
      <c r="R1261" s="26"/>
      <c r="S1261" s="26"/>
      <c r="T1261" s="26"/>
      <c r="U1261" s="26"/>
      <c r="V1261" s="26"/>
      <c r="W1261" s="26"/>
      <c r="X1261" s="26"/>
    </row>
    <row r="1262" hidden="1">
      <c r="A1262" s="10" t="s">
        <v>499</v>
      </c>
      <c r="B1262" s="10" t="s">
        <v>4012</v>
      </c>
      <c r="C1262" s="27" t="s">
        <v>4013</v>
      </c>
      <c r="D1262" s="10" t="s">
        <v>4014</v>
      </c>
      <c r="E1262" s="28" t="s">
        <v>194</v>
      </c>
      <c r="F1262" s="23" t="s">
        <v>195</v>
      </c>
      <c r="G1262" s="23" t="s">
        <v>203</v>
      </c>
      <c r="H1262" s="23" t="s">
        <v>293</v>
      </c>
      <c r="I1262" s="32"/>
      <c r="J1262" s="23" t="s">
        <v>6</v>
      </c>
      <c r="K1262" s="23" t="str">
        <f t="shared" si="1"/>
        <v>607986</v>
      </c>
      <c r="L1262" s="23"/>
      <c r="M1262" s="26"/>
      <c r="N1262" s="26"/>
      <c r="O1262" s="26"/>
      <c r="P1262" s="26"/>
      <c r="Q1262" s="26"/>
      <c r="R1262" s="26"/>
      <c r="S1262" s="26"/>
      <c r="T1262" s="26"/>
      <c r="U1262" s="26"/>
      <c r="V1262" s="26"/>
      <c r="W1262" s="26"/>
      <c r="X1262" s="26"/>
    </row>
    <row r="1263" hidden="1">
      <c r="A1263" s="10" t="s">
        <v>499</v>
      </c>
      <c r="B1263" s="10" t="s">
        <v>4015</v>
      </c>
      <c r="C1263" s="27" t="s">
        <v>4016</v>
      </c>
      <c r="D1263" s="10" t="s">
        <v>4014</v>
      </c>
      <c r="E1263" s="28" t="s">
        <v>194</v>
      </c>
      <c r="F1263" s="23" t="s">
        <v>195</v>
      </c>
      <c r="G1263" s="23" t="s">
        <v>203</v>
      </c>
      <c r="H1263" s="23" t="s">
        <v>293</v>
      </c>
      <c r="I1263" s="32"/>
      <c r="J1263" s="23" t="s">
        <v>6</v>
      </c>
      <c r="K1263" s="23" t="str">
        <f t="shared" si="1"/>
        <v>614021</v>
      </c>
      <c r="L1263" s="23"/>
      <c r="M1263" s="26"/>
      <c r="N1263" s="26"/>
      <c r="O1263" s="26"/>
      <c r="P1263" s="26"/>
      <c r="Q1263" s="26"/>
      <c r="R1263" s="26"/>
      <c r="S1263" s="26"/>
      <c r="T1263" s="26"/>
      <c r="U1263" s="26"/>
      <c r="V1263" s="26"/>
      <c r="W1263" s="26"/>
      <c r="X1263" s="26"/>
    </row>
    <row r="1264" hidden="1">
      <c r="A1264" s="10" t="s">
        <v>499</v>
      </c>
      <c r="B1264" s="10" t="s">
        <v>4017</v>
      </c>
      <c r="C1264" s="27" t="s">
        <v>4018</v>
      </c>
      <c r="D1264" s="10" t="s">
        <v>4019</v>
      </c>
      <c r="E1264" s="28" t="s">
        <v>194</v>
      </c>
      <c r="F1264" s="23" t="s">
        <v>195</v>
      </c>
      <c r="G1264" s="23" t="s">
        <v>203</v>
      </c>
      <c r="H1264" s="23" t="s">
        <v>293</v>
      </c>
      <c r="I1264" s="32"/>
      <c r="J1264" s="23" t="s">
        <v>6</v>
      </c>
      <c r="K1264" s="23" t="str">
        <f t="shared" si="1"/>
        <v>608013</v>
      </c>
      <c r="L1264" s="23"/>
      <c r="M1264" s="26"/>
      <c r="N1264" s="26"/>
      <c r="O1264" s="26"/>
      <c r="P1264" s="26"/>
      <c r="Q1264" s="26"/>
      <c r="R1264" s="26"/>
      <c r="S1264" s="26"/>
      <c r="T1264" s="26"/>
      <c r="U1264" s="26"/>
      <c r="V1264" s="26"/>
      <c r="W1264" s="26"/>
      <c r="X1264" s="26"/>
    </row>
    <row r="1265" hidden="1">
      <c r="A1265" s="10" t="s">
        <v>499</v>
      </c>
      <c r="B1265" s="10" t="s">
        <v>4020</v>
      </c>
      <c r="C1265" s="27" t="s">
        <v>4021</v>
      </c>
      <c r="D1265" s="10" t="s">
        <v>4022</v>
      </c>
      <c r="E1265" s="28" t="s">
        <v>194</v>
      </c>
      <c r="F1265" s="23" t="s">
        <v>195</v>
      </c>
      <c r="G1265" s="23" t="s">
        <v>203</v>
      </c>
      <c r="H1265" s="23" t="s">
        <v>293</v>
      </c>
      <c r="I1265" s="32"/>
      <c r="J1265" s="23" t="s">
        <v>6</v>
      </c>
      <c r="K1265" s="23" t="str">
        <f t="shared" si="1"/>
        <v>659145</v>
      </c>
      <c r="L1265" s="23"/>
      <c r="M1265" s="26"/>
      <c r="N1265" s="26"/>
      <c r="O1265" s="26"/>
      <c r="P1265" s="26"/>
      <c r="Q1265" s="26"/>
      <c r="R1265" s="26"/>
      <c r="S1265" s="26"/>
      <c r="T1265" s="26"/>
      <c r="U1265" s="26"/>
      <c r="V1265" s="26"/>
      <c r="W1265" s="26"/>
      <c r="X1265" s="26"/>
    </row>
    <row r="1266" hidden="1">
      <c r="A1266" s="10" t="s">
        <v>499</v>
      </c>
      <c r="B1266" s="10" t="s">
        <v>4023</v>
      </c>
      <c r="C1266" s="27" t="s">
        <v>4024</v>
      </c>
      <c r="D1266" s="10" t="s">
        <v>4025</v>
      </c>
      <c r="E1266" s="28" t="s">
        <v>194</v>
      </c>
      <c r="F1266" s="23" t="s">
        <v>195</v>
      </c>
      <c r="G1266" s="23" t="s">
        <v>203</v>
      </c>
      <c r="H1266" s="23" t="s">
        <v>293</v>
      </c>
      <c r="I1266" s="32"/>
      <c r="J1266" s="23" t="s">
        <v>6</v>
      </c>
      <c r="K1266" s="23" t="str">
        <f t="shared" si="1"/>
        <v>662299</v>
      </c>
      <c r="L1266" s="23"/>
      <c r="M1266" s="26"/>
      <c r="N1266" s="26"/>
      <c r="O1266" s="26"/>
      <c r="P1266" s="26"/>
      <c r="Q1266" s="26"/>
      <c r="R1266" s="26"/>
      <c r="S1266" s="26"/>
      <c r="T1266" s="26"/>
      <c r="U1266" s="26"/>
      <c r="V1266" s="26"/>
      <c r="W1266" s="26"/>
      <c r="X1266" s="26"/>
    </row>
    <row r="1267" hidden="1">
      <c r="A1267" s="10" t="s">
        <v>499</v>
      </c>
      <c r="B1267" s="10" t="s">
        <v>4026</v>
      </c>
      <c r="C1267" s="27" t="s">
        <v>4027</v>
      </c>
      <c r="D1267" s="10" t="s">
        <v>4028</v>
      </c>
      <c r="E1267" s="28" t="s">
        <v>194</v>
      </c>
      <c r="F1267" s="23" t="s">
        <v>195</v>
      </c>
      <c r="G1267" s="23" t="s">
        <v>203</v>
      </c>
      <c r="H1267" s="23" t="s">
        <v>293</v>
      </c>
      <c r="I1267" s="32"/>
      <c r="J1267" s="23" t="s">
        <v>6</v>
      </c>
      <c r="K1267" s="23" t="str">
        <f t="shared" si="1"/>
        <v>662312</v>
      </c>
      <c r="L1267" s="23"/>
      <c r="M1267" s="26"/>
      <c r="N1267" s="26"/>
      <c r="O1267" s="26"/>
      <c r="P1267" s="26"/>
      <c r="Q1267" s="26"/>
      <c r="R1267" s="26"/>
      <c r="S1267" s="26"/>
      <c r="T1267" s="26"/>
      <c r="U1267" s="26"/>
      <c r="V1267" s="26"/>
      <c r="W1267" s="26"/>
      <c r="X1267" s="26"/>
    </row>
    <row r="1268" hidden="1">
      <c r="A1268" s="10" t="s">
        <v>499</v>
      </c>
      <c r="B1268" s="10" t="s">
        <v>4029</v>
      </c>
      <c r="C1268" s="27" t="s">
        <v>4030</v>
      </c>
      <c r="D1268" s="10" t="s">
        <v>4031</v>
      </c>
      <c r="E1268" s="28" t="s">
        <v>194</v>
      </c>
      <c r="F1268" s="23" t="s">
        <v>195</v>
      </c>
      <c r="G1268" s="23" t="s">
        <v>203</v>
      </c>
      <c r="H1268" s="23" t="s">
        <v>293</v>
      </c>
      <c r="I1268" s="32"/>
      <c r="J1268" s="23" t="s">
        <v>6</v>
      </c>
      <c r="K1268" s="23" t="str">
        <f t="shared" si="1"/>
        <v>662336</v>
      </c>
      <c r="L1268" s="23"/>
      <c r="M1268" s="26"/>
      <c r="N1268" s="26"/>
      <c r="O1268" s="26"/>
      <c r="P1268" s="26"/>
      <c r="Q1268" s="26"/>
      <c r="R1268" s="26"/>
      <c r="S1268" s="26"/>
      <c r="T1268" s="26"/>
      <c r="U1268" s="26"/>
      <c r="V1268" s="26"/>
      <c r="W1268" s="26"/>
      <c r="X1268" s="26"/>
    </row>
    <row r="1269" hidden="1">
      <c r="A1269" s="10" t="s">
        <v>499</v>
      </c>
      <c r="B1269" s="10" t="s">
        <v>4032</v>
      </c>
      <c r="C1269" s="27" t="s">
        <v>4033</v>
      </c>
      <c r="D1269" s="10" t="s">
        <v>4034</v>
      </c>
      <c r="E1269" s="28" t="s">
        <v>194</v>
      </c>
      <c r="F1269" s="23" t="s">
        <v>195</v>
      </c>
      <c r="G1269" s="23" t="s">
        <v>203</v>
      </c>
      <c r="H1269" s="23" t="s">
        <v>293</v>
      </c>
      <c r="I1269" s="32"/>
      <c r="J1269" s="23" t="s">
        <v>6</v>
      </c>
      <c r="K1269" s="23" t="str">
        <f t="shared" si="1"/>
        <v>605289</v>
      </c>
      <c r="L1269" s="23"/>
      <c r="M1269" s="26"/>
      <c r="N1269" s="26"/>
      <c r="O1269" s="26"/>
      <c r="P1269" s="26"/>
      <c r="Q1269" s="26"/>
      <c r="R1269" s="26"/>
      <c r="S1269" s="26"/>
      <c r="T1269" s="26"/>
      <c r="U1269" s="26"/>
      <c r="V1269" s="26"/>
      <c r="W1269" s="26"/>
      <c r="X1269" s="26"/>
    </row>
    <row r="1270" hidden="1">
      <c r="A1270" s="10" t="s">
        <v>499</v>
      </c>
      <c r="B1270" s="10" t="s">
        <v>4035</v>
      </c>
      <c r="C1270" s="27" t="s">
        <v>4036</v>
      </c>
      <c r="D1270" s="10" t="s">
        <v>4037</v>
      </c>
      <c r="E1270" s="28" t="s">
        <v>194</v>
      </c>
      <c r="F1270" s="23" t="s">
        <v>195</v>
      </c>
      <c r="G1270" s="23" t="s">
        <v>203</v>
      </c>
      <c r="H1270" s="23" t="s">
        <v>293</v>
      </c>
      <c r="I1270" s="32"/>
      <c r="J1270" s="23" t="s">
        <v>6</v>
      </c>
      <c r="K1270" s="23" t="str">
        <f t="shared" si="1"/>
        <v>611808</v>
      </c>
      <c r="L1270" s="23"/>
      <c r="M1270" s="26"/>
      <c r="N1270" s="26"/>
      <c r="O1270" s="26"/>
      <c r="P1270" s="26"/>
      <c r="Q1270" s="26"/>
      <c r="R1270" s="26"/>
      <c r="S1270" s="26"/>
      <c r="T1270" s="26"/>
      <c r="U1270" s="26"/>
      <c r="V1270" s="26"/>
      <c r="W1270" s="26"/>
      <c r="X1270" s="26"/>
    </row>
    <row r="1271" hidden="1">
      <c r="A1271" s="10" t="s">
        <v>499</v>
      </c>
      <c r="B1271" s="10" t="s">
        <v>4038</v>
      </c>
      <c r="C1271" s="27" t="s">
        <v>4039</v>
      </c>
      <c r="D1271" s="10" t="s">
        <v>4040</v>
      </c>
      <c r="E1271" s="28" t="s">
        <v>194</v>
      </c>
      <c r="F1271" s="23" t="s">
        <v>195</v>
      </c>
      <c r="G1271" s="23" t="s">
        <v>203</v>
      </c>
      <c r="H1271" s="23" t="s">
        <v>293</v>
      </c>
      <c r="I1271" s="32"/>
      <c r="J1271" s="23" t="s">
        <v>6</v>
      </c>
      <c r="K1271" s="23" t="str">
        <f t="shared" si="1"/>
        <v>605326</v>
      </c>
      <c r="L1271" s="23"/>
      <c r="M1271" s="26"/>
      <c r="N1271" s="26"/>
      <c r="O1271" s="26"/>
      <c r="P1271" s="26"/>
      <c r="Q1271" s="26"/>
      <c r="R1271" s="26"/>
      <c r="S1271" s="26"/>
      <c r="T1271" s="26"/>
      <c r="U1271" s="26"/>
      <c r="V1271" s="26"/>
      <c r="W1271" s="26"/>
      <c r="X1271" s="26"/>
    </row>
    <row r="1272" hidden="1">
      <c r="A1272" s="10" t="s">
        <v>499</v>
      </c>
      <c r="B1272" s="10" t="s">
        <v>4041</v>
      </c>
      <c r="C1272" s="27" t="s">
        <v>4042</v>
      </c>
      <c r="D1272" s="10" t="s">
        <v>4043</v>
      </c>
      <c r="E1272" s="28" t="s">
        <v>194</v>
      </c>
      <c r="F1272" s="23" t="s">
        <v>195</v>
      </c>
      <c r="G1272" s="23" t="s">
        <v>203</v>
      </c>
      <c r="H1272" s="23" t="s">
        <v>293</v>
      </c>
      <c r="I1272" s="32"/>
      <c r="J1272" s="23" t="s">
        <v>6</v>
      </c>
      <c r="K1272" s="23" t="str">
        <f t="shared" si="1"/>
        <v>604954</v>
      </c>
      <c r="L1272" s="23"/>
      <c r="M1272" s="26"/>
      <c r="N1272" s="26"/>
      <c r="O1272" s="26"/>
      <c r="P1272" s="26"/>
      <c r="Q1272" s="26"/>
      <c r="R1272" s="26"/>
      <c r="S1272" s="26"/>
      <c r="T1272" s="26"/>
      <c r="U1272" s="26"/>
      <c r="V1272" s="26"/>
      <c r="W1272" s="26"/>
      <c r="X1272" s="26"/>
    </row>
    <row r="1273" hidden="1">
      <c r="A1273" s="10" t="s">
        <v>499</v>
      </c>
      <c r="B1273" s="10" t="s">
        <v>4044</v>
      </c>
      <c r="C1273" s="27" t="s">
        <v>4045</v>
      </c>
      <c r="D1273" s="10" t="s">
        <v>4046</v>
      </c>
      <c r="E1273" s="28" t="s">
        <v>194</v>
      </c>
      <c r="F1273" s="23" t="s">
        <v>195</v>
      </c>
      <c r="G1273" s="23" t="s">
        <v>203</v>
      </c>
      <c r="H1273" s="23" t="s">
        <v>293</v>
      </c>
      <c r="I1273" s="32"/>
      <c r="J1273" s="23" t="s">
        <v>6</v>
      </c>
      <c r="K1273" s="23" t="str">
        <f t="shared" si="1"/>
        <v>604961</v>
      </c>
      <c r="L1273" s="23"/>
      <c r="M1273" s="23"/>
      <c r="N1273" s="23"/>
      <c r="O1273" s="23"/>
      <c r="P1273" s="23"/>
      <c r="Q1273" s="23"/>
      <c r="R1273" s="23"/>
      <c r="S1273" s="23"/>
      <c r="T1273" s="23"/>
      <c r="U1273" s="23"/>
      <c r="V1273" s="23"/>
      <c r="W1273" s="23"/>
      <c r="X1273" s="23"/>
    </row>
    <row r="1274" hidden="1">
      <c r="A1274" s="10" t="s">
        <v>499</v>
      </c>
      <c r="B1274" s="10" t="s">
        <v>4047</v>
      </c>
      <c r="C1274" s="27" t="s">
        <v>4048</v>
      </c>
      <c r="D1274" s="10" t="s">
        <v>4049</v>
      </c>
      <c r="E1274" s="28" t="s">
        <v>194</v>
      </c>
      <c r="F1274" s="23" t="s">
        <v>195</v>
      </c>
      <c r="G1274" s="23" t="s">
        <v>203</v>
      </c>
      <c r="H1274" s="23" t="s">
        <v>293</v>
      </c>
      <c r="I1274" s="32"/>
      <c r="J1274" s="23" t="s">
        <v>6</v>
      </c>
      <c r="K1274" s="23" t="str">
        <f t="shared" si="1"/>
        <v>605258</v>
      </c>
      <c r="L1274" s="23"/>
      <c r="M1274" s="23"/>
      <c r="N1274" s="23"/>
      <c r="O1274" s="23"/>
      <c r="P1274" s="23"/>
      <c r="Q1274" s="23"/>
      <c r="R1274" s="23"/>
      <c r="S1274" s="23"/>
      <c r="T1274" s="23"/>
      <c r="U1274" s="23"/>
      <c r="V1274" s="23"/>
      <c r="W1274" s="23"/>
      <c r="X1274" s="23"/>
    </row>
    <row r="1275" hidden="1">
      <c r="A1275" s="10" t="s">
        <v>499</v>
      </c>
      <c r="B1275" s="10" t="s">
        <v>4050</v>
      </c>
      <c r="C1275" s="27" t="s">
        <v>4051</v>
      </c>
      <c r="D1275" s="10" t="s">
        <v>4052</v>
      </c>
      <c r="E1275" s="28" t="s">
        <v>194</v>
      </c>
      <c r="F1275" s="23" t="s">
        <v>195</v>
      </c>
      <c r="G1275" s="23" t="s">
        <v>203</v>
      </c>
      <c r="H1275" s="23" t="s">
        <v>293</v>
      </c>
      <c r="I1275" s="32"/>
      <c r="J1275" s="23" t="s">
        <v>6</v>
      </c>
      <c r="K1275" s="23" t="str">
        <f t="shared" si="1"/>
        <v>605302</v>
      </c>
      <c r="L1275" s="23"/>
      <c r="M1275" s="23"/>
      <c r="N1275" s="23"/>
      <c r="O1275" s="23"/>
      <c r="P1275" s="23"/>
      <c r="Q1275" s="23"/>
      <c r="R1275" s="23"/>
      <c r="S1275" s="23"/>
      <c r="T1275" s="23"/>
      <c r="U1275" s="23"/>
      <c r="V1275" s="23"/>
      <c r="W1275" s="23"/>
      <c r="X1275" s="23"/>
    </row>
    <row r="1276" hidden="1">
      <c r="A1276" s="10" t="s">
        <v>499</v>
      </c>
      <c r="B1276" s="10" t="s">
        <v>4053</v>
      </c>
      <c r="C1276" s="27" t="s">
        <v>4054</v>
      </c>
      <c r="D1276" s="10" t="s">
        <v>4055</v>
      </c>
      <c r="E1276" s="28" t="s">
        <v>194</v>
      </c>
      <c r="F1276" s="23" t="s">
        <v>195</v>
      </c>
      <c r="G1276" s="23" t="s">
        <v>203</v>
      </c>
      <c r="H1276" s="23" t="s">
        <v>293</v>
      </c>
      <c r="I1276" s="32"/>
      <c r="J1276" s="23" t="s">
        <v>6</v>
      </c>
      <c r="K1276" s="23" t="str">
        <f t="shared" si="1"/>
        <v>603087</v>
      </c>
      <c r="L1276" s="23"/>
      <c r="M1276" s="26"/>
      <c r="N1276" s="26"/>
      <c r="O1276" s="26"/>
      <c r="P1276" s="26"/>
      <c r="Q1276" s="26"/>
      <c r="R1276" s="26"/>
      <c r="S1276" s="26"/>
      <c r="T1276" s="26"/>
      <c r="U1276" s="26"/>
      <c r="V1276" s="26"/>
      <c r="W1276" s="26"/>
      <c r="X1276" s="26"/>
    </row>
    <row r="1277" hidden="1">
      <c r="A1277" s="10" t="s">
        <v>499</v>
      </c>
      <c r="B1277" s="10" t="s">
        <v>4056</v>
      </c>
      <c r="C1277" s="27" t="s">
        <v>4057</v>
      </c>
      <c r="D1277" s="10" t="s">
        <v>4058</v>
      </c>
      <c r="E1277" s="28" t="s">
        <v>194</v>
      </c>
      <c r="F1277" s="23" t="s">
        <v>195</v>
      </c>
      <c r="G1277" s="23" t="s">
        <v>203</v>
      </c>
      <c r="H1277" s="23" t="s">
        <v>293</v>
      </c>
      <c r="I1277" s="32"/>
      <c r="J1277" s="23" t="s">
        <v>6</v>
      </c>
      <c r="K1277" s="23" t="str">
        <f t="shared" si="1"/>
        <v>605296</v>
      </c>
      <c r="L1277" s="23"/>
      <c r="M1277" s="26"/>
      <c r="N1277" s="26"/>
      <c r="O1277" s="26"/>
      <c r="P1277" s="26"/>
      <c r="Q1277" s="26"/>
      <c r="R1277" s="26"/>
      <c r="S1277" s="26"/>
      <c r="T1277" s="26"/>
      <c r="U1277" s="26"/>
      <c r="V1277" s="26"/>
      <c r="W1277" s="26"/>
      <c r="X1277" s="26"/>
    </row>
    <row r="1278" hidden="1">
      <c r="A1278" s="10" t="s">
        <v>499</v>
      </c>
      <c r="B1278" s="10" t="s">
        <v>4059</v>
      </c>
      <c r="C1278" s="27" t="s">
        <v>4060</v>
      </c>
      <c r="D1278" s="10" t="s">
        <v>4061</v>
      </c>
      <c r="E1278" s="28" t="s">
        <v>194</v>
      </c>
      <c r="F1278" s="23" t="s">
        <v>195</v>
      </c>
      <c r="G1278" s="23" t="s">
        <v>203</v>
      </c>
      <c r="H1278" s="23" t="s">
        <v>293</v>
      </c>
      <c r="I1278" s="32"/>
      <c r="J1278" s="23" t="s">
        <v>6</v>
      </c>
      <c r="K1278" s="23" t="str">
        <f t="shared" si="1"/>
        <v>611839</v>
      </c>
      <c r="L1278" s="23"/>
      <c r="M1278" s="26"/>
      <c r="N1278" s="26"/>
      <c r="O1278" s="26"/>
      <c r="P1278" s="26"/>
      <c r="Q1278" s="26"/>
      <c r="R1278" s="26"/>
      <c r="S1278" s="26"/>
      <c r="T1278" s="26"/>
      <c r="U1278" s="26"/>
      <c r="V1278" s="26"/>
      <c r="W1278" s="26"/>
      <c r="X1278" s="26"/>
    </row>
    <row r="1279" hidden="1">
      <c r="A1279" s="10" t="s">
        <v>499</v>
      </c>
      <c r="B1279" s="10" t="s">
        <v>4062</v>
      </c>
      <c r="C1279" s="27" t="s">
        <v>4063</v>
      </c>
      <c r="D1279" s="10" t="s">
        <v>4064</v>
      </c>
      <c r="E1279" s="28" t="s">
        <v>194</v>
      </c>
      <c r="F1279" s="23" t="s">
        <v>195</v>
      </c>
      <c r="G1279" s="23" t="s">
        <v>203</v>
      </c>
      <c r="H1279" s="23" t="s">
        <v>293</v>
      </c>
      <c r="I1279" s="32"/>
      <c r="J1279" s="23" t="s">
        <v>6</v>
      </c>
      <c r="K1279" s="23" t="str">
        <f t="shared" si="1"/>
        <v>605333</v>
      </c>
      <c r="L1279" s="23"/>
      <c r="M1279" s="26"/>
      <c r="N1279" s="26"/>
      <c r="O1279" s="26"/>
      <c r="P1279" s="26"/>
      <c r="Q1279" s="26"/>
      <c r="R1279" s="26"/>
      <c r="S1279" s="26"/>
      <c r="T1279" s="26"/>
      <c r="U1279" s="26"/>
      <c r="V1279" s="26"/>
      <c r="W1279" s="26"/>
      <c r="X1279" s="26"/>
    </row>
    <row r="1280" hidden="1">
      <c r="A1280" s="10" t="s">
        <v>499</v>
      </c>
      <c r="B1280" s="10" t="s">
        <v>4065</v>
      </c>
      <c r="C1280" s="27" t="s">
        <v>4066</v>
      </c>
      <c r="D1280" s="10" t="s">
        <v>4067</v>
      </c>
      <c r="E1280" s="28" t="s">
        <v>194</v>
      </c>
      <c r="F1280" s="23" t="s">
        <v>195</v>
      </c>
      <c r="G1280" s="23" t="s">
        <v>203</v>
      </c>
      <c r="H1280" s="23" t="s">
        <v>293</v>
      </c>
      <c r="I1280" s="32"/>
      <c r="J1280" s="23" t="s">
        <v>6</v>
      </c>
      <c r="K1280" s="23" t="str">
        <f t="shared" si="1"/>
        <v>605265</v>
      </c>
      <c r="L1280" s="23"/>
      <c r="M1280" s="26"/>
      <c r="N1280" s="26"/>
      <c r="O1280" s="26"/>
      <c r="P1280" s="26"/>
      <c r="Q1280" s="26"/>
      <c r="R1280" s="26"/>
      <c r="S1280" s="26"/>
      <c r="T1280" s="26"/>
      <c r="U1280" s="26"/>
      <c r="V1280" s="26"/>
      <c r="W1280" s="26"/>
      <c r="X1280" s="26"/>
    </row>
    <row r="1281" hidden="1">
      <c r="A1281" s="10" t="s">
        <v>499</v>
      </c>
      <c r="B1281" s="10" t="s">
        <v>4068</v>
      </c>
      <c r="C1281" s="27" t="s">
        <v>4069</v>
      </c>
      <c r="D1281" s="10" t="s">
        <v>4070</v>
      </c>
      <c r="E1281" s="28" t="s">
        <v>194</v>
      </c>
      <c r="F1281" s="23" t="s">
        <v>195</v>
      </c>
      <c r="G1281" s="23" t="s">
        <v>203</v>
      </c>
      <c r="H1281" s="23" t="s">
        <v>293</v>
      </c>
      <c r="I1281" s="32"/>
      <c r="J1281" s="23" t="s">
        <v>6</v>
      </c>
      <c r="K1281" s="23" t="str">
        <f t="shared" si="1"/>
        <v>605319</v>
      </c>
      <c r="L1281" s="23"/>
      <c r="M1281" s="26"/>
      <c r="N1281" s="26"/>
      <c r="O1281" s="26"/>
      <c r="P1281" s="26"/>
      <c r="Q1281" s="26"/>
      <c r="R1281" s="26"/>
      <c r="S1281" s="26"/>
      <c r="T1281" s="26"/>
      <c r="U1281" s="26"/>
      <c r="V1281" s="26"/>
      <c r="W1281" s="26"/>
      <c r="X1281" s="26"/>
    </row>
    <row r="1282" hidden="1">
      <c r="A1282" s="10" t="s">
        <v>499</v>
      </c>
      <c r="B1282" s="10" t="s">
        <v>4071</v>
      </c>
      <c r="C1282" s="27" t="s">
        <v>4072</v>
      </c>
      <c r="D1282" s="10" t="s">
        <v>4073</v>
      </c>
      <c r="E1282" s="28" t="s">
        <v>194</v>
      </c>
      <c r="F1282" s="23" t="s">
        <v>195</v>
      </c>
      <c r="G1282" s="23" t="s">
        <v>203</v>
      </c>
      <c r="H1282" s="23" t="s">
        <v>293</v>
      </c>
      <c r="I1282" s="32"/>
      <c r="J1282" s="23" t="s">
        <v>6</v>
      </c>
      <c r="K1282" s="23" t="str">
        <f t="shared" si="1"/>
        <v>648477</v>
      </c>
      <c r="L1282" s="23"/>
      <c r="M1282" s="26"/>
      <c r="N1282" s="26"/>
      <c r="O1282" s="26"/>
      <c r="P1282" s="26"/>
      <c r="Q1282" s="26"/>
      <c r="R1282" s="26"/>
      <c r="S1282" s="26"/>
      <c r="T1282" s="26"/>
      <c r="U1282" s="26"/>
      <c r="V1282" s="26"/>
      <c r="W1282" s="26"/>
      <c r="X1282" s="26"/>
    </row>
    <row r="1283" hidden="1">
      <c r="A1283" s="10" t="s">
        <v>499</v>
      </c>
      <c r="B1283" s="10" t="s">
        <v>4074</v>
      </c>
      <c r="C1283" s="27" t="s">
        <v>4075</v>
      </c>
      <c r="D1283" s="10" t="s">
        <v>4076</v>
      </c>
      <c r="E1283" s="28" t="s">
        <v>194</v>
      </c>
      <c r="F1283" s="23" t="s">
        <v>195</v>
      </c>
      <c r="G1283" s="23" t="s">
        <v>203</v>
      </c>
      <c r="H1283" s="23" t="s">
        <v>293</v>
      </c>
      <c r="I1283" s="32"/>
      <c r="J1283" s="23" t="s">
        <v>6</v>
      </c>
      <c r="K1283" s="23" t="str">
        <f t="shared" si="1"/>
        <v>653594</v>
      </c>
      <c r="L1283" s="23"/>
      <c r="M1283" s="26"/>
      <c r="N1283" s="26"/>
      <c r="O1283" s="26"/>
      <c r="P1283" s="26"/>
      <c r="Q1283" s="26"/>
      <c r="R1283" s="26"/>
      <c r="S1283" s="26"/>
      <c r="T1283" s="26"/>
      <c r="U1283" s="26"/>
      <c r="V1283" s="26"/>
      <c r="W1283" s="26"/>
      <c r="X1283" s="26"/>
    </row>
    <row r="1284" hidden="1">
      <c r="A1284" s="10" t="s">
        <v>427</v>
      </c>
      <c r="B1284" s="10" t="s">
        <v>4077</v>
      </c>
      <c r="C1284" s="27" t="s">
        <v>4078</v>
      </c>
      <c r="D1284" s="10" t="s">
        <v>4079</v>
      </c>
      <c r="E1284" s="28" t="s">
        <v>431</v>
      </c>
      <c r="F1284" s="23" t="s">
        <v>946</v>
      </c>
      <c r="G1284" s="23" t="s">
        <v>203</v>
      </c>
      <c r="H1284" s="23" t="s">
        <v>293</v>
      </c>
      <c r="I1284" s="32"/>
      <c r="J1284" s="23" t="s">
        <v>6</v>
      </c>
      <c r="K1284" s="23" t="str">
        <f t="shared" si="1"/>
        <v>631813</v>
      </c>
      <c r="L1284" s="23"/>
      <c r="M1284" s="26"/>
      <c r="N1284" s="26"/>
      <c r="O1284" s="26"/>
      <c r="P1284" s="26"/>
      <c r="Q1284" s="26"/>
      <c r="R1284" s="26"/>
      <c r="S1284" s="26"/>
      <c r="T1284" s="26"/>
      <c r="U1284" s="26"/>
      <c r="V1284" s="26"/>
      <c r="W1284" s="26"/>
      <c r="X1284" s="26"/>
    </row>
    <row r="1285" hidden="1">
      <c r="A1285" s="10" t="s">
        <v>427</v>
      </c>
      <c r="B1285" s="10" t="s">
        <v>4080</v>
      </c>
      <c r="C1285" s="27" t="s">
        <v>4081</v>
      </c>
      <c r="D1285" s="10" t="s">
        <v>4082</v>
      </c>
      <c r="E1285" s="28" t="s">
        <v>431</v>
      </c>
      <c r="F1285" s="23" t="s">
        <v>1788</v>
      </c>
      <c r="G1285" s="23" t="s">
        <v>203</v>
      </c>
      <c r="H1285" s="23" t="s">
        <v>293</v>
      </c>
      <c r="I1285" s="32"/>
      <c r="J1285" s="23" t="s">
        <v>6</v>
      </c>
      <c r="K1285" s="23" t="str">
        <f t="shared" si="1"/>
        <v>631318</v>
      </c>
      <c r="L1285" s="23"/>
      <c r="M1285" s="26"/>
      <c r="N1285" s="26"/>
      <c r="O1285" s="26"/>
      <c r="P1285" s="26"/>
      <c r="Q1285" s="26"/>
      <c r="R1285" s="26"/>
      <c r="S1285" s="26"/>
      <c r="T1285" s="26"/>
      <c r="U1285" s="26"/>
      <c r="V1285" s="26"/>
      <c r="W1285" s="26"/>
      <c r="X1285" s="26"/>
    </row>
    <row r="1286" hidden="1">
      <c r="A1286" s="10" t="s">
        <v>427</v>
      </c>
      <c r="B1286" s="10" t="s">
        <v>4083</v>
      </c>
      <c r="C1286" s="27" t="s">
        <v>4084</v>
      </c>
      <c r="D1286" s="10" t="s">
        <v>4085</v>
      </c>
      <c r="E1286" s="28" t="s">
        <v>534</v>
      </c>
      <c r="F1286" s="23" t="s">
        <v>757</v>
      </c>
      <c r="G1286" s="23" t="s">
        <v>203</v>
      </c>
      <c r="H1286" s="23" t="s">
        <v>293</v>
      </c>
      <c r="I1286" s="32"/>
      <c r="J1286" s="23" t="s">
        <v>6</v>
      </c>
      <c r="K1286" s="23" t="str">
        <f t="shared" si="1"/>
        <v>643847</v>
      </c>
      <c r="L1286" s="23"/>
      <c r="M1286" s="26"/>
      <c r="N1286" s="26"/>
      <c r="O1286" s="26"/>
      <c r="P1286" s="26"/>
      <c r="Q1286" s="26"/>
      <c r="R1286" s="26"/>
      <c r="S1286" s="26"/>
      <c r="T1286" s="26"/>
      <c r="U1286" s="26"/>
      <c r="V1286" s="26"/>
      <c r="W1286" s="26"/>
      <c r="X1286" s="26"/>
    </row>
    <row r="1287" hidden="1">
      <c r="A1287" s="10" t="s">
        <v>427</v>
      </c>
      <c r="B1287" s="10" t="s">
        <v>4086</v>
      </c>
      <c r="C1287" s="27" t="s">
        <v>4087</v>
      </c>
      <c r="D1287" s="10" t="s">
        <v>4088</v>
      </c>
      <c r="E1287" s="28" t="s">
        <v>534</v>
      </c>
      <c r="F1287" s="23" t="s">
        <v>1238</v>
      </c>
      <c r="G1287" s="23" t="s">
        <v>203</v>
      </c>
      <c r="H1287" s="23" t="s">
        <v>293</v>
      </c>
      <c r="I1287" s="32"/>
      <c r="J1287" s="23" t="s">
        <v>6</v>
      </c>
      <c r="K1287" s="23" t="str">
        <f t="shared" si="1"/>
        <v>644165</v>
      </c>
      <c r="L1287" s="23"/>
      <c r="M1287" s="26"/>
      <c r="N1287" s="26"/>
      <c r="O1287" s="26"/>
      <c r="P1287" s="26"/>
      <c r="Q1287" s="26"/>
      <c r="R1287" s="26"/>
      <c r="S1287" s="26"/>
      <c r="T1287" s="26"/>
      <c r="U1287" s="26"/>
      <c r="V1287" s="26"/>
      <c r="W1287" s="26"/>
      <c r="X1287" s="26"/>
    </row>
    <row r="1288" hidden="1">
      <c r="A1288" s="10" t="s">
        <v>427</v>
      </c>
      <c r="B1288" s="10" t="s">
        <v>4089</v>
      </c>
      <c r="C1288" s="27" t="s">
        <v>4090</v>
      </c>
      <c r="D1288" s="10" t="s">
        <v>4091</v>
      </c>
      <c r="E1288" s="28" t="s">
        <v>431</v>
      </c>
      <c r="F1288" s="23" t="s">
        <v>933</v>
      </c>
      <c r="G1288" s="23" t="s">
        <v>203</v>
      </c>
      <c r="H1288" s="23" t="s">
        <v>293</v>
      </c>
      <c r="I1288" s="32"/>
      <c r="J1288" s="23" t="s">
        <v>6</v>
      </c>
      <c r="K1288" s="23" t="str">
        <f t="shared" si="1"/>
        <v>636924</v>
      </c>
      <c r="L1288" s="23"/>
      <c r="M1288" s="26"/>
      <c r="N1288" s="26"/>
      <c r="O1288" s="26"/>
      <c r="P1288" s="26"/>
      <c r="Q1288" s="26"/>
      <c r="R1288" s="26"/>
      <c r="S1288" s="26"/>
      <c r="T1288" s="26"/>
      <c r="U1288" s="26"/>
      <c r="V1288" s="26"/>
      <c r="W1288" s="26"/>
      <c r="X1288" s="26"/>
    </row>
    <row r="1289" hidden="1">
      <c r="A1289" s="10" t="s">
        <v>427</v>
      </c>
      <c r="B1289" s="10" t="s">
        <v>4092</v>
      </c>
      <c r="C1289" s="27" t="s">
        <v>4093</v>
      </c>
      <c r="D1289" s="10" t="s">
        <v>4094</v>
      </c>
      <c r="E1289" s="28" t="s">
        <v>418</v>
      </c>
      <c r="F1289" s="23" t="s">
        <v>419</v>
      </c>
      <c r="G1289" s="23" t="s">
        <v>203</v>
      </c>
      <c r="H1289" s="23" t="s">
        <v>293</v>
      </c>
      <c r="I1289" s="32"/>
      <c r="J1289" s="23" t="s">
        <v>6</v>
      </c>
      <c r="K1289" s="23" t="str">
        <f t="shared" si="1"/>
        <v>644370</v>
      </c>
      <c r="L1289" s="23"/>
      <c r="M1289" s="26"/>
      <c r="N1289" s="26"/>
      <c r="O1289" s="26"/>
      <c r="P1289" s="26"/>
      <c r="Q1289" s="26"/>
      <c r="R1289" s="26"/>
      <c r="S1289" s="26"/>
      <c r="T1289" s="26"/>
      <c r="U1289" s="26"/>
      <c r="V1289" s="26"/>
      <c r="W1289" s="26"/>
      <c r="X1289" s="26"/>
    </row>
    <row r="1290" hidden="1">
      <c r="A1290" s="10" t="s">
        <v>427</v>
      </c>
      <c r="B1290" s="10" t="s">
        <v>4095</v>
      </c>
      <c r="C1290" s="27" t="s">
        <v>4096</v>
      </c>
      <c r="D1290" s="10" t="s">
        <v>4097</v>
      </c>
      <c r="E1290" s="28" t="s">
        <v>418</v>
      </c>
      <c r="F1290" s="23" t="s">
        <v>419</v>
      </c>
      <c r="G1290" s="23" t="s">
        <v>203</v>
      </c>
      <c r="H1290" s="23" t="s">
        <v>293</v>
      </c>
      <c r="I1290" s="32"/>
      <c r="J1290" s="23" t="s">
        <v>6</v>
      </c>
      <c r="K1290" s="23" t="str">
        <f t="shared" si="1"/>
        <v>662992</v>
      </c>
      <c r="L1290" s="23"/>
      <c r="M1290" s="26"/>
      <c r="N1290" s="26"/>
      <c r="O1290" s="26"/>
      <c r="P1290" s="26"/>
      <c r="Q1290" s="26"/>
      <c r="R1290" s="26"/>
      <c r="S1290" s="26"/>
      <c r="T1290" s="26"/>
      <c r="U1290" s="26"/>
      <c r="V1290" s="26"/>
      <c r="W1290" s="26"/>
      <c r="X1290" s="26"/>
    </row>
    <row r="1291" hidden="1">
      <c r="A1291" s="10" t="s">
        <v>427</v>
      </c>
      <c r="B1291" s="10" t="s">
        <v>4098</v>
      </c>
      <c r="C1291" s="27" t="s">
        <v>4099</v>
      </c>
      <c r="D1291" s="10" t="s">
        <v>4100</v>
      </c>
      <c r="E1291" s="28" t="s">
        <v>431</v>
      </c>
      <c r="F1291" s="23" t="s">
        <v>1867</v>
      </c>
      <c r="G1291" s="23" t="s">
        <v>203</v>
      </c>
      <c r="H1291" s="23" t="s">
        <v>293</v>
      </c>
      <c r="I1291" s="32"/>
      <c r="J1291" s="23" t="s">
        <v>6</v>
      </c>
      <c r="K1291" s="23" t="str">
        <f t="shared" si="1"/>
        <v>637389</v>
      </c>
      <c r="L1291" s="23"/>
      <c r="M1291" s="26"/>
      <c r="N1291" s="26"/>
      <c r="O1291" s="26"/>
      <c r="P1291" s="26"/>
      <c r="Q1291" s="26"/>
      <c r="R1291" s="26"/>
      <c r="S1291" s="26"/>
      <c r="T1291" s="26"/>
      <c r="U1291" s="26"/>
      <c r="V1291" s="26"/>
      <c r="W1291" s="26"/>
      <c r="X1291" s="26"/>
    </row>
    <row r="1292" hidden="1">
      <c r="A1292" s="10" t="s">
        <v>427</v>
      </c>
      <c r="B1292" s="10" t="s">
        <v>4101</v>
      </c>
      <c r="C1292" s="27" t="s">
        <v>4102</v>
      </c>
      <c r="D1292" s="10" t="s">
        <v>4103</v>
      </c>
      <c r="E1292" s="28" t="s">
        <v>431</v>
      </c>
      <c r="F1292" s="23" t="s">
        <v>950</v>
      </c>
      <c r="G1292" s="23" t="s">
        <v>203</v>
      </c>
      <c r="H1292" s="23" t="s">
        <v>293</v>
      </c>
      <c r="I1292" s="32"/>
      <c r="J1292" s="23" t="s">
        <v>6</v>
      </c>
      <c r="K1292" s="23" t="str">
        <f t="shared" si="1"/>
        <v>632155</v>
      </c>
      <c r="L1292" s="23"/>
      <c r="M1292" s="26"/>
      <c r="N1292" s="26"/>
      <c r="O1292" s="26"/>
      <c r="P1292" s="26"/>
      <c r="Q1292" s="26"/>
      <c r="R1292" s="26"/>
      <c r="S1292" s="26"/>
      <c r="T1292" s="26"/>
      <c r="U1292" s="26"/>
      <c r="V1292" s="26"/>
      <c r="W1292" s="26"/>
      <c r="X1292" s="26"/>
    </row>
    <row r="1293" hidden="1">
      <c r="A1293" s="10" t="s">
        <v>427</v>
      </c>
      <c r="B1293" s="10" t="s">
        <v>4104</v>
      </c>
      <c r="C1293" s="27" t="s">
        <v>4105</v>
      </c>
      <c r="D1293" s="10" t="s">
        <v>4106</v>
      </c>
      <c r="E1293" s="28" t="s">
        <v>431</v>
      </c>
      <c r="F1293" s="23" t="s">
        <v>946</v>
      </c>
      <c r="G1293" s="23" t="s">
        <v>521</v>
      </c>
      <c r="H1293" s="23" t="s">
        <v>293</v>
      </c>
      <c r="I1293" s="32"/>
      <c r="J1293" s="23" t="s">
        <v>6</v>
      </c>
      <c r="K1293" s="23" t="str">
        <f t="shared" si="1"/>
        <v>667164</v>
      </c>
      <c r="L1293" s="23"/>
      <c r="M1293" s="26"/>
      <c r="N1293" s="26"/>
      <c r="O1293" s="26"/>
      <c r="P1293" s="26"/>
      <c r="Q1293" s="26"/>
      <c r="R1293" s="26"/>
      <c r="S1293" s="26"/>
      <c r="T1293" s="26"/>
      <c r="U1293" s="26"/>
      <c r="V1293" s="26"/>
      <c r="W1293" s="26"/>
      <c r="X1293" s="26"/>
    </row>
    <row r="1294" hidden="1">
      <c r="A1294" s="10" t="s">
        <v>427</v>
      </c>
      <c r="B1294" s="10" t="s">
        <v>4107</v>
      </c>
      <c r="C1294" s="27" t="s">
        <v>4108</v>
      </c>
      <c r="D1294" s="10" t="s">
        <v>4109</v>
      </c>
      <c r="E1294" s="28" t="s">
        <v>431</v>
      </c>
      <c r="F1294" s="23" t="s">
        <v>432</v>
      </c>
      <c r="G1294" s="23" t="s">
        <v>203</v>
      </c>
      <c r="H1294" s="23" t="s">
        <v>293</v>
      </c>
      <c r="I1294" s="32"/>
      <c r="J1294" s="23" t="s">
        <v>6</v>
      </c>
      <c r="K1294" s="23" t="str">
        <f t="shared" si="1"/>
        <v>678115</v>
      </c>
      <c r="L1294" s="23"/>
      <c r="M1294" s="26"/>
      <c r="N1294" s="26"/>
      <c r="O1294" s="26"/>
      <c r="P1294" s="26"/>
      <c r="Q1294" s="26"/>
      <c r="R1294" s="26"/>
      <c r="S1294" s="26"/>
      <c r="T1294" s="26"/>
      <c r="U1294" s="26"/>
      <c r="V1294" s="26"/>
      <c r="W1294" s="26"/>
      <c r="X1294" s="26"/>
    </row>
    <row r="1295" hidden="1">
      <c r="A1295" s="10" t="s">
        <v>427</v>
      </c>
      <c r="B1295" s="10" t="s">
        <v>4110</v>
      </c>
      <c r="C1295" s="27" t="s">
        <v>4111</v>
      </c>
      <c r="D1295" s="10" t="s">
        <v>4112</v>
      </c>
      <c r="E1295" s="28" t="s">
        <v>431</v>
      </c>
      <c r="F1295" s="23" t="s">
        <v>933</v>
      </c>
      <c r="G1295" s="23" t="s">
        <v>203</v>
      </c>
      <c r="H1295" s="23" t="s">
        <v>293</v>
      </c>
      <c r="I1295" s="32"/>
      <c r="J1295" s="23" t="s">
        <v>6</v>
      </c>
      <c r="K1295" s="23" t="str">
        <f t="shared" si="1"/>
        <v>636979</v>
      </c>
      <c r="L1295" s="23"/>
      <c r="M1295" s="26"/>
      <c r="N1295" s="26"/>
      <c r="O1295" s="26"/>
      <c r="P1295" s="26"/>
      <c r="Q1295" s="26"/>
      <c r="R1295" s="26"/>
      <c r="S1295" s="26"/>
      <c r="T1295" s="26"/>
      <c r="U1295" s="26"/>
      <c r="V1295" s="26"/>
      <c r="W1295" s="26"/>
      <c r="X1295" s="26"/>
    </row>
    <row r="1296" hidden="1">
      <c r="A1296" s="10" t="s">
        <v>427</v>
      </c>
      <c r="B1296" s="10" t="s">
        <v>4113</v>
      </c>
      <c r="C1296" s="27" t="s">
        <v>4114</v>
      </c>
      <c r="D1296" s="10" t="s">
        <v>4115</v>
      </c>
      <c r="E1296" s="28" t="s">
        <v>529</v>
      </c>
      <c r="F1296" s="23" t="s">
        <v>530</v>
      </c>
      <c r="G1296" s="23" t="s">
        <v>203</v>
      </c>
      <c r="H1296" s="23" t="s">
        <v>293</v>
      </c>
      <c r="I1296" s="32"/>
      <c r="J1296" s="23" t="s">
        <v>6</v>
      </c>
      <c r="K1296" s="23" t="str">
        <f t="shared" si="1"/>
        <v>671017</v>
      </c>
      <c r="L1296" s="23"/>
      <c r="M1296" s="26"/>
      <c r="N1296" s="26"/>
      <c r="O1296" s="26"/>
      <c r="P1296" s="26"/>
      <c r="Q1296" s="26"/>
      <c r="R1296" s="26"/>
      <c r="S1296" s="26"/>
      <c r="T1296" s="26"/>
      <c r="U1296" s="26"/>
      <c r="V1296" s="26"/>
      <c r="W1296" s="26"/>
      <c r="X1296" s="26"/>
    </row>
    <row r="1297" hidden="1">
      <c r="A1297" s="10" t="s">
        <v>427</v>
      </c>
      <c r="B1297" s="10" t="s">
        <v>4116</v>
      </c>
      <c r="C1297" s="27" t="s">
        <v>4117</v>
      </c>
      <c r="D1297" s="10" t="s">
        <v>4118</v>
      </c>
      <c r="E1297" s="28" t="s">
        <v>431</v>
      </c>
      <c r="F1297" s="23" t="s">
        <v>950</v>
      </c>
      <c r="G1297" s="23" t="s">
        <v>203</v>
      </c>
      <c r="H1297" s="23" t="s">
        <v>293</v>
      </c>
      <c r="I1297" s="32"/>
      <c r="J1297" s="23" t="s">
        <v>6</v>
      </c>
      <c r="K1297" s="23" t="str">
        <f t="shared" si="1"/>
        <v>628004</v>
      </c>
      <c r="L1297" s="23"/>
      <c r="M1297" s="26"/>
      <c r="N1297" s="26"/>
      <c r="O1297" s="26"/>
      <c r="P1297" s="26"/>
      <c r="Q1297" s="26"/>
      <c r="R1297" s="26"/>
      <c r="S1297" s="26"/>
      <c r="T1297" s="26"/>
      <c r="U1297" s="26"/>
      <c r="V1297" s="26"/>
      <c r="W1297" s="26"/>
      <c r="X1297" s="26"/>
    </row>
    <row r="1298" hidden="1">
      <c r="A1298" s="10" t="s">
        <v>427</v>
      </c>
      <c r="B1298" s="10" t="s">
        <v>4119</v>
      </c>
      <c r="C1298" s="27" t="s">
        <v>4120</v>
      </c>
      <c r="D1298" s="10" t="s">
        <v>4121</v>
      </c>
      <c r="E1298" s="28" t="s">
        <v>534</v>
      </c>
      <c r="F1298" s="23" t="s">
        <v>1238</v>
      </c>
      <c r="G1298" s="23" t="s">
        <v>203</v>
      </c>
      <c r="H1298" s="23" t="s">
        <v>293</v>
      </c>
      <c r="I1298" s="32"/>
      <c r="J1298" s="23" t="s">
        <v>6</v>
      </c>
      <c r="K1298" s="23" t="str">
        <f t="shared" si="1"/>
        <v>644158</v>
      </c>
      <c r="L1298" s="23"/>
      <c r="M1298" s="26"/>
      <c r="N1298" s="26"/>
      <c r="O1298" s="26"/>
      <c r="P1298" s="26"/>
      <c r="Q1298" s="26"/>
      <c r="R1298" s="26"/>
      <c r="S1298" s="26"/>
      <c r="T1298" s="26"/>
      <c r="U1298" s="26"/>
      <c r="V1298" s="26"/>
      <c r="W1298" s="26"/>
      <c r="X1298" s="26"/>
    </row>
    <row r="1299" hidden="1">
      <c r="A1299" s="10" t="s">
        <v>427</v>
      </c>
      <c r="B1299" s="10" t="s">
        <v>4122</v>
      </c>
      <c r="C1299" s="27" t="s">
        <v>4123</v>
      </c>
      <c r="D1299" s="10" t="s">
        <v>4124</v>
      </c>
      <c r="E1299" s="28" t="s">
        <v>534</v>
      </c>
      <c r="F1299" s="23" t="s">
        <v>535</v>
      </c>
      <c r="G1299" s="23" t="s">
        <v>203</v>
      </c>
      <c r="H1299" s="23" t="s">
        <v>293</v>
      </c>
      <c r="I1299" s="32"/>
      <c r="J1299" s="23" t="s">
        <v>6</v>
      </c>
      <c r="K1299" s="23" t="str">
        <f t="shared" si="1"/>
        <v>673240</v>
      </c>
      <c r="L1299" s="23"/>
      <c r="M1299" s="26"/>
      <c r="N1299" s="26"/>
      <c r="O1299" s="26"/>
      <c r="P1299" s="26"/>
      <c r="Q1299" s="26"/>
      <c r="R1299" s="26"/>
      <c r="S1299" s="26"/>
      <c r="T1299" s="26"/>
      <c r="U1299" s="26"/>
      <c r="V1299" s="26"/>
      <c r="W1299" s="26"/>
      <c r="X1299" s="26"/>
    </row>
    <row r="1300" hidden="1">
      <c r="A1300" s="10" t="s">
        <v>427</v>
      </c>
      <c r="B1300" s="10" t="s">
        <v>4125</v>
      </c>
      <c r="C1300" s="27" t="s">
        <v>4126</v>
      </c>
      <c r="D1300" s="10" t="s">
        <v>4127</v>
      </c>
      <c r="E1300" s="28" t="s">
        <v>431</v>
      </c>
      <c r="F1300" s="23" t="s">
        <v>946</v>
      </c>
      <c r="G1300" s="23" t="s">
        <v>203</v>
      </c>
      <c r="H1300" s="23" t="s">
        <v>293</v>
      </c>
      <c r="I1300" s="32"/>
      <c r="J1300" s="23" t="s">
        <v>6</v>
      </c>
      <c r="K1300" s="23" t="str">
        <f t="shared" si="1"/>
        <v>628103</v>
      </c>
      <c r="L1300" s="23"/>
      <c r="M1300" s="26"/>
      <c r="N1300" s="26"/>
      <c r="O1300" s="26"/>
      <c r="P1300" s="26"/>
      <c r="Q1300" s="26"/>
      <c r="R1300" s="26"/>
      <c r="S1300" s="26"/>
      <c r="T1300" s="26"/>
      <c r="U1300" s="26"/>
      <c r="V1300" s="26"/>
      <c r="W1300" s="26"/>
      <c r="X1300" s="26"/>
    </row>
    <row r="1301" hidden="1">
      <c r="A1301" s="10" t="s">
        <v>427</v>
      </c>
      <c r="B1301" s="10" t="s">
        <v>4128</v>
      </c>
      <c r="C1301" s="27" t="s">
        <v>4129</v>
      </c>
      <c r="D1301" s="10" t="s">
        <v>4130</v>
      </c>
      <c r="E1301" s="28" t="s">
        <v>431</v>
      </c>
      <c r="F1301" s="23" t="s">
        <v>933</v>
      </c>
      <c r="G1301" s="23" t="s">
        <v>203</v>
      </c>
      <c r="H1301" s="23" t="s">
        <v>293</v>
      </c>
      <c r="I1301" s="32"/>
      <c r="J1301" s="23" t="s">
        <v>6</v>
      </c>
      <c r="K1301" s="23" t="str">
        <f t="shared" si="1"/>
        <v>647982</v>
      </c>
      <c r="L1301" s="23"/>
      <c r="M1301" s="26"/>
      <c r="N1301" s="26"/>
      <c r="O1301" s="26"/>
      <c r="P1301" s="26"/>
      <c r="Q1301" s="26"/>
      <c r="R1301" s="26"/>
      <c r="S1301" s="26"/>
      <c r="T1301" s="26"/>
      <c r="U1301" s="26"/>
      <c r="V1301" s="26"/>
      <c r="W1301" s="26"/>
      <c r="X1301" s="26"/>
    </row>
    <row r="1302" hidden="1">
      <c r="A1302" s="10" t="s">
        <v>427</v>
      </c>
      <c r="B1302" s="10" t="s">
        <v>4131</v>
      </c>
      <c r="C1302" s="27" t="s">
        <v>4132</v>
      </c>
      <c r="D1302" s="10" t="s">
        <v>4133</v>
      </c>
      <c r="E1302" s="28" t="s">
        <v>431</v>
      </c>
      <c r="F1302" s="23" t="s">
        <v>1788</v>
      </c>
      <c r="G1302" s="23" t="s">
        <v>203</v>
      </c>
      <c r="H1302" s="23" t="s">
        <v>293</v>
      </c>
      <c r="I1302" s="32"/>
      <c r="J1302" s="23" t="s">
        <v>6</v>
      </c>
      <c r="K1302" s="23" t="str">
        <f t="shared" si="1"/>
        <v>631288</v>
      </c>
      <c r="L1302" s="23"/>
      <c r="M1302" s="26"/>
      <c r="N1302" s="26"/>
      <c r="O1302" s="26"/>
      <c r="P1302" s="26"/>
      <c r="Q1302" s="26"/>
      <c r="R1302" s="26"/>
      <c r="S1302" s="26"/>
      <c r="T1302" s="26"/>
      <c r="U1302" s="26"/>
      <c r="V1302" s="26"/>
      <c r="W1302" s="26"/>
      <c r="X1302" s="26"/>
    </row>
    <row r="1303" hidden="1">
      <c r="A1303" s="10" t="s">
        <v>427</v>
      </c>
      <c r="B1303" s="10" t="s">
        <v>4134</v>
      </c>
      <c r="C1303" s="27" t="s">
        <v>4135</v>
      </c>
      <c r="D1303" s="10" t="s">
        <v>4136</v>
      </c>
      <c r="E1303" s="28" t="s">
        <v>418</v>
      </c>
      <c r="F1303" s="23" t="s">
        <v>419</v>
      </c>
      <c r="G1303" s="23" t="s">
        <v>203</v>
      </c>
      <c r="H1303" s="23" t="s">
        <v>293</v>
      </c>
      <c r="I1303" s="32"/>
      <c r="J1303" s="23" t="s">
        <v>6</v>
      </c>
      <c r="K1303" s="23" t="str">
        <f t="shared" si="1"/>
        <v>664224</v>
      </c>
      <c r="L1303" s="23"/>
      <c r="M1303" s="26"/>
      <c r="N1303" s="26"/>
      <c r="O1303" s="26"/>
      <c r="P1303" s="26"/>
      <c r="Q1303" s="26"/>
      <c r="R1303" s="26"/>
      <c r="S1303" s="26"/>
      <c r="T1303" s="26"/>
      <c r="U1303" s="26"/>
      <c r="V1303" s="26"/>
      <c r="W1303" s="26"/>
      <c r="X1303" s="26"/>
    </row>
    <row r="1304" hidden="1">
      <c r="A1304" s="10" t="s">
        <v>427</v>
      </c>
      <c r="B1304" s="10" t="s">
        <v>4137</v>
      </c>
      <c r="C1304" s="27" t="s">
        <v>4138</v>
      </c>
      <c r="D1304" s="10" t="s">
        <v>4139</v>
      </c>
      <c r="E1304" s="28" t="s">
        <v>534</v>
      </c>
      <c r="F1304" s="23" t="s">
        <v>757</v>
      </c>
      <c r="G1304" s="23" t="s">
        <v>203</v>
      </c>
      <c r="H1304" s="23" t="s">
        <v>293</v>
      </c>
      <c r="I1304" s="32"/>
      <c r="J1304" s="23" t="s">
        <v>6</v>
      </c>
      <c r="K1304" s="23" t="str">
        <f t="shared" si="1"/>
        <v>643830</v>
      </c>
      <c r="L1304" s="23"/>
      <c r="M1304" s="26"/>
      <c r="N1304" s="26"/>
      <c r="O1304" s="26"/>
      <c r="P1304" s="26"/>
      <c r="Q1304" s="26"/>
      <c r="R1304" s="26"/>
      <c r="S1304" s="26"/>
      <c r="T1304" s="26"/>
      <c r="U1304" s="26"/>
      <c r="V1304" s="26"/>
      <c r="W1304" s="26"/>
      <c r="X1304" s="26"/>
    </row>
    <row r="1305" hidden="1">
      <c r="A1305" s="10" t="s">
        <v>427</v>
      </c>
      <c r="B1305" s="10" t="s">
        <v>4140</v>
      </c>
      <c r="C1305" s="27" t="s">
        <v>4141</v>
      </c>
      <c r="D1305" s="10" t="s">
        <v>4142</v>
      </c>
      <c r="E1305" s="28" t="s">
        <v>431</v>
      </c>
      <c r="F1305" s="23" t="s">
        <v>950</v>
      </c>
      <c r="G1305" s="23" t="s">
        <v>203</v>
      </c>
      <c r="H1305" s="23" t="s">
        <v>293</v>
      </c>
      <c r="I1305" s="32"/>
      <c r="J1305" s="23" t="s">
        <v>6</v>
      </c>
      <c r="K1305" s="23" t="str">
        <f t="shared" si="1"/>
        <v>627984</v>
      </c>
      <c r="L1305" s="23"/>
      <c r="M1305" s="26"/>
      <c r="N1305" s="26"/>
      <c r="O1305" s="26"/>
      <c r="P1305" s="26"/>
      <c r="Q1305" s="26"/>
      <c r="R1305" s="26"/>
      <c r="S1305" s="26"/>
      <c r="T1305" s="26"/>
      <c r="U1305" s="26"/>
      <c r="V1305" s="26"/>
      <c r="W1305" s="26"/>
      <c r="X1305" s="26"/>
    </row>
    <row r="1306" hidden="1">
      <c r="A1306" s="10" t="s">
        <v>427</v>
      </c>
      <c r="B1306" s="10" t="s">
        <v>4143</v>
      </c>
      <c r="C1306" s="27" t="s">
        <v>4144</v>
      </c>
      <c r="D1306" s="10" t="s">
        <v>4145</v>
      </c>
      <c r="E1306" s="28" t="s">
        <v>534</v>
      </c>
      <c r="F1306" s="23" t="s">
        <v>757</v>
      </c>
      <c r="G1306" s="23" t="s">
        <v>203</v>
      </c>
      <c r="H1306" s="23" t="s">
        <v>293</v>
      </c>
      <c r="I1306" s="32"/>
      <c r="J1306" s="23" t="s">
        <v>6</v>
      </c>
      <c r="K1306" s="23" t="str">
        <f t="shared" si="1"/>
        <v>643809</v>
      </c>
      <c r="L1306" s="23"/>
      <c r="M1306" s="26"/>
      <c r="N1306" s="26"/>
      <c r="O1306" s="26"/>
      <c r="P1306" s="26"/>
      <c r="Q1306" s="26"/>
      <c r="R1306" s="26"/>
      <c r="S1306" s="26"/>
      <c r="T1306" s="26"/>
      <c r="U1306" s="26"/>
      <c r="V1306" s="26"/>
      <c r="W1306" s="26"/>
      <c r="X1306" s="26"/>
    </row>
    <row r="1307" hidden="1">
      <c r="A1307" s="10" t="s">
        <v>427</v>
      </c>
      <c r="B1307" s="10" t="s">
        <v>4146</v>
      </c>
      <c r="C1307" s="27" t="s">
        <v>4147</v>
      </c>
      <c r="D1307" s="10" t="s">
        <v>4148</v>
      </c>
      <c r="E1307" s="28" t="s">
        <v>431</v>
      </c>
      <c r="F1307" s="23" t="s">
        <v>1788</v>
      </c>
      <c r="G1307" s="23" t="s">
        <v>203</v>
      </c>
      <c r="H1307" s="23" t="s">
        <v>293</v>
      </c>
      <c r="I1307" s="32"/>
      <c r="J1307" s="23" t="s">
        <v>6</v>
      </c>
      <c r="K1307" s="23" t="str">
        <f t="shared" si="1"/>
        <v>631295</v>
      </c>
      <c r="L1307" s="23"/>
      <c r="M1307" s="26"/>
      <c r="N1307" s="26"/>
      <c r="O1307" s="26"/>
      <c r="P1307" s="26"/>
      <c r="Q1307" s="26"/>
      <c r="R1307" s="26"/>
      <c r="S1307" s="26"/>
      <c r="T1307" s="26"/>
      <c r="U1307" s="26"/>
      <c r="V1307" s="26"/>
      <c r="W1307" s="26"/>
      <c r="X1307" s="26"/>
    </row>
    <row r="1308" hidden="1">
      <c r="A1308" s="10" t="s">
        <v>427</v>
      </c>
      <c r="B1308" s="10" t="s">
        <v>4149</v>
      </c>
      <c r="C1308" s="27" t="s">
        <v>4150</v>
      </c>
      <c r="D1308" s="10" t="s">
        <v>4151</v>
      </c>
      <c r="E1308" s="28" t="s">
        <v>431</v>
      </c>
      <c r="F1308" s="23" t="s">
        <v>946</v>
      </c>
      <c r="G1308" s="23" t="s">
        <v>203</v>
      </c>
      <c r="H1308" s="23" t="s">
        <v>293</v>
      </c>
      <c r="I1308" s="32"/>
      <c r="J1308" s="23" t="s">
        <v>6</v>
      </c>
      <c r="K1308" s="23" t="str">
        <f t="shared" si="1"/>
        <v>628080</v>
      </c>
      <c r="L1308" s="23"/>
      <c r="M1308" s="26"/>
      <c r="N1308" s="26"/>
      <c r="O1308" s="26"/>
      <c r="P1308" s="26"/>
      <c r="Q1308" s="26"/>
      <c r="R1308" s="26"/>
      <c r="S1308" s="26"/>
      <c r="T1308" s="26"/>
      <c r="U1308" s="26"/>
      <c r="V1308" s="26"/>
      <c r="W1308" s="26"/>
      <c r="X1308" s="26"/>
    </row>
    <row r="1309" hidden="1">
      <c r="A1309" s="10" t="s">
        <v>427</v>
      </c>
      <c r="B1309" s="10" t="s">
        <v>4152</v>
      </c>
      <c r="C1309" s="27" t="s">
        <v>4153</v>
      </c>
      <c r="D1309" s="10" t="s">
        <v>4154</v>
      </c>
      <c r="E1309" s="28" t="s">
        <v>534</v>
      </c>
      <c r="F1309" s="23" t="s">
        <v>1242</v>
      </c>
      <c r="G1309" s="23" t="s">
        <v>203</v>
      </c>
      <c r="H1309" s="23" t="s">
        <v>293</v>
      </c>
      <c r="I1309" s="32"/>
      <c r="J1309" s="23" t="s">
        <v>6</v>
      </c>
      <c r="K1309" s="23" t="str">
        <f t="shared" si="1"/>
        <v>650098</v>
      </c>
      <c r="L1309" s="23"/>
      <c r="M1309" s="26"/>
      <c r="N1309" s="26"/>
      <c r="O1309" s="26"/>
      <c r="P1309" s="26"/>
      <c r="Q1309" s="26"/>
      <c r="R1309" s="26"/>
      <c r="S1309" s="26"/>
      <c r="T1309" s="26"/>
      <c r="U1309" s="26"/>
      <c r="V1309" s="26"/>
      <c r="W1309" s="26"/>
      <c r="X1309" s="26"/>
    </row>
    <row r="1310" hidden="1">
      <c r="A1310" s="10" t="s">
        <v>427</v>
      </c>
      <c r="B1310" s="10" t="s">
        <v>4155</v>
      </c>
      <c r="C1310" s="27" t="s">
        <v>4156</v>
      </c>
      <c r="D1310" s="10" t="s">
        <v>4157</v>
      </c>
      <c r="E1310" s="28" t="s">
        <v>431</v>
      </c>
      <c r="F1310" s="23" t="s">
        <v>933</v>
      </c>
      <c r="G1310" s="23" t="s">
        <v>203</v>
      </c>
      <c r="H1310" s="23" t="s">
        <v>293</v>
      </c>
      <c r="I1310" s="32"/>
      <c r="J1310" s="23" t="s">
        <v>6</v>
      </c>
      <c r="K1310" s="23" t="str">
        <f t="shared" si="1"/>
        <v>647968</v>
      </c>
      <c r="L1310" s="23"/>
      <c r="M1310" s="26"/>
      <c r="N1310" s="26"/>
      <c r="O1310" s="26"/>
      <c r="P1310" s="26"/>
      <c r="Q1310" s="26"/>
      <c r="R1310" s="26"/>
      <c r="S1310" s="26"/>
      <c r="T1310" s="26"/>
      <c r="U1310" s="26"/>
      <c r="V1310" s="26"/>
      <c r="W1310" s="26"/>
      <c r="X1310" s="26"/>
    </row>
    <row r="1311" hidden="1">
      <c r="A1311" s="10" t="s">
        <v>427</v>
      </c>
      <c r="B1311" s="10" t="s">
        <v>4158</v>
      </c>
      <c r="C1311" s="27" t="s">
        <v>4159</v>
      </c>
      <c r="D1311" s="10" t="s">
        <v>4160</v>
      </c>
      <c r="E1311" s="28" t="s">
        <v>418</v>
      </c>
      <c r="F1311" s="23" t="s">
        <v>419</v>
      </c>
      <c r="G1311" s="23" t="s">
        <v>203</v>
      </c>
      <c r="H1311" s="23" t="s">
        <v>293</v>
      </c>
      <c r="I1311" s="32"/>
      <c r="J1311" s="23" t="s">
        <v>6</v>
      </c>
      <c r="K1311" s="23" t="str">
        <f t="shared" si="1"/>
        <v>648026</v>
      </c>
      <c r="L1311" s="23"/>
      <c r="M1311" s="26"/>
      <c r="N1311" s="26"/>
      <c r="O1311" s="26"/>
      <c r="P1311" s="26"/>
      <c r="Q1311" s="26"/>
      <c r="R1311" s="26"/>
      <c r="S1311" s="26"/>
      <c r="T1311" s="26"/>
      <c r="U1311" s="26"/>
      <c r="V1311" s="26"/>
      <c r="W1311" s="26"/>
      <c r="X1311" s="26"/>
    </row>
    <row r="1312" hidden="1">
      <c r="A1312" s="10" t="s">
        <v>427</v>
      </c>
      <c r="B1312" s="10" t="s">
        <v>4161</v>
      </c>
      <c r="C1312" s="27" t="s">
        <v>4162</v>
      </c>
      <c r="D1312" s="10" t="s">
        <v>4163</v>
      </c>
      <c r="E1312" s="28" t="s">
        <v>418</v>
      </c>
      <c r="F1312" s="23" t="s">
        <v>419</v>
      </c>
      <c r="G1312" s="23" t="s">
        <v>203</v>
      </c>
      <c r="H1312" s="23" t="s">
        <v>293</v>
      </c>
      <c r="I1312" s="32"/>
      <c r="J1312" s="23" t="s">
        <v>6</v>
      </c>
      <c r="K1312" s="23" t="str">
        <f t="shared" si="1"/>
        <v>662893</v>
      </c>
      <c r="L1312" s="23"/>
      <c r="M1312" s="26"/>
      <c r="N1312" s="26"/>
      <c r="O1312" s="26"/>
      <c r="P1312" s="26"/>
      <c r="Q1312" s="26"/>
      <c r="R1312" s="26"/>
      <c r="S1312" s="26"/>
      <c r="T1312" s="26"/>
      <c r="U1312" s="26"/>
      <c r="V1312" s="26"/>
      <c r="W1312" s="26"/>
      <c r="X1312" s="26"/>
    </row>
    <row r="1313" hidden="1">
      <c r="A1313" s="10" t="s">
        <v>427</v>
      </c>
      <c r="B1313" s="10" t="s">
        <v>4164</v>
      </c>
      <c r="C1313" s="27" t="s">
        <v>4165</v>
      </c>
      <c r="D1313" s="10" t="s">
        <v>4166</v>
      </c>
      <c r="E1313" s="28" t="s">
        <v>534</v>
      </c>
      <c r="F1313" s="23" t="s">
        <v>1238</v>
      </c>
      <c r="G1313" s="23" t="s">
        <v>203</v>
      </c>
      <c r="H1313" s="23" t="s">
        <v>293</v>
      </c>
      <c r="I1313" s="32"/>
      <c r="J1313" s="23" t="s">
        <v>6</v>
      </c>
      <c r="K1313" s="23" t="str">
        <f t="shared" si="1"/>
        <v>644127</v>
      </c>
      <c r="L1313" s="23"/>
      <c r="M1313" s="26"/>
      <c r="N1313" s="26"/>
      <c r="O1313" s="26"/>
      <c r="P1313" s="26"/>
      <c r="Q1313" s="26"/>
      <c r="R1313" s="26"/>
      <c r="S1313" s="26"/>
      <c r="T1313" s="26"/>
      <c r="U1313" s="26"/>
      <c r="V1313" s="26"/>
      <c r="W1313" s="26"/>
      <c r="X1313" s="26"/>
    </row>
    <row r="1314" hidden="1">
      <c r="A1314" s="10" t="s">
        <v>427</v>
      </c>
      <c r="B1314" s="10" t="s">
        <v>4167</v>
      </c>
      <c r="C1314" s="27" t="s">
        <v>4168</v>
      </c>
      <c r="D1314" s="10" t="s">
        <v>4169</v>
      </c>
      <c r="E1314" s="28" t="s">
        <v>431</v>
      </c>
      <c r="F1314" s="23" t="s">
        <v>1053</v>
      </c>
      <c r="G1314" s="23" t="s">
        <v>203</v>
      </c>
      <c r="H1314" s="23" t="s">
        <v>293</v>
      </c>
      <c r="I1314" s="32"/>
      <c r="J1314" s="23" t="s">
        <v>6</v>
      </c>
      <c r="K1314" s="23" t="str">
        <f t="shared" si="1"/>
        <v>670409</v>
      </c>
      <c r="L1314" s="23"/>
      <c r="M1314" s="26"/>
      <c r="N1314" s="26"/>
      <c r="O1314" s="26"/>
      <c r="P1314" s="26"/>
      <c r="Q1314" s="26"/>
      <c r="R1314" s="26"/>
      <c r="S1314" s="26"/>
      <c r="T1314" s="26"/>
      <c r="U1314" s="26"/>
      <c r="V1314" s="26"/>
      <c r="W1314" s="26"/>
      <c r="X1314" s="26"/>
    </row>
    <row r="1315" hidden="1">
      <c r="A1315" s="10" t="s">
        <v>427</v>
      </c>
      <c r="B1315" s="10" t="s">
        <v>4170</v>
      </c>
      <c r="C1315" s="27" t="s">
        <v>4171</v>
      </c>
      <c r="D1315" s="10" t="s">
        <v>4172</v>
      </c>
      <c r="E1315" s="28" t="s">
        <v>431</v>
      </c>
      <c r="F1315" s="23" t="s">
        <v>1788</v>
      </c>
      <c r="G1315" s="23" t="s">
        <v>203</v>
      </c>
      <c r="H1315" s="23" t="s">
        <v>293</v>
      </c>
      <c r="I1315" s="32"/>
      <c r="J1315" s="23" t="s">
        <v>6</v>
      </c>
      <c r="K1315" s="23" t="str">
        <f t="shared" si="1"/>
        <v>680279</v>
      </c>
      <c r="L1315" s="23"/>
      <c r="M1315" s="26"/>
      <c r="N1315" s="26"/>
      <c r="O1315" s="26"/>
      <c r="P1315" s="26"/>
      <c r="Q1315" s="26"/>
      <c r="R1315" s="26"/>
      <c r="S1315" s="26"/>
      <c r="T1315" s="26"/>
      <c r="U1315" s="26"/>
      <c r="V1315" s="26"/>
      <c r="W1315" s="26"/>
      <c r="X1315" s="26"/>
    </row>
    <row r="1316" hidden="1">
      <c r="A1316" s="10" t="s">
        <v>427</v>
      </c>
      <c r="B1316" s="10" t="s">
        <v>4173</v>
      </c>
      <c r="C1316" s="27" t="s">
        <v>4174</v>
      </c>
      <c r="D1316" s="10" t="s">
        <v>4172</v>
      </c>
      <c r="E1316" s="28" t="s">
        <v>431</v>
      </c>
      <c r="F1316" s="23" t="s">
        <v>933</v>
      </c>
      <c r="G1316" s="23" t="s">
        <v>203</v>
      </c>
      <c r="H1316" s="23" t="s">
        <v>293</v>
      </c>
      <c r="I1316" s="32"/>
      <c r="J1316" s="23" t="s">
        <v>6</v>
      </c>
      <c r="K1316" s="23" t="str">
        <f t="shared" si="1"/>
        <v>680422</v>
      </c>
      <c r="L1316" s="23"/>
      <c r="M1316" s="26"/>
      <c r="N1316" s="26"/>
      <c r="O1316" s="26"/>
      <c r="P1316" s="26"/>
      <c r="Q1316" s="26"/>
      <c r="R1316" s="26"/>
      <c r="S1316" s="26"/>
      <c r="T1316" s="26"/>
      <c r="U1316" s="26"/>
      <c r="V1316" s="26"/>
      <c r="W1316" s="26"/>
      <c r="X1316" s="26"/>
    </row>
    <row r="1317" hidden="1">
      <c r="A1317" s="10" t="s">
        <v>427</v>
      </c>
      <c r="B1317" s="10" t="s">
        <v>4175</v>
      </c>
      <c r="C1317" s="27" t="s">
        <v>4176</v>
      </c>
      <c r="D1317" s="10" t="s">
        <v>4177</v>
      </c>
      <c r="E1317" s="28" t="s">
        <v>431</v>
      </c>
      <c r="F1317" s="23" t="s">
        <v>1235</v>
      </c>
      <c r="G1317" s="23" t="s">
        <v>203</v>
      </c>
      <c r="H1317" s="23" t="s">
        <v>293</v>
      </c>
      <c r="I1317" s="32"/>
      <c r="J1317" s="23" t="s">
        <v>6</v>
      </c>
      <c r="K1317" s="23" t="str">
        <f t="shared" si="1"/>
        <v>671062</v>
      </c>
      <c r="L1317" s="23"/>
      <c r="M1317" s="26"/>
      <c r="N1317" s="26"/>
      <c r="O1317" s="26"/>
      <c r="P1317" s="26"/>
      <c r="Q1317" s="26"/>
      <c r="R1317" s="26"/>
      <c r="S1317" s="26"/>
      <c r="T1317" s="26"/>
      <c r="U1317" s="26"/>
      <c r="V1317" s="26"/>
      <c r="W1317" s="26"/>
      <c r="X1317" s="26"/>
    </row>
    <row r="1318" hidden="1">
      <c r="A1318" s="10" t="s">
        <v>427</v>
      </c>
      <c r="B1318" s="10" t="s">
        <v>4178</v>
      </c>
      <c r="C1318" s="27" t="s">
        <v>4179</v>
      </c>
      <c r="D1318" s="10" t="s">
        <v>4180</v>
      </c>
      <c r="E1318" s="28" t="s">
        <v>418</v>
      </c>
      <c r="F1318" s="23" t="s">
        <v>419</v>
      </c>
      <c r="G1318" s="23" t="s">
        <v>203</v>
      </c>
      <c r="H1318" s="23" t="s">
        <v>293</v>
      </c>
      <c r="I1318" s="32"/>
      <c r="J1318" s="23" t="s">
        <v>6</v>
      </c>
      <c r="K1318" s="23" t="str">
        <f t="shared" si="1"/>
        <v>675428</v>
      </c>
      <c r="L1318" s="23"/>
      <c r="M1318" s="26"/>
      <c r="N1318" s="26"/>
      <c r="O1318" s="26"/>
      <c r="P1318" s="26"/>
      <c r="Q1318" s="26"/>
      <c r="R1318" s="26"/>
      <c r="S1318" s="26"/>
      <c r="T1318" s="26"/>
      <c r="U1318" s="26"/>
      <c r="V1318" s="26"/>
      <c r="W1318" s="26"/>
      <c r="X1318" s="26"/>
    </row>
    <row r="1319" hidden="1">
      <c r="A1319" s="10" t="s">
        <v>190</v>
      </c>
      <c r="B1319" s="10" t="s">
        <v>4181</v>
      </c>
      <c r="C1319" s="27" t="s">
        <v>4182</v>
      </c>
      <c r="D1319" s="10" t="s">
        <v>4183</v>
      </c>
      <c r="E1319" s="28" t="s">
        <v>194</v>
      </c>
      <c r="F1319" s="23" t="s">
        <v>195</v>
      </c>
      <c r="G1319" s="23" t="s">
        <v>196</v>
      </c>
      <c r="H1319" s="23" t="s">
        <v>4184</v>
      </c>
      <c r="I1319" s="23" t="s">
        <v>4185</v>
      </c>
      <c r="J1319" s="23" t="s">
        <v>198</v>
      </c>
      <c r="K1319" s="23" t="str">
        <f t="shared" si="1"/>
        <v>687612</v>
      </c>
      <c r="L1319" s="23"/>
      <c r="M1319" s="26"/>
      <c r="N1319" s="26"/>
      <c r="O1319" s="26"/>
      <c r="P1319" s="26"/>
      <c r="Q1319" s="26"/>
      <c r="R1319" s="26"/>
      <c r="S1319" s="26"/>
      <c r="T1319" s="26"/>
      <c r="U1319" s="26"/>
      <c r="V1319" s="26"/>
      <c r="W1319" s="26"/>
      <c r="X1319" s="26"/>
    </row>
    <row r="1320" hidden="1">
      <c r="A1320" s="10" t="s">
        <v>190</v>
      </c>
      <c r="B1320" s="10" t="s">
        <v>4186</v>
      </c>
      <c r="C1320" s="27" t="s">
        <v>4187</v>
      </c>
      <c r="D1320" s="10" t="s">
        <v>4188</v>
      </c>
      <c r="E1320" s="28" t="s">
        <v>194</v>
      </c>
      <c r="F1320" s="23" t="s">
        <v>195</v>
      </c>
      <c r="G1320" s="23" t="s">
        <v>196</v>
      </c>
      <c r="H1320" s="23" t="s">
        <v>4184</v>
      </c>
      <c r="I1320" s="23" t="s">
        <v>4185</v>
      </c>
      <c r="J1320" s="23" t="s">
        <v>229</v>
      </c>
      <c r="K1320" s="23" t="str">
        <f t="shared" si="1"/>
        <v>665399</v>
      </c>
      <c r="L1320" s="23"/>
      <c r="M1320" s="26"/>
      <c r="N1320" s="26"/>
      <c r="O1320" s="26"/>
      <c r="P1320" s="26"/>
      <c r="Q1320" s="26"/>
      <c r="R1320" s="26"/>
      <c r="S1320" s="26"/>
      <c r="T1320" s="26"/>
      <c r="U1320" s="26"/>
      <c r="V1320" s="26"/>
      <c r="W1320" s="26"/>
      <c r="X1320" s="26"/>
    </row>
    <row r="1321" hidden="1">
      <c r="A1321" s="10" t="s">
        <v>190</v>
      </c>
      <c r="B1321" s="10" t="s">
        <v>4189</v>
      </c>
      <c r="C1321" s="27" t="s">
        <v>4190</v>
      </c>
      <c r="D1321" s="10" t="s">
        <v>4191</v>
      </c>
      <c r="E1321" s="28" t="s">
        <v>194</v>
      </c>
      <c r="F1321" s="23" t="s">
        <v>195</v>
      </c>
      <c r="G1321" s="23" t="s">
        <v>196</v>
      </c>
      <c r="H1321" s="23" t="s">
        <v>4184</v>
      </c>
      <c r="I1321" s="23" t="s">
        <v>4192</v>
      </c>
      <c r="J1321" s="23" t="s">
        <v>198</v>
      </c>
      <c r="K1321" s="23" t="str">
        <f t="shared" si="1"/>
        <v>665382</v>
      </c>
      <c r="L1321" s="23"/>
      <c r="M1321" s="26"/>
      <c r="N1321" s="26"/>
      <c r="O1321" s="26"/>
      <c r="P1321" s="26"/>
      <c r="Q1321" s="26"/>
      <c r="R1321" s="26"/>
      <c r="S1321" s="26"/>
      <c r="T1321" s="26"/>
      <c r="U1321" s="26"/>
      <c r="V1321" s="26"/>
      <c r="W1321" s="26"/>
      <c r="X1321" s="26"/>
    </row>
    <row r="1322" hidden="1">
      <c r="A1322" s="10" t="s">
        <v>190</v>
      </c>
      <c r="B1322" s="10" t="s">
        <v>4193</v>
      </c>
      <c r="C1322" s="27" t="s">
        <v>4194</v>
      </c>
      <c r="D1322" s="10" t="s">
        <v>4195</v>
      </c>
      <c r="E1322" s="28" t="s">
        <v>194</v>
      </c>
      <c r="F1322" s="23" t="s">
        <v>195</v>
      </c>
      <c r="G1322" s="23" t="s">
        <v>196</v>
      </c>
      <c r="H1322" s="23" t="s">
        <v>4184</v>
      </c>
      <c r="I1322" s="23" t="s">
        <v>4196</v>
      </c>
      <c r="J1322" s="23" t="s">
        <v>198</v>
      </c>
      <c r="K1322" s="23" t="str">
        <f t="shared" si="1"/>
        <v>665368</v>
      </c>
      <c r="L1322" s="23"/>
      <c r="M1322" s="26"/>
      <c r="N1322" s="26"/>
      <c r="O1322" s="26"/>
      <c r="P1322" s="26"/>
      <c r="Q1322" s="26"/>
      <c r="R1322" s="26"/>
      <c r="S1322" s="26"/>
      <c r="T1322" s="26"/>
      <c r="U1322" s="26"/>
      <c r="V1322" s="26"/>
      <c r="W1322" s="26"/>
      <c r="X1322" s="26"/>
    </row>
    <row r="1323" hidden="1">
      <c r="A1323" s="10" t="s">
        <v>190</v>
      </c>
      <c r="B1323" s="10" t="s">
        <v>4197</v>
      </c>
      <c r="C1323" s="27" t="s">
        <v>4198</v>
      </c>
      <c r="D1323" s="10" t="s">
        <v>4199</v>
      </c>
      <c r="E1323" s="28" t="s">
        <v>194</v>
      </c>
      <c r="F1323" s="23" t="s">
        <v>195</v>
      </c>
      <c r="G1323" s="23" t="s">
        <v>196</v>
      </c>
      <c r="H1323" s="23" t="s">
        <v>4184</v>
      </c>
      <c r="I1323" s="23" t="s">
        <v>4200</v>
      </c>
      <c r="J1323" s="23" t="s">
        <v>238</v>
      </c>
      <c r="K1323" s="23" t="str">
        <f t="shared" si="1"/>
        <v>681023</v>
      </c>
      <c r="L1323" s="23"/>
      <c r="M1323" s="26"/>
      <c r="N1323" s="26"/>
      <c r="O1323" s="26"/>
      <c r="P1323" s="26"/>
      <c r="Q1323" s="26"/>
      <c r="R1323" s="26"/>
      <c r="S1323" s="26"/>
      <c r="T1323" s="26"/>
      <c r="U1323" s="26"/>
      <c r="V1323" s="26"/>
      <c r="W1323" s="26"/>
      <c r="X1323" s="26"/>
    </row>
    <row r="1324" hidden="1">
      <c r="A1324" s="10" t="s">
        <v>499</v>
      </c>
      <c r="B1324" s="10" t="s">
        <v>4201</v>
      </c>
      <c r="C1324" s="27" t="s">
        <v>4202</v>
      </c>
      <c r="D1324" s="10" t="s">
        <v>4203</v>
      </c>
      <c r="E1324" s="28" t="s">
        <v>194</v>
      </c>
      <c r="F1324" s="23" t="s">
        <v>1037</v>
      </c>
      <c r="G1324" s="23" t="s">
        <v>196</v>
      </c>
      <c r="H1324" s="23" t="s">
        <v>4184</v>
      </c>
      <c r="I1324" s="32"/>
      <c r="J1324" s="23" t="s">
        <v>6</v>
      </c>
      <c r="K1324" s="23" t="str">
        <f t="shared" si="1"/>
        <v>634449</v>
      </c>
      <c r="L1324" s="23"/>
      <c r="M1324" s="26"/>
      <c r="N1324" s="26"/>
      <c r="O1324" s="26"/>
      <c r="P1324" s="26"/>
      <c r="Q1324" s="26"/>
      <c r="R1324" s="26"/>
      <c r="S1324" s="26"/>
      <c r="T1324" s="26"/>
      <c r="U1324" s="26"/>
      <c r="V1324" s="26"/>
      <c r="W1324" s="26"/>
      <c r="X1324" s="26"/>
    </row>
    <row r="1325" hidden="1">
      <c r="A1325" s="10" t="s">
        <v>499</v>
      </c>
      <c r="B1325" s="10" t="s">
        <v>4204</v>
      </c>
      <c r="C1325" s="27" t="s">
        <v>4205</v>
      </c>
      <c r="D1325" s="10" t="s">
        <v>4206</v>
      </c>
      <c r="E1325" s="28" t="s">
        <v>194</v>
      </c>
      <c r="F1325" s="23" t="s">
        <v>1037</v>
      </c>
      <c r="G1325" s="23" t="s">
        <v>196</v>
      </c>
      <c r="H1325" s="23" t="s">
        <v>4184</v>
      </c>
      <c r="I1325" s="32"/>
      <c r="J1325" s="23" t="s">
        <v>6</v>
      </c>
      <c r="K1325" s="23" t="str">
        <f t="shared" si="1"/>
        <v>616155</v>
      </c>
      <c r="L1325" s="23"/>
      <c r="M1325" s="26"/>
      <c r="N1325" s="26"/>
      <c r="O1325" s="26"/>
      <c r="P1325" s="26"/>
      <c r="Q1325" s="26"/>
      <c r="R1325" s="26"/>
      <c r="S1325" s="26"/>
      <c r="T1325" s="26"/>
      <c r="U1325" s="26"/>
      <c r="V1325" s="26"/>
      <c r="W1325" s="26"/>
      <c r="X1325" s="26"/>
    </row>
    <row r="1326" hidden="1">
      <c r="A1326" s="10" t="s">
        <v>499</v>
      </c>
      <c r="B1326" s="10" t="s">
        <v>4207</v>
      </c>
      <c r="C1326" s="27" t="s">
        <v>4208</v>
      </c>
      <c r="D1326" s="10" t="s">
        <v>4209</v>
      </c>
      <c r="E1326" s="28" t="s">
        <v>194</v>
      </c>
      <c r="F1326" s="23" t="s">
        <v>1037</v>
      </c>
      <c r="G1326" s="23" t="s">
        <v>196</v>
      </c>
      <c r="H1326" s="23" t="s">
        <v>4184</v>
      </c>
      <c r="I1326" s="32"/>
      <c r="J1326" s="23" t="s">
        <v>6</v>
      </c>
      <c r="K1326" s="23" t="str">
        <f t="shared" si="1"/>
        <v>621302</v>
      </c>
      <c r="L1326" s="23"/>
      <c r="M1326" s="26"/>
      <c r="N1326" s="26"/>
      <c r="O1326" s="26"/>
      <c r="P1326" s="26"/>
      <c r="Q1326" s="26"/>
      <c r="R1326" s="26"/>
      <c r="S1326" s="26"/>
      <c r="T1326" s="26"/>
      <c r="U1326" s="26"/>
      <c r="V1326" s="26"/>
      <c r="W1326" s="26"/>
      <c r="X1326" s="26"/>
    </row>
    <row r="1327" hidden="1">
      <c r="A1327" s="10" t="s">
        <v>499</v>
      </c>
      <c r="B1327" s="10" t="s">
        <v>4210</v>
      </c>
      <c r="C1327" s="27" t="s">
        <v>4211</v>
      </c>
      <c r="D1327" s="10" t="s">
        <v>4212</v>
      </c>
      <c r="E1327" s="28" t="s">
        <v>194</v>
      </c>
      <c r="F1327" s="23" t="s">
        <v>1037</v>
      </c>
      <c r="G1327" s="23" t="s">
        <v>196</v>
      </c>
      <c r="H1327" s="23" t="s">
        <v>4184</v>
      </c>
      <c r="I1327" s="32"/>
      <c r="J1327" s="23" t="s">
        <v>6</v>
      </c>
      <c r="K1327" s="23" t="str">
        <f t="shared" si="1"/>
        <v>634463</v>
      </c>
      <c r="L1327" s="23"/>
      <c r="M1327" s="26"/>
      <c r="N1327" s="26"/>
      <c r="O1327" s="26"/>
      <c r="P1327" s="26"/>
      <c r="Q1327" s="26"/>
      <c r="R1327" s="26"/>
      <c r="S1327" s="26"/>
      <c r="T1327" s="26"/>
      <c r="U1327" s="26"/>
      <c r="V1327" s="26"/>
      <c r="W1327" s="26"/>
      <c r="X1327" s="26"/>
    </row>
    <row r="1328" hidden="1">
      <c r="A1328" s="10" t="s">
        <v>427</v>
      </c>
      <c r="B1328" s="10" t="s">
        <v>4213</v>
      </c>
      <c r="C1328" s="27" t="s">
        <v>4214</v>
      </c>
      <c r="D1328" s="10" t="s">
        <v>4215</v>
      </c>
      <c r="E1328" s="28" t="s">
        <v>431</v>
      </c>
      <c r="F1328" s="23" t="s">
        <v>1053</v>
      </c>
      <c r="G1328" s="23" t="s">
        <v>521</v>
      </c>
      <c r="H1328" s="23" t="s">
        <v>1321</v>
      </c>
      <c r="I1328" s="32"/>
      <c r="J1328" s="23" t="s">
        <v>6</v>
      </c>
      <c r="K1328" s="23" t="str">
        <f t="shared" si="1"/>
        <v>673745</v>
      </c>
      <c r="L1328" s="23"/>
      <c r="M1328" s="26"/>
      <c r="N1328" s="26"/>
      <c r="O1328" s="26"/>
      <c r="P1328" s="26"/>
      <c r="Q1328" s="26"/>
      <c r="R1328" s="26"/>
      <c r="S1328" s="26"/>
      <c r="T1328" s="26"/>
      <c r="U1328" s="26"/>
      <c r="V1328" s="26"/>
      <c r="W1328" s="26"/>
      <c r="X1328" s="26"/>
    </row>
    <row r="1329" hidden="1">
      <c r="A1329" s="10" t="s">
        <v>427</v>
      </c>
      <c r="B1329" s="10" t="s">
        <v>4216</v>
      </c>
      <c r="C1329" s="27" t="s">
        <v>4217</v>
      </c>
      <c r="D1329" s="10" t="s">
        <v>4218</v>
      </c>
      <c r="E1329" s="28" t="s">
        <v>534</v>
      </c>
      <c r="F1329" s="23" t="s">
        <v>1242</v>
      </c>
      <c r="G1329" s="23" t="s">
        <v>521</v>
      </c>
      <c r="H1329" s="23" t="s">
        <v>1321</v>
      </c>
      <c r="I1329" s="32"/>
      <c r="J1329" s="23" t="s">
        <v>6</v>
      </c>
      <c r="K1329" s="23" t="str">
        <f t="shared" si="1"/>
        <v>678962</v>
      </c>
      <c r="L1329" s="23"/>
      <c r="M1329" s="26"/>
      <c r="N1329" s="26"/>
      <c r="O1329" s="26"/>
      <c r="P1329" s="26"/>
      <c r="Q1329" s="26"/>
      <c r="R1329" s="26"/>
      <c r="S1329" s="26"/>
      <c r="T1329" s="26"/>
      <c r="U1329" s="26"/>
      <c r="V1329" s="26"/>
      <c r="W1329" s="26"/>
      <c r="X1329" s="26"/>
    </row>
    <row r="1330" hidden="1">
      <c r="A1330" s="10" t="s">
        <v>427</v>
      </c>
      <c r="B1330" s="10" t="s">
        <v>4219</v>
      </c>
      <c r="C1330" s="27" t="s">
        <v>4220</v>
      </c>
      <c r="D1330" s="10" t="s">
        <v>4221</v>
      </c>
      <c r="E1330" s="28" t="s">
        <v>431</v>
      </c>
      <c r="F1330" s="23" t="s">
        <v>1231</v>
      </c>
      <c r="G1330" s="23" t="s">
        <v>521</v>
      </c>
      <c r="H1330" s="23" t="s">
        <v>1321</v>
      </c>
      <c r="I1330" s="32"/>
      <c r="J1330" s="23" t="s">
        <v>6</v>
      </c>
      <c r="K1330" s="23" t="str">
        <f t="shared" si="1"/>
        <v>690773</v>
      </c>
      <c r="L1330" s="23"/>
      <c r="M1330" s="26"/>
      <c r="N1330" s="26"/>
      <c r="O1330" s="26"/>
      <c r="P1330" s="26"/>
      <c r="Q1330" s="26"/>
      <c r="R1330" s="26"/>
      <c r="S1330" s="26"/>
      <c r="T1330" s="26"/>
      <c r="U1330" s="26"/>
      <c r="V1330" s="26"/>
      <c r="W1330" s="26"/>
      <c r="X1330" s="26"/>
    </row>
    <row r="1331" hidden="1">
      <c r="A1331" s="10" t="s">
        <v>427</v>
      </c>
      <c r="B1331" s="10" t="s">
        <v>4222</v>
      </c>
      <c r="C1331" s="27" t="s">
        <v>4223</v>
      </c>
      <c r="D1331" s="10" t="s">
        <v>4224</v>
      </c>
      <c r="E1331" s="28" t="s">
        <v>431</v>
      </c>
      <c r="F1331" s="23" t="s">
        <v>933</v>
      </c>
      <c r="G1331" s="23" t="s">
        <v>521</v>
      </c>
      <c r="H1331" s="23" t="s">
        <v>1321</v>
      </c>
      <c r="I1331" s="32"/>
      <c r="J1331" s="23" t="s">
        <v>6</v>
      </c>
      <c r="K1331" s="23" t="str">
        <f t="shared" si="1"/>
        <v>633435</v>
      </c>
      <c r="L1331" s="23"/>
      <c r="M1331" s="26"/>
      <c r="N1331" s="26"/>
      <c r="O1331" s="26"/>
      <c r="P1331" s="26"/>
      <c r="Q1331" s="26"/>
      <c r="R1331" s="26"/>
      <c r="S1331" s="26"/>
      <c r="T1331" s="26"/>
      <c r="U1331" s="26"/>
      <c r="V1331" s="26"/>
      <c r="W1331" s="26"/>
      <c r="X1331" s="26"/>
    </row>
    <row r="1332" hidden="1">
      <c r="A1332" s="10" t="s">
        <v>427</v>
      </c>
      <c r="B1332" s="10" t="s">
        <v>4225</v>
      </c>
      <c r="C1332" s="27" t="s">
        <v>4226</v>
      </c>
      <c r="D1332" s="10" t="s">
        <v>4227</v>
      </c>
      <c r="E1332" s="28" t="s">
        <v>418</v>
      </c>
      <c r="F1332" s="23" t="s">
        <v>419</v>
      </c>
      <c r="G1332" s="23" t="s">
        <v>521</v>
      </c>
      <c r="H1332" s="23" t="s">
        <v>1321</v>
      </c>
      <c r="I1332" s="32"/>
      <c r="J1332" s="23" t="s">
        <v>6</v>
      </c>
      <c r="K1332" s="23" t="str">
        <f t="shared" si="1"/>
        <v>690803</v>
      </c>
      <c r="L1332" s="23"/>
      <c r="M1332" s="26"/>
      <c r="N1332" s="26"/>
      <c r="O1332" s="26"/>
      <c r="P1332" s="26"/>
      <c r="Q1332" s="26"/>
      <c r="R1332" s="26"/>
      <c r="S1332" s="26"/>
      <c r="T1332" s="26"/>
      <c r="U1332" s="26"/>
      <c r="V1332" s="26"/>
      <c r="W1332" s="26"/>
      <c r="X1332" s="26"/>
    </row>
    <row r="1333" hidden="1">
      <c r="A1333" s="10" t="s">
        <v>427</v>
      </c>
      <c r="B1333" s="10" t="s">
        <v>4228</v>
      </c>
      <c r="C1333" s="27" t="s">
        <v>4229</v>
      </c>
      <c r="D1333" s="10" t="s">
        <v>4230</v>
      </c>
      <c r="E1333" s="28" t="s">
        <v>431</v>
      </c>
      <c r="F1333" s="23" t="s">
        <v>1867</v>
      </c>
      <c r="G1333" s="23" t="s">
        <v>521</v>
      </c>
      <c r="H1333" s="23" t="s">
        <v>1321</v>
      </c>
      <c r="I1333" s="32"/>
      <c r="J1333" s="23" t="s">
        <v>6</v>
      </c>
      <c r="K1333" s="23" t="str">
        <f t="shared" si="1"/>
        <v>637495</v>
      </c>
      <c r="L1333" s="23"/>
      <c r="M1333" s="26"/>
      <c r="N1333" s="26"/>
      <c r="O1333" s="26"/>
      <c r="P1333" s="26"/>
      <c r="Q1333" s="26"/>
      <c r="R1333" s="26"/>
      <c r="S1333" s="26"/>
      <c r="T1333" s="26"/>
      <c r="U1333" s="26"/>
      <c r="V1333" s="26"/>
      <c r="W1333" s="26"/>
      <c r="X1333" s="26"/>
    </row>
    <row r="1334" hidden="1">
      <c r="A1334" s="10" t="s">
        <v>427</v>
      </c>
      <c r="B1334" s="10" t="s">
        <v>4231</v>
      </c>
      <c r="C1334" s="27" t="s">
        <v>4232</v>
      </c>
      <c r="D1334" s="10" t="s">
        <v>4233</v>
      </c>
      <c r="E1334" s="28" t="s">
        <v>418</v>
      </c>
      <c r="F1334" s="23" t="s">
        <v>977</v>
      </c>
      <c r="G1334" s="23" t="s">
        <v>521</v>
      </c>
      <c r="H1334" s="23" t="s">
        <v>1321</v>
      </c>
      <c r="I1334" s="32"/>
      <c r="J1334" s="23" t="s">
        <v>6</v>
      </c>
      <c r="K1334" s="23" t="str">
        <f t="shared" si="1"/>
        <v>671338</v>
      </c>
      <c r="L1334" s="23"/>
      <c r="M1334" s="26"/>
      <c r="N1334" s="26"/>
      <c r="O1334" s="26"/>
      <c r="P1334" s="26"/>
      <c r="Q1334" s="26"/>
      <c r="R1334" s="26"/>
      <c r="S1334" s="26"/>
      <c r="T1334" s="26"/>
      <c r="U1334" s="26"/>
      <c r="V1334" s="26"/>
      <c r="W1334" s="26"/>
      <c r="X1334" s="26"/>
    </row>
    <row r="1335" hidden="1">
      <c r="A1335" s="10" t="s">
        <v>427</v>
      </c>
      <c r="B1335" s="10" t="s">
        <v>4234</v>
      </c>
      <c r="C1335" s="27" t="s">
        <v>4235</v>
      </c>
      <c r="D1335" s="10" t="s">
        <v>4236</v>
      </c>
      <c r="E1335" s="28" t="s">
        <v>534</v>
      </c>
      <c r="F1335" s="23" t="s">
        <v>757</v>
      </c>
      <c r="G1335" s="23" t="s">
        <v>521</v>
      </c>
      <c r="H1335" s="23" t="s">
        <v>1321</v>
      </c>
      <c r="I1335" s="32"/>
      <c r="J1335" s="23" t="s">
        <v>6</v>
      </c>
      <c r="K1335" s="23" t="str">
        <f t="shared" si="1"/>
        <v>660134</v>
      </c>
      <c r="L1335" s="23"/>
      <c r="M1335" s="26"/>
      <c r="N1335" s="26"/>
      <c r="O1335" s="26"/>
      <c r="P1335" s="26"/>
      <c r="Q1335" s="26"/>
      <c r="R1335" s="26"/>
      <c r="S1335" s="26"/>
      <c r="T1335" s="26"/>
      <c r="U1335" s="26"/>
      <c r="V1335" s="26"/>
      <c r="W1335" s="26"/>
      <c r="X1335" s="26"/>
    </row>
    <row r="1336" hidden="1">
      <c r="A1336" s="10" t="s">
        <v>427</v>
      </c>
      <c r="B1336" s="10" t="s">
        <v>4237</v>
      </c>
      <c r="C1336" s="27" t="s">
        <v>4238</v>
      </c>
      <c r="D1336" s="10" t="s">
        <v>4239</v>
      </c>
      <c r="E1336" s="28" t="s">
        <v>580</v>
      </c>
      <c r="F1336" s="23" t="s">
        <v>581</v>
      </c>
      <c r="G1336" s="23" t="s">
        <v>521</v>
      </c>
      <c r="H1336" s="23" t="s">
        <v>1321</v>
      </c>
      <c r="I1336" s="32"/>
      <c r="J1336" s="23" t="s">
        <v>6</v>
      </c>
      <c r="K1336" s="23" t="str">
        <f t="shared" si="1"/>
        <v>673356</v>
      </c>
      <c r="L1336" s="23"/>
      <c r="M1336" s="26"/>
      <c r="N1336" s="26"/>
      <c r="O1336" s="26"/>
      <c r="P1336" s="26"/>
      <c r="Q1336" s="26"/>
      <c r="R1336" s="26"/>
      <c r="S1336" s="26"/>
      <c r="T1336" s="26"/>
      <c r="U1336" s="26"/>
      <c r="V1336" s="26"/>
      <c r="W1336" s="26"/>
      <c r="X1336" s="26"/>
    </row>
    <row r="1337" hidden="1">
      <c r="A1337" s="10" t="s">
        <v>427</v>
      </c>
      <c r="B1337" s="10" t="s">
        <v>4240</v>
      </c>
      <c r="C1337" s="27" t="s">
        <v>4241</v>
      </c>
      <c r="D1337" s="10" t="s">
        <v>4242</v>
      </c>
      <c r="E1337" s="28" t="s">
        <v>534</v>
      </c>
      <c r="F1337" s="23" t="s">
        <v>1238</v>
      </c>
      <c r="G1337" s="23" t="s">
        <v>521</v>
      </c>
      <c r="H1337" s="23" t="s">
        <v>1321</v>
      </c>
      <c r="I1337" s="32"/>
      <c r="J1337" s="23" t="s">
        <v>6</v>
      </c>
      <c r="K1337" s="23" t="str">
        <f t="shared" si="1"/>
        <v>653846</v>
      </c>
      <c r="L1337" s="23"/>
      <c r="M1337" s="26"/>
      <c r="N1337" s="26"/>
      <c r="O1337" s="26"/>
      <c r="P1337" s="26"/>
      <c r="Q1337" s="26"/>
      <c r="R1337" s="26"/>
      <c r="S1337" s="26"/>
      <c r="T1337" s="26"/>
      <c r="U1337" s="26"/>
      <c r="V1337" s="26"/>
      <c r="W1337" s="26"/>
      <c r="X1337" s="26"/>
    </row>
    <row r="1338" hidden="1">
      <c r="A1338" s="10" t="s">
        <v>427</v>
      </c>
      <c r="B1338" s="10" t="s">
        <v>4243</v>
      </c>
      <c r="C1338" s="27" t="s">
        <v>4244</v>
      </c>
      <c r="D1338" s="10" t="s">
        <v>4245</v>
      </c>
      <c r="E1338" s="28" t="s">
        <v>431</v>
      </c>
      <c r="F1338" s="23" t="s">
        <v>946</v>
      </c>
      <c r="G1338" s="23" t="s">
        <v>521</v>
      </c>
      <c r="H1338" s="23" t="s">
        <v>1321</v>
      </c>
      <c r="I1338" s="32"/>
      <c r="J1338" s="23" t="s">
        <v>6</v>
      </c>
      <c r="K1338" s="23" t="str">
        <f t="shared" si="1"/>
        <v>639338</v>
      </c>
      <c r="L1338" s="23"/>
      <c r="M1338" s="26"/>
      <c r="N1338" s="26"/>
      <c r="O1338" s="26"/>
      <c r="P1338" s="26"/>
      <c r="Q1338" s="26"/>
      <c r="R1338" s="26"/>
      <c r="S1338" s="26"/>
      <c r="T1338" s="26"/>
      <c r="U1338" s="26"/>
      <c r="V1338" s="26"/>
      <c r="W1338" s="26"/>
      <c r="X1338" s="26"/>
    </row>
    <row r="1339" hidden="1">
      <c r="A1339" s="10" t="s">
        <v>427</v>
      </c>
      <c r="B1339" s="10" t="s">
        <v>4246</v>
      </c>
      <c r="C1339" s="27" t="s">
        <v>4247</v>
      </c>
      <c r="D1339" s="10" t="s">
        <v>4248</v>
      </c>
      <c r="E1339" s="28" t="s">
        <v>431</v>
      </c>
      <c r="F1339" s="23" t="s">
        <v>1231</v>
      </c>
      <c r="G1339" s="23" t="s">
        <v>521</v>
      </c>
      <c r="H1339" s="23" t="s">
        <v>1321</v>
      </c>
      <c r="I1339" s="32"/>
      <c r="J1339" s="23" t="s">
        <v>6</v>
      </c>
      <c r="K1339" s="23" t="str">
        <f t="shared" si="1"/>
        <v>657448</v>
      </c>
      <c r="L1339" s="23"/>
      <c r="M1339" s="26"/>
      <c r="N1339" s="26"/>
      <c r="O1339" s="26"/>
      <c r="P1339" s="26"/>
      <c r="Q1339" s="26"/>
      <c r="R1339" s="26"/>
      <c r="S1339" s="26"/>
      <c r="T1339" s="26"/>
      <c r="U1339" s="26"/>
      <c r="V1339" s="26"/>
      <c r="W1339" s="26"/>
      <c r="X1339" s="26"/>
    </row>
    <row r="1340" hidden="1">
      <c r="A1340" s="10" t="s">
        <v>427</v>
      </c>
      <c r="B1340" s="10" t="s">
        <v>4249</v>
      </c>
      <c r="C1340" s="27" t="s">
        <v>4250</v>
      </c>
      <c r="D1340" s="10" t="s">
        <v>4251</v>
      </c>
      <c r="E1340" s="28" t="s">
        <v>534</v>
      </c>
      <c r="F1340" s="23" t="s">
        <v>535</v>
      </c>
      <c r="G1340" s="23" t="s">
        <v>521</v>
      </c>
      <c r="H1340" s="23" t="s">
        <v>1321</v>
      </c>
      <c r="I1340" s="32"/>
      <c r="J1340" s="23" t="s">
        <v>6</v>
      </c>
      <c r="K1340" s="23" t="str">
        <f t="shared" si="1"/>
        <v>663531</v>
      </c>
      <c r="L1340" s="23"/>
      <c r="M1340" s="26"/>
      <c r="N1340" s="26"/>
      <c r="O1340" s="26"/>
      <c r="P1340" s="26"/>
      <c r="Q1340" s="26"/>
      <c r="R1340" s="26"/>
      <c r="S1340" s="26"/>
      <c r="T1340" s="26"/>
      <c r="U1340" s="26"/>
      <c r="V1340" s="26"/>
      <c r="W1340" s="26"/>
      <c r="X1340" s="26"/>
    </row>
    <row r="1341" hidden="1">
      <c r="A1341" s="10" t="s">
        <v>427</v>
      </c>
      <c r="B1341" s="10" t="s">
        <v>4252</v>
      </c>
      <c r="C1341" s="27" t="s">
        <v>4253</v>
      </c>
      <c r="D1341" s="10" t="s">
        <v>4254</v>
      </c>
      <c r="E1341" s="28" t="s">
        <v>418</v>
      </c>
      <c r="F1341" s="23" t="s">
        <v>419</v>
      </c>
      <c r="G1341" s="23" t="s">
        <v>521</v>
      </c>
      <c r="H1341" s="23" t="s">
        <v>1321</v>
      </c>
      <c r="I1341" s="32"/>
      <c r="J1341" s="23" t="s">
        <v>6</v>
      </c>
      <c r="K1341" s="23" t="str">
        <f t="shared" si="1"/>
        <v>667041</v>
      </c>
      <c r="L1341" s="23"/>
      <c r="M1341" s="26"/>
      <c r="N1341" s="26"/>
      <c r="O1341" s="26"/>
      <c r="P1341" s="26"/>
      <c r="Q1341" s="26"/>
      <c r="R1341" s="26"/>
      <c r="S1341" s="26"/>
      <c r="T1341" s="26"/>
      <c r="U1341" s="26"/>
      <c r="V1341" s="26"/>
      <c r="W1341" s="26"/>
      <c r="X1341" s="26"/>
    </row>
    <row r="1342" hidden="1">
      <c r="A1342" s="10" t="s">
        <v>427</v>
      </c>
      <c r="B1342" s="10" t="s">
        <v>4255</v>
      </c>
      <c r="C1342" s="27" t="s">
        <v>4256</v>
      </c>
      <c r="D1342" s="10" t="s">
        <v>4257</v>
      </c>
      <c r="E1342" s="28" t="s">
        <v>431</v>
      </c>
      <c r="F1342" s="23" t="s">
        <v>1788</v>
      </c>
      <c r="G1342" s="23" t="s">
        <v>521</v>
      </c>
      <c r="H1342" s="23" t="s">
        <v>1321</v>
      </c>
      <c r="I1342" s="32"/>
      <c r="J1342" s="23" t="s">
        <v>6</v>
      </c>
      <c r="K1342" s="23" t="str">
        <f t="shared" si="1"/>
        <v>657431</v>
      </c>
      <c r="L1342" s="23"/>
      <c r="M1342" s="26"/>
      <c r="N1342" s="26"/>
      <c r="O1342" s="26"/>
      <c r="P1342" s="26"/>
      <c r="Q1342" s="26"/>
      <c r="R1342" s="26"/>
      <c r="S1342" s="26"/>
      <c r="T1342" s="26"/>
      <c r="U1342" s="26"/>
      <c r="V1342" s="26"/>
      <c r="W1342" s="26"/>
      <c r="X1342" s="26"/>
    </row>
    <row r="1343" hidden="1">
      <c r="A1343" s="10" t="s">
        <v>427</v>
      </c>
      <c r="B1343" s="10" t="s">
        <v>4258</v>
      </c>
      <c r="C1343" s="27" t="s">
        <v>4259</v>
      </c>
      <c r="D1343" s="10" t="s">
        <v>4260</v>
      </c>
      <c r="E1343" s="28" t="s">
        <v>431</v>
      </c>
      <c r="F1343" s="23" t="s">
        <v>1235</v>
      </c>
      <c r="G1343" s="23" t="s">
        <v>521</v>
      </c>
      <c r="H1343" s="23" t="s">
        <v>1321</v>
      </c>
      <c r="I1343" s="32"/>
      <c r="J1343" s="23" t="s">
        <v>6</v>
      </c>
      <c r="K1343" s="23" t="str">
        <f t="shared" si="1"/>
        <v>673752</v>
      </c>
      <c r="L1343" s="23"/>
      <c r="M1343" s="26"/>
      <c r="N1343" s="26"/>
      <c r="O1343" s="26"/>
      <c r="P1343" s="26"/>
      <c r="Q1343" s="26"/>
      <c r="R1343" s="26"/>
      <c r="S1343" s="26"/>
      <c r="T1343" s="26"/>
      <c r="U1343" s="26"/>
      <c r="V1343" s="26"/>
      <c r="W1343" s="26"/>
      <c r="X1343" s="26"/>
    </row>
    <row r="1344" hidden="1">
      <c r="A1344" s="10" t="s">
        <v>427</v>
      </c>
      <c r="B1344" s="10" t="s">
        <v>4261</v>
      </c>
      <c r="C1344" s="27" t="s">
        <v>4262</v>
      </c>
      <c r="D1344" s="10" t="s">
        <v>4263</v>
      </c>
      <c r="E1344" s="28" t="s">
        <v>534</v>
      </c>
      <c r="F1344" s="23" t="s">
        <v>757</v>
      </c>
      <c r="G1344" s="23" t="s">
        <v>521</v>
      </c>
      <c r="H1344" s="23" t="s">
        <v>1321</v>
      </c>
      <c r="I1344" s="32"/>
      <c r="J1344" s="23" t="s">
        <v>6</v>
      </c>
      <c r="K1344" s="23" t="str">
        <f t="shared" si="1"/>
        <v>653747</v>
      </c>
      <c r="L1344" s="23"/>
      <c r="M1344" s="26"/>
      <c r="N1344" s="26"/>
      <c r="O1344" s="26"/>
      <c r="P1344" s="26"/>
      <c r="Q1344" s="26"/>
      <c r="R1344" s="26"/>
      <c r="S1344" s="26"/>
      <c r="T1344" s="26"/>
      <c r="U1344" s="26"/>
      <c r="V1344" s="26"/>
      <c r="W1344" s="26"/>
      <c r="X1344" s="26"/>
    </row>
    <row r="1345" hidden="1">
      <c r="A1345" s="10" t="s">
        <v>427</v>
      </c>
      <c r="B1345" s="10" t="s">
        <v>4264</v>
      </c>
      <c r="C1345" s="27" t="s">
        <v>4265</v>
      </c>
      <c r="D1345" s="10" t="s">
        <v>4266</v>
      </c>
      <c r="E1345" s="28" t="s">
        <v>431</v>
      </c>
      <c r="F1345" s="23" t="s">
        <v>432</v>
      </c>
      <c r="G1345" s="23" t="s">
        <v>521</v>
      </c>
      <c r="H1345" s="23" t="s">
        <v>1321</v>
      </c>
      <c r="I1345" s="32"/>
      <c r="J1345" s="23" t="s">
        <v>6</v>
      </c>
      <c r="K1345" s="23" t="str">
        <f t="shared" si="1"/>
        <v>678948</v>
      </c>
      <c r="L1345" s="23"/>
      <c r="M1345" s="26"/>
      <c r="N1345" s="26"/>
      <c r="O1345" s="26"/>
      <c r="P1345" s="26"/>
      <c r="Q1345" s="26"/>
      <c r="R1345" s="26"/>
      <c r="S1345" s="26"/>
      <c r="T1345" s="26"/>
      <c r="U1345" s="26"/>
      <c r="V1345" s="26"/>
      <c r="W1345" s="26"/>
      <c r="X1345" s="26"/>
    </row>
    <row r="1346" hidden="1">
      <c r="A1346" s="10" t="s">
        <v>427</v>
      </c>
      <c r="B1346" s="10" t="s">
        <v>4267</v>
      </c>
      <c r="C1346" s="27" t="s">
        <v>4268</v>
      </c>
      <c r="D1346" s="10" t="s">
        <v>4269</v>
      </c>
      <c r="E1346" s="28" t="s">
        <v>604</v>
      </c>
      <c r="F1346" s="23" t="s">
        <v>605</v>
      </c>
      <c r="G1346" s="23" t="s">
        <v>521</v>
      </c>
      <c r="H1346" s="23" t="s">
        <v>1321</v>
      </c>
      <c r="I1346" s="32"/>
      <c r="J1346" s="23" t="s">
        <v>6</v>
      </c>
      <c r="K1346" s="23" t="str">
        <f t="shared" si="1"/>
        <v>682648</v>
      </c>
      <c r="L1346" s="23"/>
      <c r="M1346" s="26"/>
      <c r="N1346" s="26"/>
      <c r="O1346" s="26"/>
      <c r="P1346" s="26"/>
      <c r="Q1346" s="26"/>
      <c r="R1346" s="26"/>
      <c r="S1346" s="26"/>
      <c r="T1346" s="26"/>
      <c r="U1346" s="26"/>
      <c r="V1346" s="26"/>
      <c r="W1346" s="26"/>
      <c r="X1346" s="26"/>
    </row>
    <row r="1347" hidden="1">
      <c r="A1347" s="10" t="s">
        <v>190</v>
      </c>
      <c r="B1347" s="10" t="s">
        <v>4270</v>
      </c>
      <c r="C1347" s="27" t="s">
        <v>4271</v>
      </c>
      <c r="D1347" s="10" t="s">
        <v>4272</v>
      </c>
      <c r="E1347" s="28" t="s">
        <v>194</v>
      </c>
      <c r="F1347" s="23" t="s">
        <v>195</v>
      </c>
      <c r="G1347" s="23" t="s">
        <v>203</v>
      </c>
      <c r="H1347" s="23" t="s">
        <v>4273</v>
      </c>
      <c r="I1347" s="23" t="s">
        <v>1264</v>
      </c>
      <c r="J1347" s="23" t="s">
        <v>238</v>
      </c>
      <c r="K1347" s="23" t="str">
        <f t="shared" si="1"/>
        <v>688695</v>
      </c>
      <c r="L1347" s="23"/>
      <c r="M1347" s="26"/>
      <c r="N1347" s="26"/>
      <c r="O1347" s="26"/>
      <c r="P1347" s="26"/>
      <c r="Q1347" s="26"/>
      <c r="R1347" s="26"/>
      <c r="S1347" s="26"/>
      <c r="T1347" s="26"/>
      <c r="U1347" s="26"/>
      <c r="V1347" s="26"/>
      <c r="W1347" s="26"/>
      <c r="X1347" s="26"/>
    </row>
    <row r="1348" hidden="1">
      <c r="A1348" s="10" t="s">
        <v>499</v>
      </c>
      <c r="B1348" s="10" t="s">
        <v>4274</v>
      </c>
      <c r="C1348" s="27" t="s">
        <v>4275</v>
      </c>
      <c r="D1348" s="10" t="s">
        <v>4276</v>
      </c>
      <c r="E1348" s="28" t="s">
        <v>194</v>
      </c>
      <c r="F1348" s="23" t="s">
        <v>195</v>
      </c>
      <c r="G1348" s="23" t="s">
        <v>203</v>
      </c>
      <c r="H1348" s="23" t="s">
        <v>4273</v>
      </c>
      <c r="I1348" s="32"/>
      <c r="J1348" s="23" t="s">
        <v>6</v>
      </c>
      <c r="K1348" s="23" t="str">
        <f t="shared" si="1"/>
        <v>672946</v>
      </c>
      <c r="L1348" s="23"/>
      <c r="M1348" s="26"/>
      <c r="N1348" s="26"/>
      <c r="O1348" s="26"/>
      <c r="P1348" s="26"/>
      <c r="Q1348" s="26"/>
      <c r="R1348" s="26"/>
      <c r="S1348" s="26"/>
      <c r="T1348" s="26"/>
      <c r="U1348" s="26"/>
      <c r="V1348" s="26"/>
      <c r="W1348" s="26"/>
      <c r="X1348" s="26"/>
    </row>
    <row r="1349" hidden="1">
      <c r="A1349" s="10" t="s">
        <v>499</v>
      </c>
      <c r="B1349" s="10" t="s">
        <v>4277</v>
      </c>
      <c r="C1349" s="27" t="s">
        <v>4278</v>
      </c>
      <c r="D1349" s="10" t="s">
        <v>4279</v>
      </c>
      <c r="E1349" s="28" t="s">
        <v>194</v>
      </c>
      <c r="F1349" s="23" t="s">
        <v>195</v>
      </c>
      <c r="G1349" s="23" t="s">
        <v>203</v>
      </c>
      <c r="H1349" s="23" t="s">
        <v>4273</v>
      </c>
      <c r="I1349" s="32"/>
      <c r="J1349" s="23" t="s">
        <v>6</v>
      </c>
      <c r="K1349" s="23" t="str">
        <f t="shared" si="1"/>
        <v>688459</v>
      </c>
      <c r="L1349" s="23"/>
      <c r="M1349" s="26"/>
      <c r="N1349" s="26"/>
      <c r="O1349" s="26"/>
      <c r="P1349" s="26"/>
      <c r="Q1349" s="26"/>
      <c r="R1349" s="26"/>
      <c r="S1349" s="26"/>
      <c r="T1349" s="26"/>
      <c r="U1349" s="26"/>
      <c r="V1349" s="26"/>
      <c r="W1349" s="26"/>
      <c r="X1349" s="26"/>
    </row>
    <row r="1350" hidden="1">
      <c r="A1350" s="10" t="s">
        <v>499</v>
      </c>
      <c r="B1350" s="10" t="s">
        <v>4280</v>
      </c>
      <c r="C1350" s="27" t="s">
        <v>4281</v>
      </c>
      <c r="D1350" s="10" t="s">
        <v>4282</v>
      </c>
      <c r="E1350" s="28" t="s">
        <v>194</v>
      </c>
      <c r="F1350" s="23" t="s">
        <v>195</v>
      </c>
      <c r="G1350" s="23" t="s">
        <v>203</v>
      </c>
      <c r="H1350" s="23" t="s">
        <v>4273</v>
      </c>
      <c r="I1350" s="32"/>
      <c r="J1350" s="23" t="s">
        <v>6</v>
      </c>
      <c r="K1350" s="23" t="str">
        <f t="shared" si="1"/>
        <v>688442</v>
      </c>
      <c r="L1350" s="23"/>
      <c r="M1350" s="26"/>
      <c r="N1350" s="26"/>
      <c r="O1350" s="26"/>
      <c r="P1350" s="26"/>
      <c r="Q1350" s="26"/>
      <c r="R1350" s="26"/>
      <c r="S1350" s="26"/>
      <c r="T1350" s="26"/>
      <c r="U1350" s="26"/>
      <c r="V1350" s="26"/>
      <c r="W1350" s="26"/>
      <c r="X1350" s="26"/>
    </row>
    <row r="1351" hidden="1">
      <c r="A1351" s="10" t="s">
        <v>427</v>
      </c>
      <c r="B1351" s="10" t="s">
        <v>4283</v>
      </c>
      <c r="C1351" s="27" t="s">
        <v>4284</v>
      </c>
      <c r="D1351" s="10" t="s">
        <v>4285</v>
      </c>
      <c r="E1351" s="28" t="s">
        <v>431</v>
      </c>
      <c r="F1351" s="23" t="s">
        <v>432</v>
      </c>
      <c r="G1351" s="23" t="s">
        <v>203</v>
      </c>
      <c r="H1351" s="23" t="s">
        <v>4273</v>
      </c>
      <c r="I1351" s="32"/>
      <c r="J1351" s="23" t="s">
        <v>6</v>
      </c>
      <c r="K1351" s="23" t="str">
        <f t="shared" si="1"/>
        <v>677903</v>
      </c>
      <c r="L1351" s="23"/>
      <c r="M1351" s="26"/>
      <c r="N1351" s="26"/>
      <c r="O1351" s="26"/>
      <c r="P1351" s="26"/>
      <c r="Q1351" s="26"/>
      <c r="R1351" s="26"/>
      <c r="S1351" s="26"/>
      <c r="T1351" s="26"/>
      <c r="U1351" s="26"/>
      <c r="V1351" s="26"/>
      <c r="W1351" s="26"/>
      <c r="X1351" s="26"/>
    </row>
    <row r="1352" hidden="1">
      <c r="A1352" s="10" t="s">
        <v>427</v>
      </c>
      <c r="B1352" s="10" t="s">
        <v>4286</v>
      </c>
      <c r="C1352" s="27" t="s">
        <v>4287</v>
      </c>
      <c r="D1352" s="10" t="s">
        <v>4288</v>
      </c>
      <c r="E1352" s="28" t="s">
        <v>534</v>
      </c>
      <c r="F1352" s="23" t="s">
        <v>757</v>
      </c>
      <c r="G1352" s="23" t="s">
        <v>203</v>
      </c>
      <c r="H1352" s="23" t="s">
        <v>4273</v>
      </c>
      <c r="I1352" s="32"/>
      <c r="J1352" s="23" t="s">
        <v>6</v>
      </c>
      <c r="K1352" s="23" t="str">
        <f t="shared" si="1"/>
        <v>672953</v>
      </c>
      <c r="L1352" s="23"/>
      <c r="M1352" s="26"/>
      <c r="N1352" s="26"/>
      <c r="O1352" s="26"/>
      <c r="P1352" s="26"/>
      <c r="Q1352" s="26"/>
      <c r="R1352" s="26"/>
      <c r="S1352" s="26"/>
      <c r="T1352" s="26"/>
      <c r="U1352" s="26"/>
      <c r="V1352" s="26"/>
      <c r="W1352" s="26"/>
      <c r="X1352" s="26"/>
    </row>
    <row r="1353" hidden="1">
      <c r="A1353" s="10" t="s">
        <v>427</v>
      </c>
      <c r="B1353" s="10" t="s">
        <v>4289</v>
      </c>
      <c r="C1353" s="27" t="s">
        <v>4290</v>
      </c>
      <c r="D1353" s="10" t="s">
        <v>4291</v>
      </c>
      <c r="E1353" s="28" t="s">
        <v>431</v>
      </c>
      <c r="F1353" s="23" t="s">
        <v>946</v>
      </c>
      <c r="G1353" s="23" t="s">
        <v>203</v>
      </c>
      <c r="H1353" s="23" t="s">
        <v>4273</v>
      </c>
      <c r="I1353" s="32"/>
      <c r="J1353" s="23" t="s">
        <v>6</v>
      </c>
      <c r="K1353" s="23" t="str">
        <f t="shared" si="1"/>
        <v>672960</v>
      </c>
      <c r="L1353" s="23"/>
      <c r="M1353" s="26"/>
      <c r="N1353" s="26"/>
      <c r="O1353" s="26"/>
      <c r="P1353" s="26"/>
      <c r="Q1353" s="26"/>
      <c r="R1353" s="26"/>
      <c r="S1353" s="26"/>
      <c r="T1353" s="26"/>
      <c r="U1353" s="26"/>
      <c r="V1353" s="26"/>
      <c r="W1353" s="26"/>
      <c r="X1353" s="26"/>
    </row>
    <row r="1354" hidden="1">
      <c r="A1354" s="10" t="s">
        <v>427</v>
      </c>
      <c r="B1354" s="10" t="s">
        <v>4292</v>
      </c>
      <c r="C1354" s="27" t="s">
        <v>4293</v>
      </c>
      <c r="D1354" s="10" t="s">
        <v>4294</v>
      </c>
      <c r="E1354" s="28" t="s">
        <v>431</v>
      </c>
      <c r="F1354" s="23" t="s">
        <v>1231</v>
      </c>
      <c r="G1354" s="23" t="s">
        <v>203</v>
      </c>
      <c r="H1354" s="23" t="s">
        <v>4273</v>
      </c>
      <c r="I1354" s="32"/>
      <c r="J1354" s="23" t="s">
        <v>6</v>
      </c>
      <c r="K1354" s="23" t="str">
        <f t="shared" si="1"/>
        <v>674810</v>
      </c>
      <c r="L1354" s="23"/>
      <c r="M1354" s="26"/>
      <c r="N1354" s="26"/>
      <c r="O1354" s="26"/>
      <c r="P1354" s="26"/>
      <c r="Q1354" s="26"/>
      <c r="R1354" s="26"/>
      <c r="S1354" s="26"/>
      <c r="T1354" s="26"/>
      <c r="U1354" s="26"/>
      <c r="V1354" s="26"/>
      <c r="W1354" s="26"/>
      <c r="X1354" s="26"/>
    </row>
    <row r="1355" hidden="1">
      <c r="A1355" s="10" t="s">
        <v>427</v>
      </c>
      <c r="B1355" s="10" t="s">
        <v>4295</v>
      </c>
      <c r="C1355" s="27" t="s">
        <v>4296</v>
      </c>
      <c r="D1355" s="10" t="s">
        <v>4297</v>
      </c>
      <c r="E1355" s="28" t="s">
        <v>431</v>
      </c>
      <c r="F1355" s="23" t="s">
        <v>1235</v>
      </c>
      <c r="G1355" s="23" t="s">
        <v>203</v>
      </c>
      <c r="H1355" s="23" t="s">
        <v>4273</v>
      </c>
      <c r="I1355" s="32"/>
      <c r="J1355" s="23" t="s">
        <v>6</v>
      </c>
      <c r="K1355" s="23" t="str">
        <f t="shared" si="1"/>
        <v>672984</v>
      </c>
      <c r="L1355" s="23"/>
      <c r="M1355" s="26"/>
      <c r="N1355" s="26"/>
      <c r="O1355" s="26"/>
      <c r="P1355" s="26"/>
      <c r="Q1355" s="26"/>
      <c r="R1355" s="26"/>
      <c r="S1355" s="26"/>
      <c r="T1355" s="26"/>
      <c r="U1355" s="26"/>
      <c r="V1355" s="26"/>
      <c r="W1355" s="26"/>
      <c r="X1355" s="26"/>
    </row>
    <row r="1356" hidden="1">
      <c r="A1356" s="10" t="s">
        <v>427</v>
      </c>
      <c r="B1356" s="10" t="s">
        <v>4298</v>
      </c>
      <c r="C1356" s="27" t="s">
        <v>4299</v>
      </c>
      <c r="D1356" s="10" t="s">
        <v>4300</v>
      </c>
      <c r="E1356" s="28" t="s">
        <v>431</v>
      </c>
      <c r="F1356" s="23" t="s">
        <v>933</v>
      </c>
      <c r="G1356" s="23" t="s">
        <v>203</v>
      </c>
      <c r="H1356" s="23" t="s">
        <v>4273</v>
      </c>
      <c r="I1356" s="32"/>
      <c r="J1356" s="23" t="s">
        <v>6</v>
      </c>
      <c r="K1356" s="23" t="str">
        <f t="shared" si="1"/>
        <v>672991</v>
      </c>
      <c r="L1356" s="23"/>
      <c r="M1356" s="26"/>
      <c r="N1356" s="26"/>
      <c r="O1356" s="26"/>
      <c r="P1356" s="26"/>
      <c r="Q1356" s="26"/>
      <c r="R1356" s="26"/>
      <c r="S1356" s="26"/>
      <c r="T1356" s="26"/>
      <c r="U1356" s="26"/>
      <c r="V1356" s="26"/>
      <c r="W1356" s="26"/>
      <c r="X1356" s="26"/>
    </row>
    <row r="1357" hidden="1">
      <c r="A1357" s="10" t="s">
        <v>190</v>
      </c>
      <c r="B1357" s="10" t="s">
        <v>4301</v>
      </c>
      <c r="C1357" s="27" t="s">
        <v>323</v>
      </c>
      <c r="D1357" s="10" t="s">
        <v>322</v>
      </c>
      <c r="E1357" s="28" t="s">
        <v>194</v>
      </c>
      <c r="F1357" s="23" t="s">
        <v>195</v>
      </c>
      <c r="G1357" s="23" t="s">
        <v>401</v>
      </c>
      <c r="H1357" s="23" t="s">
        <v>402</v>
      </c>
      <c r="I1357" s="32"/>
      <c r="J1357" s="23" t="s">
        <v>198</v>
      </c>
      <c r="K1357" s="23" t="str">
        <f t="shared" si="1"/>
        <v>691008</v>
      </c>
      <c r="L1357" s="23"/>
      <c r="M1357" s="26"/>
      <c r="N1357" s="26"/>
      <c r="O1357" s="26"/>
      <c r="P1357" s="26"/>
      <c r="Q1357" s="26"/>
      <c r="R1357" s="26"/>
      <c r="S1357" s="26"/>
      <c r="T1357" s="26"/>
      <c r="U1357" s="26"/>
      <c r="V1357" s="26"/>
      <c r="W1357" s="26"/>
      <c r="X1357" s="26"/>
    </row>
    <row r="1358" hidden="1">
      <c r="A1358" s="10" t="s">
        <v>190</v>
      </c>
      <c r="B1358" s="10" t="s">
        <v>4302</v>
      </c>
      <c r="C1358" s="27" t="s">
        <v>4303</v>
      </c>
      <c r="D1358" s="10" t="s">
        <v>4304</v>
      </c>
      <c r="E1358" s="28" t="s">
        <v>194</v>
      </c>
      <c r="F1358" s="23" t="s">
        <v>195</v>
      </c>
      <c r="G1358" s="23" t="s">
        <v>203</v>
      </c>
      <c r="H1358" s="23" t="s">
        <v>233</v>
      </c>
      <c r="I1358" s="23" t="s">
        <v>260</v>
      </c>
      <c r="J1358" s="23" t="s">
        <v>238</v>
      </c>
      <c r="K1358" s="23" t="str">
        <f t="shared" si="1"/>
        <v>688336</v>
      </c>
      <c r="L1358" s="23"/>
      <c r="M1358" s="26"/>
      <c r="N1358" s="26"/>
      <c r="O1358" s="26"/>
      <c r="P1358" s="26"/>
      <c r="Q1358" s="26"/>
      <c r="R1358" s="26"/>
      <c r="S1358" s="26"/>
      <c r="T1358" s="26"/>
      <c r="U1358" s="26"/>
      <c r="V1358" s="26"/>
      <c r="W1358" s="26"/>
      <c r="X1358" s="26"/>
    </row>
    <row r="1359" hidden="1">
      <c r="A1359" s="10" t="s">
        <v>190</v>
      </c>
      <c r="B1359" s="10" t="s">
        <v>4305</v>
      </c>
      <c r="C1359" s="27" t="s">
        <v>4306</v>
      </c>
      <c r="D1359" s="10" t="s">
        <v>4307</v>
      </c>
      <c r="E1359" s="28" t="s">
        <v>194</v>
      </c>
      <c r="F1359" s="23" t="s">
        <v>195</v>
      </c>
      <c r="G1359" s="23" t="s">
        <v>203</v>
      </c>
      <c r="H1359" s="23" t="s">
        <v>233</v>
      </c>
      <c r="I1359" s="23" t="s">
        <v>260</v>
      </c>
      <c r="J1359" s="23" t="s">
        <v>229</v>
      </c>
      <c r="K1359" s="23" t="str">
        <f t="shared" si="1"/>
        <v>686929</v>
      </c>
      <c r="L1359" s="23"/>
      <c r="M1359" s="26"/>
      <c r="N1359" s="26"/>
      <c r="O1359" s="26"/>
      <c r="P1359" s="26"/>
      <c r="Q1359" s="26"/>
      <c r="R1359" s="26"/>
      <c r="S1359" s="26"/>
      <c r="T1359" s="26"/>
      <c r="U1359" s="26"/>
      <c r="V1359" s="26"/>
      <c r="W1359" s="26"/>
      <c r="X1359" s="26"/>
    </row>
    <row r="1360" hidden="1">
      <c r="A1360" s="10" t="s">
        <v>190</v>
      </c>
      <c r="B1360" s="10" t="s">
        <v>4308</v>
      </c>
      <c r="C1360" s="27" t="s">
        <v>4309</v>
      </c>
      <c r="D1360" s="10" t="s">
        <v>4310</v>
      </c>
      <c r="E1360" s="28" t="s">
        <v>194</v>
      </c>
      <c r="F1360" s="23" t="s">
        <v>195</v>
      </c>
      <c r="G1360" s="23" t="s">
        <v>203</v>
      </c>
      <c r="H1360" s="23" t="s">
        <v>233</v>
      </c>
      <c r="I1360" s="23" t="s">
        <v>260</v>
      </c>
      <c r="J1360" s="23" t="s">
        <v>229</v>
      </c>
      <c r="K1360" s="23" t="str">
        <f t="shared" si="1"/>
        <v>688343</v>
      </c>
      <c r="L1360" s="23"/>
      <c r="M1360" s="26"/>
      <c r="N1360" s="26"/>
      <c r="O1360" s="26"/>
      <c r="P1360" s="26"/>
      <c r="Q1360" s="26"/>
      <c r="R1360" s="26"/>
      <c r="S1360" s="26"/>
      <c r="T1360" s="26"/>
      <c r="U1360" s="26"/>
      <c r="V1360" s="26"/>
      <c r="W1360" s="26"/>
      <c r="X1360" s="26"/>
    </row>
    <row r="1361" hidden="1">
      <c r="A1361" s="10" t="s">
        <v>190</v>
      </c>
      <c r="B1361" s="10" t="s">
        <v>4311</v>
      </c>
      <c r="C1361" s="27" t="s">
        <v>4312</v>
      </c>
      <c r="D1361" s="10" t="s">
        <v>4313</v>
      </c>
      <c r="E1361" s="28" t="s">
        <v>194</v>
      </c>
      <c r="F1361" s="23" t="s">
        <v>195</v>
      </c>
      <c r="G1361" s="23" t="s">
        <v>203</v>
      </c>
      <c r="H1361" s="23" t="s">
        <v>233</v>
      </c>
      <c r="I1361" s="23" t="s">
        <v>260</v>
      </c>
      <c r="J1361" s="23" t="s">
        <v>198</v>
      </c>
      <c r="K1361" s="23" t="str">
        <f t="shared" si="1"/>
        <v>681139</v>
      </c>
      <c r="L1361" s="23"/>
      <c r="M1361" s="26"/>
      <c r="N1361" s="26"/>
      <c r="O1361" s="26"/>
      <c r="P1361" s="26"/>
      <c r="Q1361" s="26"/>
      <c r="R1361" s="26"/>
      <c r="S1361" s="26"/>
      <c r="T1361" s="26"/>
      <c r="U1361" s="26"/>
      <c r="V1361" s="26"/>
      <c r="W1361" s="26"/>
      <c r="X1361" s="26"/>
    </row>
    <row r="1362" hidden="1">
      <c r="A1362" s="10" t="s">
        <v>190</v>
      </c>
      <c r="B1362" s="10" t="s">
        <v>4314</v>
      </c>
      <c r="C1362" s="27" t="s">
        <v>4315</v>
      </c>
      <c r="D1362" s="10" t="s">
        <v>4316</v>
      </c>
      <c r="E1362" s="28" t="s">
        <v>194</v>
      </c>
      <c r="F1362" s="23" t="s">
        <v>195</v>
      </c>
      <c r="G1362" s="23" t="s">
        <v>203</v>
      </c>
      <c r="H1362" s="23" t="s">
        <v>233</v>
      </c>
      <c r="I1362" s="23" t="s">
        <v>234</v>
      </c>
      <c r="J1362" s="23" t="s">
        <v>198</v>
      </c>
      <c r="K1362" s="23" t="str">
        <f t="shared" si="1"/>
        <v>686493</v>
      </c>
      <c r="L1362" s="23"/>
      <c r="M1362" s="26"/>
      <c r="N1362" s="26"/>
      <c r="O1362" s="26"/>
      <c r="P1362" s="26"/>
      <c r="Q1362" s="26"/>
      <c r="R1362" s="26"/>
      <c r="S1362" s="26"/>
      <c r="T1362" s="26"/>
      <c r="U1362" s="26"/>
      <c r="V1362" s="26"/>
      <c r="W1362" s="26"/>
      <c r="X1362" s="26"/>
    </row>
    <row r="1363" hidden="1">
      <c r="A1363" s="10" t="s">
        <v>190</v>
      </c>
      <c r="B1363" s="10" t="s">
        <v>4317</v>
      </c>
      <c r="C1363" s="27" t="s">
        <v>4318</v>
      </c>
      <c r="D1363" s="10" t="s">
        <v>4319</v>
      </c>
      <c r="E1363" s="28" t="s">
        <v>194</v>
      </c>
      <c r="F1363" s="23" t="s">
        <v>195</v>
      </c>
      <c r="G1363" s="23" t="s">
        <v>203</v>
      </c>
      <c r="H1363" s="23" t="s">
        <v>233</v>
      </c>
      <c r="I1363" s="23" t="s">
        <v>260</v>
      </c>
      <c r="J1363" s="23" t="s">
        <v>198</v>
      </c>
      <c r="K1363" s="23" t="str">
        <f t="shared" si="1"/>
        <v>681153</v>
      </c>
      <c r="L1363" s="23"/>
      <c r="M1363" s="26"/>
      <c r="N1363" s="26"/>
      <c r="O1363" s="26"/>
      <c r="P1363" s="26"/>
      <c r="Q1363" s="26"/>
      <c r="R1363" s="26"/>
      <c r="S1363" s="26"/>
      <c r="T1363" s="26"/>
      <c r="U1363" s="26"/>
      <c r="V1363" s="26"/>
      <c r="W1363" s="26"/>
      <c r="X1363" s="26"/>
    </row>
    <row r="1364" hidden="1">
      <c r="A1364" s="10" t="s">
        <v>190</v>
      </c>
      <c r="B1364" s="10" t="s">
        <v>4320</v>
      </c>
      <c r="C1364" s="27" t="s">
        <v>4321</v>
      </c>
      <c r="D1364" s="10" t="s">
        <v>4322</v>
      </c>
      <c r="E1364" s="28" t="s">
        <v>194</v>
      </c>
      <c r="F1364" s="23" t="s">
        <v>195</v>
      </c>
      <c r="G1364" s="23" t="s">
        <v>203</v>
      </c>
      <c r="H1364" s="23" t="s">
        <v>233</v>
      </c>
      <c r="I1364" s="32"/>
      <c r="J1364" s="23" t="s">
        <v>238</v>
      </c>
      <c r="K1364" s="23" t="str">
        <f t="shared" si="1"/>
        <v>690384</v>
      </c>
      <c r="L1364" s="23"/>
      <c r="M1364" s="26"/>
      <c r="N1364" s="26"/>
      <c r="O1364" s="26"/>
      <c r="P1364" s="26"/>
      <c r="Q1364" s="26"/>
      <c r="R1364" s="26"/>
      <c r="S1364" s="26"/>
      <c r="T1364" s="26"/>
      <c r="U1364" s="26"/>
      <c r="V1364" s="26"/>
      <c r="W1364" s="26"/>
      <c r="X1364" s="26"/>
    </row>
    <row r="1365" hidden="1">
      <c r="A1365" s="10" t="s">
        <v>499</v>
      </c>
      <c r="B1365" s="10" t="s">
        <v>4323</v>
      </c>
      <c r="C1365" s="27" t="s">
        <v>4324</v>
      </c>
      <c r="D1365" s="10" t="s">
        <v>4325</v>
      </c>
      <c r="E1365" s="28" t="s">
        <v>194</v>
      </c>
      <c r="F1365" s="23" t="s">
        <v>195</v>
      </c>
      <c r="G1365" s="23" t="s">
        <v>203</v>
      </c>
      <c r="H1365" s="23" t="s">
        <v>233</v>
      </c>
      <c r="I1365" s="32"/>
      <c r="J1365" s="23" t="s">
        <v>6</v>
      </c>
      <c r="K1365" s="23" t="str">
        <f t="shared" si="1"/>
        <v>660127</v>
      </c>
      <c r="L1365" s="23"/>
      <c r="M1365" s="26"/>
      <c r="N1365" s="26"/>
      <c r="O1365" s="26"/>
      <c r="P1365" s="26"/>
      <c r="Q1365" s="26"/>
      <c r="R1365" s="26"/>
      <c r="S1365" s="26"/>
      <c r="T1365" s="26"/>
      <c r="U1365" s="26"/>
      <c r="V1365" s="26"/>
      <c r="W1365" s="26"/>
      <c r="X1365" s="26"/>
    </row>
    <row r="1366" hidden="1">
      <c r="A1366" s="10" t="s">
        <v>499</v>
      </c>
      <c r="B1366" s="10" t="s">
        <v>4326</v>
      </c>
      <c r="C1366" s="27" t="s">
        <v>4327</v>
      </c>
      <c r="D1366" s="10" t="s">
        <v>4328</v>
      </c>
      <c r="E1366" s="28" t="s">
        <v>194</v>
      </c>
      <c r="F1366" s="23" t="s">
        <v>195</v>
      </c>
      <c r="G1366" s="23" t="s">
        <v>203</v>
      </c>
      <c r="H1366" s="23" t="s">
        <v>233</v>
      </c>
      <c r="I1366" s="32"/>
      <c r="J1366" s="23" t="s">
        <v>6</v>
      </c>
      <c r="K1366" s="23" t="str">
        <f t="shared" si="1"/>
        <v>611297</v>
      </c>
      <c r="L1366" s="23"/>
      <c r="M1366" s="23"/>
      <c r="N1366" s="23"/>
      <c r="O1366" s="23"/>
      <c r="P1366" s="23"/>
      <c r="Q1366" s="23"/>
      <c r="R1366" s="23"/>
      <c r="S1366" s="23"/>
      <c r="T1366" s="23"/>
      <c r="U1366" s="23"/>
      <c r="V1366" s="23"/>
      <c r="W1366" s="23"/>
      <c r="X1366" s="23"/>
    </row>
    <row r="1367" hidden="1">
      <c r="A1367" s="10" t="s">
        <v>499</v>
      </c>
      <c r="B1367" s="10" t="s">
        <v>4329</v>
      </c>
      <c r="C1367" s="27" t="s">
        <v>4330</v>
      </c>
      <c r="D1367" s="10" t="s">
        <v>4331</v>
      </c>
      <c r="E1367" s="28" t="s">
        <v>194</v>
      </c>
      <c r="F1367" s="23" t="s">
        <v>195</v>
      </c>
      <c r="G1367" s="23" t="s">
        <v>203</v>
      </c>
      <c r="H1367" s="23" t="s">
        <v>233</v>
      </c>
      <c r="I1367" s="32"/>
      <c r="J1367" s="23" t="s">
        <v>6</v>
      </c>
      <c r="K1367" s="23" t="str">
        <f t="shared" si="1"/>
        <v>649597</v>
      </c>
      <c r="L1367" s="23"/>
      <c r="M1367" s="23"/>
      <c r="N1367" s="23"/>
      <c r="O1367" s="23"/>
      <c r="P1367" s="23"/>
      <c r="Q1367" s="23"/>
      <c r="R1367" s="23"/>
      <c r="S1367" s="23"/>
      <c r="T1367" s="23"/>
      <c r="U1367" s="23"/>
      <c r="V1367" s="23"/>
      <c r="W1367" s="23"/>
      <c r="X1367" s="23"/>
    </row>
    <row r="1368" hidden="1">
      <c r="A1368" s="10" t="s">
        <v>499</v>
      </c>
      <c r="B1368" s="10" t="s">
        <v>4332</v>
      </c>
      <c r="C1368" s="27" t="s">
        <v>4333</v>
      </c>
      <c r="D1368" s="10" t="s">
        <v>4334</v>
      </c>
      <c r="E1368" s="28" t="s">
        <v>194</v>
      </c>
      <c r="F1368" s="23" t="s">
        <v>195</v>
      </c>
      <c r="G1368" s="23" t="s">
        <v>203</v>
      </c>
      <c r="H1368" s="23" t="s">
        <v>233</v>
      </c>
      <c r="I1368" s="32"/>
      <c r="J1368" s="23" t="s">
        <v>6</v>
      </c>
      <c r="K1368" s="23" t="str">
        <f t="shared" si="1"/>
        <v>623214</v>
      </c>
      <c r="L1368" s="23"/>
      <c r="M1368" s="23"/>
      <c r="N1368" s="23"/>
      <c r="O1368" s="23"/>
      <c r="P1368" s="23"/>
      <c r="Q1368" s="23"/>
      <c r="R1368" s="23"/>
      <c r="S1368" s="23"/>
      <c r="T1368" s="23"/>
      <c r="U1368" s="23"/>
      <c r="V1368" s="23"/>
      <c r="W1368" s="23"/>
      <c r="X1368" s="23"/>
    </row>
    <row r="1369" hidden="1">
      <c r="A1369" s="10" t="s">
        <v>499</v>
      </c>
      <c r="B1369" s="10" t="s">
        <v>4335</v>
      </c>
      <c r="C1369" s="27" t="s">
        <v>4336</v>
      </c>
      <c r="D1369" s="10" t="s">
        <v>4334</v>
      </c>
      <c r="E1369" s="28" t="s">
        <v>194</v>
      </c>
      <c r="F1369" s="23" t="s">
        <v>195</v>
      </c>
      <c r="G1369" s="23" t="s">
        <v>203</v>
      </c>
      <c r="H1369" s="23" t="s">
        <v>233</v>
      </c>
      <c r="I1369" s="32"/>
      <c r="J1369" s="23" t="s">
        <v>6</v>
      </c>
      <c r="K1369" s="23" t="str">
        <f t="shared" si="1"/>
        <v>659756</v>
      </c>
      <c r="L1369" s="23"/>
      <c r="M1369" s="23"/>
      <c r="N1369" s="23"/>
      <c r="O1369" s="23"/>
      <c r="P1369" s="23"/>
      <c r="Q1369" s="23"/>
      <c r="R1369" s="23"/>
      <c r="S1369" s="23"/>
      <c r="T1369" s="23"/>
      <c r="U1369" s="23"/>
      <c r="V1369" s="23"/>
      <c r="W1369" s="23"/>
      <c r="X1369" s="23"/>
    </row>
    <row r="1370" hidden="1">
      <c r="A1370" s="10" t="s">
        <v>499</v>
      </c>
      <c r="B1370" s="10" t="s">
        <v>4337</v>
      </c>
      <c r="C1370" s="27" t="s">
        <v>4338</v>
      </c>
      <c r="D1370" s="10" t="s">
        <v>4339</v>
      </c>
      <c r="E1370" s="28" t="s">
        <v>194</v>
      </c>
      <c r="F1370" s="23" t="s">
        <v>195</v>
      </c>
      <c r="G1370" s="23" t="s">
        <v>203</v>
      </c>
      <c r="H1370" s="23" t="s">
        <v>233</v>
      </c>
      <c r="I1370" s="32"/>
      <c r="J1370" s="23" t="s">
        <v>6</v>
      </c>
      <c r="K1370" s="23" t="str">
        <f t="shared" si="1"/>
        <v>648750</v>
      </c>
      <c r="L1370" s="23"/>
      <c r="M1370" s="23"/>
      <c r="N1370" s="23"/>
      <c r="O1370" s="23"/>
      <c r="P1370" s="23"/>
      <c r="Q1370" s="23"/>
      <c r="R1370" s="23"/>
      <c r="S1370" s="23"/>
      <c r="T1370" s="23"/>
      <c r="U1370" s="23"/>
      <c r="V1370" s="23"/>
      <c r="W1370" s="23"/>
      <c r="X1370" s="23"/>
    </row>
    <row r="1371" hidden="1">
      <c r="A1371" s="10" t="s">
        <v>499</v>
      </c>
      <c r="B1371" s="10" t="s">
        <v>4340</v>
      </c>
      <c r="C1371" s="27" t="s">
        <v>4341</v>
      </c>
      <c r="D1371" s="10" t="s">
        <v>4342</v>
      </c>
      <c r="E1371" s="28" t="s">
        <v>194</v>
      </c>
      <c r="F1371" s="23" t="s">
        <v>195</v>
      </c>
      <c r="G1371" s="23" t="s">
        <v>203</v>
      </c>
      <c r="H1371" s="23" t="s">
        <v>233</v>
      </c>
      <c r="I1371" s="23" t="s">
        <v>260</v>
      </c>
      <c r="J1371" s="23" t="s">
        <v>6</v>
      </c>
      <c r="K1371" s="23" t="str">
        <f t="shared" si="1"/>
        <v>681054</v>
      </c>
      <c r="L1371" s="23"/>
      <c r="M1371" s="23"/>
      <c r="N1371" s="23"/>
      <c r="O1371" s="23"/>
      <c r="P1371" s="23"/>
      <c r="Q1371" s="23"/>
      <c r="R1371" s="23"/>
      <c r="S1371" s="23"/>
      <c r="T1371" s="23"/>
      <c r="U1371" s="23"/>
      <c r="V1371" s="23"/>
      <c r="W1371" s="23"/>
      <c r="X1371" s="23"/>
    </row>
    <row r="1372" hidden="1">
      <c r="A1372" s="10" t="s">
        <v>499</v>
      </c>
      <c r="B1372" s="10" t="s">
        <v>4343</v>
      </c>
      <c r="C1372" s="27" t="s">
        <v>4344</v>
      </c>
      <c r="D1372" s="10" t="s">
        <v>4345</v>
      </c>
      <c r="E1372" s="28" t="s">
        <v>194</v>
      </c>
      <c r="F1372" s="23" t="s">
        <v>195</v>
      </c>
      <c r="G1372" s="23" t="s">
        <v>203</v>
      </c>
      <c r="H1372" s="23" t="s">
        <v>233</v>
      </c>
      <c r="I1372" s="32"/>
      <c r="J1372" s="23" t="s">
        <v>6</v>
      </c>
      <c r="K1372" s="23" t="str">
        <f t="shared" si="1"/>
        <v>688350</v>
      </c>
      <c r="L1372" s="23"/>
      <c r="M1372" s="23"/>
      <c r="N1372" s="23"/>
      <c r="O1372" s="23"/>
      <c r="P1372" s="23"/>
      <c r="Q1372" s="23"/>
      <c r="R1372" s="23"/>
      <c r="S1372" s="23"/>
      <c r="T1372" s="23"/>
      <c r="U1372" s="23"/>
      <c r="V1372" s="23"/>
      <c r="W1372" s="23"/>
      <c r="X1372" s="23"/>
    </row>
    <row r="1373" hidden="1">
      <c r="A1373" s="10" t="s">
        <v>499</v>
      </c>
      <c r="B1373" s="10" t="s">
        <v>4346</v>
      </c>
      <c r="C1373" s="27" t="s">
        <v>4347</v>
      </c>
      <c r="D1373" s="10" t="s">
        <v>4348</v>
      </c>
      <c r="E1373" s="28" t="s">
        <v>194</v>
      </c>
      <c r="F1373" s="23" t="s">
        <v>195</v>
      </c>
      <c r="G1373" s="23" t="s">
        <v>203</v>
      </c>
      <c r="H1373" s="23" t="s">
        <v>233</v>
      </c>
      <c r="I1373" s="32"/>
      <c r="J1373" s="23" t="s">
        <v>6</v>
      </c>
      <c r="K1373" s="23" t="str">
        <f t="shared" si="1"/>
        <v>681184</v>
      </c>
      <c r="L1373" s="23"/>
      <c r="M1373" s="23"/>
      <c r="N1373" s="23"/>
      <c r="O1373" s="23"/>
      <c r="P1373" s="23"/>
      <c r="Q1373" s="23"/>
      <c r="R1373" s="23"/>
      <c r="S1373" s="23"/>
      <c r="T1373" s="23"/>
      <c r="U1373" s="23"/>
      <c r="V1373" s="23"/>
      <c r="W1373" s="23"/>
      <c r="X1373" s="23"/>
    </row>
    <row r="1374" hidden="1">
      <c r="A1374" s="10" t="s">
        <v>499</v>
      </c>
      <c r="B1374" s="10" t="s">
        <v>4349</v>
      </c>
      <c r="C1374" s="27" t="s">
        <v>4350</v>
      </c>
      <c r="D1374" s="10" t="s">
        <v>4351</v>
      </c>
      <c r="E1374" s="28" t="s">
        <v>194</v>
      </c>
      <c r="F1374" s="23" t="s">
        <v>195</v>
      </c>
      <c r="G1374" s="23" t="s">
        <v>203</v>
      </c>
      <c r="H1374" s="23" t="s">
        <v>233</v>
      </c>
      <c r="I1374" s="32"/>
      <c r="J1374" s="23" t="s">
        <v>6</v>
      </c>
      <c r="K1374" s="23" t="str">
        <f t="shared" si="1"/>
        <v>634067</v>
      </c>
      <c r="L1374" s="23"/>
      <c r="M1374" s="23"/>
      <c r="N1374" s="23"/>
      <c r="O1374" s="23"/>
      <c r="P1374" s="23"/>
      <c r="Q1374" s="23"/>
      <c r="R1374" s="23"/>
      <c r="S1374" s="23"/>
      <c r="T1374" s="23"/>
      <c r="U1374" s="23"/>
      <c r="V1374" s="23"/>
      <c r="W1374" s="23"/>
      <c r="X1374" s="23"/>
    </row>
    <row r="1375" hidden="1">
      <c r="A1375" s="10" t="s">
        <v>499</v>
      </c>
      <c r="B1375" s="10" t="s">
        <v>4352</v>
      </c>
      <c r="C1375" s="27" t="s">
        <v>4353</v>
      </c>
      <c r="D1375" s="10" t="s">
        <v>4354</v>
      </c>
      <c r="E1375" s="28" t="s">
        <v>194</v>
      </c>
      <c r="F1375" s="23" t="s">
        <v>195</v>
      </c>
      <c r="G1375" s="23" t="s">
        <v>203</v>
      </c>
      <c r="H1375" s="23" t="s">
        <v>233</v>
      </c>
      <c r="I1375" s="32"/>
      <c r="J1375" s="23" t="s">
        <v>6</v>
      </c>
      <c r="K1375" s="23" t="str">
        <f t="shared" si="1"/>
        <v>686677</v>
      </c>
      <c r="L1375" s="23"/>
      <c r="M1375" s="26"/>
      <c r="N1375" s="26"/>
      <c r="O1375" s="26"/>
      <c r="P1375" s="26"/>
      <c r="Q1375" s="26"/>
      <c r="R1375" s="26"/>
      <c r="S1375" s="26"/>
      <c r="T1375" s="26"/>
      <c r="U1375" s="26"/>
      <c r="V1375" s="26"/>
      <c r="W1375" s="26"/>
      <c r="X1375" s="26"/>
    </row>
    <row r="1376" hidden="1">
      <c r="A1376" s="10" t="s">
        <v>499</v>
      </c>
      <c r="B1376" s="10" t="s">
        <v>4355</v>
      </c>
      <c r="C1376" s="27" t="s">
        <v>4356</v>
      </c>
      <c r="D1376" s="10" t="s">
        <v>4357</v>
      </c>
      <c r="E1376" s="28" t="s">
        <v>194</v>
      </c>
      <c r="F1376" s="23" t="s">
        <v>195</v>
      </c>
      <c r="G1376" s="23" t="s">
        <v>203</v>
      </c>
      <c r="H1376" s="23" t="s">
        <v>233</v>
      </c>
      <c r="I1376" s="32"/>
      <c r="J1376" s="23" t="s">
        <v>6</v>
      </c>
      <c r="K1376" s="23" t="str">
        <f t="shared" si="1"/>
        <v>611303</v>
      </c>
      <c r="L1376" s="23"/>
      <c r="M1376" s="26"/>
      <c r="N1376" s="26"/>
      <c r="O1376" s="26"/>
      <c r="P1376" s="26"/>
      <c r="Q1376" s="26"/>
      <c r="R1376" s="26"/>
      <c r="S1376" s="26"/>
      <c r="T1376" s="26"/>
      <c r="U1376" s="26"/>
      <c r="V1376" s="26"/>
      <c r="W1376" s="26"/>
      <c r="X1376" s="26"/>
    </row>
    <row r="1377" hidden="1">
      <c r="A1377" s="10" t="s">
        <v>499</v>
      </c>
      <c r="B1377" s="10" t="s">
        <v>4358</v>
      </c>
      <c r="C1377" s="27" t="s">
        <v>4359</v>
      </c>
      <c r="D1377" s="10" t="s">
        <v>4360</v>
      </c>
      <c r="E1377" s="28" t="s">
        <v>194</v>
      </c>
      <c r="F1377" s="23" t="s">
        <v>195</v>
      </c>
      <c r="G1377" s="23" t="s">
        <v>203</v>
      </c>
      <c r="H1377" s="23" t="s">
        <v>233</v>
      </c>
      <c r="I1377" s="32"/>
      <c r="J1377" s="23" t="s">
        <v>6</v>
      </c>
      <c r="K1377" s="23" t="str">
        <f t="shared" si="1"/>
        <v>621876</v>
      </c>
      <c r="L1377" s="23"/>
      <c r="M1377" s="26"/>
      <c r="N1377" s="26"/>
      <c r="O1377" s="26"/>
      <c r="P1377" s="26"/>
      <c r="Q1377" s="26"/>
      <c r="R1377" s="26"/>
      <c r="S1377" s="26"/>
      <c r="T1377" s="26"/>
      <c r="U1377" s="26"/>
      <c r="V1377" s="26"/>
      <c r="W1377" s="26"/>
      <c r="X1377" s="26"/>
    </row>
    <row r="1378" hidden="1">
      <c r="A1378" s="10" t="s">
        <v>499</v>
      </c>
      <c r="B1378" s="10" t="s">
        <v>4361</v>
      </c>
      <c r="C1378" s="27" t="s">
        <v>4362</v>
      </c>
      <c r="D1378" s="10" t="s">
        <v>4363</v>
      </c>
      <c r="E1378" s="28" t="s">
        <v>194</v>
      </c>
      <c r="F1378" s="23" t="s">
        <v>195</v>
      </c>
      <c r="G1378" s="23" t="s">
        <v>203</v>
      </c>
      <c r="H1378" s="23" t="s">
        <v>233</v>
      </c>
      <c r="I1378" s="32"/>
      <c r="J1378" s="23" t="s">
        <v>6</v>
      </c>
      <c r="K1378" s="23" t="str">
        <f t="shared" si="1"/>
        <v>649030</v>
      </c>
      <c r="L1378" s="23"/>
      <c r="M1378" s="26"/>
      <c r="N1378" s="26"/>
      <c r="O1378" s="26"/>
      <c r="P1378" s="26"/>
      <c r="Q1378" s="26"/>
      <c r="R1378" s="26"/>
      <c r="S1378" s="26"/>
      <c r="T1378" s="26"/>
      <c r="U1378" s="26"/>
      <c r="V1378" s="26"/>
      <c r="W1378" s="26"/>
      <c r="X1378" s="26"/>
    </row>
    <row r="1379" hidden="1">
      <c r="A1379" s="10" t="s">
        <v>427</v>
      </c>
      <c r="B1379" s="10" t="s">
        <v>4364</v>
      </c>
      <c r="C1379" s="27" t="s">
        <v>4365</v>
      </c>
      <c r="D1379" s="10" t="s">
        <v>4366</v>
      </c>
      <c r="E1379" s="28" t="s">
        <v>431</v>
      </c>
      <c r="F1379" s="23" t="s">
        <v>933</v>
      </c>
      <c r="G1379" s="23" t="s">
        <v>203</v>
      </c>
      <c r="H1379" s="23" t="s">
        <v>233</v>
      </c>
      <c r="I1379" s="32"/>
      <c r="J1379" s="23" t="s">
        <v>6</v>
      </c>
      <c r="K1379" s="23" t="str">
        <f t="shared" si="1"/>
        <v>633275</v>
      </c>
      <c r="L1379" s="23"/>
      <c r="M1379" s="26"/>
      <c r="N1379" s="26"/>
      <c r="O1379" s="26"/>
      <c r="P1379" s="26"/>
      <c r="Q1379" s="26"/>
      <c r="R1379" s="26"/>
      <c r="S1379" s="26"/>
      <c r="T1379" s="26"/>
      <c r="U1379" s="26"/>
      <c r="V1379" s="26"/>
      <c r="W1379" s="26"/>
      <c r="X1379" s="26"/>
    </row>
    <row r="1380" hidden="1">
      <c r="A1380" s="10" t="s">
        <v>427</v>
      </c>
      <c r="B1380" s="10" t="s">
        <v>4367</v>
      </c>
      <c r="C1380" s="27" t="s">
        <v>4368</v>
      </c>
      <c r="D1380" s="10" t="s">
        <v>4369</v>
      </c>
      <c r="E1380" s="28" t="s">
        <v>534</v>
      </c>
      <c r="F1380" s="23" t="s">
        <v>1242</v>
      </c>
      <c r="G1380" s="23" t="s">
        <v>203</v>
      </c>
      <c r="H1380" s="23" t="s">
        <v>233</v>
      </c>
      <c r="I1380" s="32"/>
      <c r="J1380" s="23" t="s">
        <v>6</v>
      </c>
      <c r="K1380" s="23" t="str">
        <f t="shared" si="1"/>
        <v>638546</v>
      </c>
      <c r="L1380" s="23"/>
      <c r="M1380" s="26"/>
      <c r="N1380" s="26"/>
      <c r="O1380" s="26"/>
      <c r="P1380" s="26"/>
      <c r="Q1380" s="26"/>
      <c r="R1380" s="26"/>
      <c r="S1380" s="26"/>
      <c r="T1380" s="26"/>
      <c r="U1380" s="26"/>
      <c r="V1380" s="26"/>
      <c r="W1380" s="26"/>
      <c r="X1380" s="26"/>
    </row>
    <row r="1381" hidden="1">
      <c r="A1381" s="10" t="s">
        <v>427</v>
      </c>
      <c r="B1381" s="10" t="s">
        <v>4370</v>
      </c>
      <c r="C1381" s="27" t="s">
        <v>4371</v>
      </c>
      <c r="D1381" s="10" t="s">
        <v>4372</v>
      </c>
      <c r="E1381" s="28" t="s">
        <v>418</v>
      </c>
      <c r="F1381" s="23" t="s">
        <v>419</v>
      </c>
      <c r="G1381" s="23" t="s">
        <v>203</v>
      </c>
      <c r="H1381" s="23" t="s">
        <v>233</v>
      </c>
      <c r="I1381" s="32"/>
      <c r="J1381" s="23" t="s">
        <v>6</v>
      </c>
      <c r="K1381" s="23" t="str">
        <f t="shared" si="1"/>
        <v>653167</v>
      </c>
      <c r="L1381" s="23"/>
      <c r="M1381" s="26"/>
      <c r="N1381" s="26"/>
      <c r="O1381" s="26"/>
      <c r="P1381" s="26"/>
      <c r="Q1381" s="26"/>
      <c r="R1381" s="26"/>
      <c r="S1381" s="26"/>
      <c r="T1381" s="26"/>
      <c r="U1381" s="26"/>
      <c r="V1381" s="26"/>
      <c r="W1381" s="26"/>
      <c r="X1381" s="26"/>
    </row>
    <row r="1382" hidden="1">
      <c r="A1382" s="10" t="s">
        <v>427</v>
      </c>
      <c r="B1382" s="10" t="s">
        <v>4373</v>
      </c>
      <c r="C1382" s="27" t="s">
        <v>4374</v>
      </c>
      <c r="D1382" s="10" t="s">
        <v>4375</v>
      </c>
      <c r="E1382" s="28" t="s">
        <v>431</v>
      </c>
      <c r="F1382" s="23" t="s">
        <v>946</v>
      </c>
      <c r="G1382" s="23" t="s">
        <v>203</v>
      </c>
      <c r="H1382" s="23" t="s">
        <v>233</v>
      </c>
      <c r="I1382" s="32"/>
      <c r="J1382" s="23" t="s">
        <v>6</v>
      </c>
      <c r="K1382" s="23" t="str">
        <f t="shared" si="1"/>
        <v>635422</v>
      </c>
      <c r="L1382" s="23"/>
      <c r="M1382" s="26"/>
      <c r="N1382" s="26"/>
      <c r="O1382" s="26"/>
      <c r="P1382" s="26"/>
      <c r="Q1382" s="26"/>
      <c r="R1382" s="26"/>
      <c r="S1382" s="26"/>
      <c r="T1382" s="26"/>
      <c r="U1382" s="26"/>
      <c r="V1382" s="26"/>
      <c r="W1382" s="26"/>
      <c r="X1382" s="26"/>
    </row>
    <row r="1383" hidden="1">
      <c r="A1383" s="10" t="s">
        <v>427</v>
      </c>
      <c r="B1383" s="10" t="s">
        <v>4376</v>
      </c>
      <c r="C1383" s="27" t="s">
        <v>4377</v>
      </c>
      <c r="D1383" s="10" t="s">
        <v>4378</v>
      </c>
      <c r="E1383" s="28" t="s">
        <v>431</v>
      </c>
      <c r="F1383" s="23" t="s">
        <v>950</v>
      </c>
      <c r="G1383" s="23" t="s">
        <v>203</v>
      </c>
      <c r="H1383" s="23" t="s">
        <v>233</v>
      </c>
      <c r="I1383" s="32"/>
      <c r="J1383" s="23" t="s">
        <v>6</v>
      </c>
      <c r="K1383" s="23" t="str">
        <f t="shared" si="1"/>
        <v>627847</v>
      </c>
      <c r="L1383" s="23"/>
      <c r="M1383" s="26"/>
      <c r="N1383" s="26"/>
      <c r="O1383" s="26"/>
      <c r="P1383" s="26"/>
      <c r="Q1383" s="26"/>
      <c r="R1383" s="26"/>
      <c r="S1383" s="26"/>
      <c r="T1383" s="26"/>
      <c r="U1383" s="26"/>
      <c r="V1383" s="26"/>
      <c r="W1383" s="26"/>
      <c r="X1383" s="26"/>
    </row>
    <row r="1384" hidden="1">
      <c r="A1384" s="10" t="s">
        <v>427</v>
      </c>
      <c r="B1384" s="10" t="s">
        <v>4379</v>
      </c>
      <c r="C1384" s="27" t="s">
        <v>4380</v>
      </c>
      <c r="D1384" s="10" t="s">
        <v>4381</v>
      </c>
      <c r="E1384" s="28" t="s">
        <v>431</v>
      </c>
      <c r="F1384" s="23" t="s">
        <v>946</v>
      </c>
      <c r="G1384" s="23" t="s">
        <v>203</v>
      </c>
      <c r="H1384" s="23" t="s">
        <v>233</v>
      </c>
      <c r="I1384" s="32"/>
      <c r="J1384" s="23" t="s">
        <v>6</v>
      </c>
      <c r="K1384" s="23" t="str">
        <f t="shared" si="1"/>
        <v>616766</v>
      </c>
      <c r="L1384" s="23"/>
      <c r="M1384" s="26"/>
      <c r="N1384" s="26"/>
      <c r="O1384" s="26"/>
      <c r="P1384" s="26"/>
      <c r="Q1384" s="26"/>
      <c r="R1384" s="26"/>
      <c r="S1384" s="26"/>
      <c r="T1384" s="26"/>
      <c r="U1384" s="26"/>
      <c r="V1384" s="26"/>
      <c r="W1384" s="26"/>
      <c r="X1384" s="26"/>
    </row>
    <row r="1385" hidden="1">
      <c r="A1385" s="10" t="s">
        <v>427</v>
      </c>
      <c r="B1385" s="10" t="s">
        <v>4382</v>
      </c>
      <c r="C1385" s="27" t="s">
        <v>4383</v>
      </c>
      <c r="D1385" s="10" t="s">
        <v>4384</v>
      </c>
      <c r="E1385" s="28" t="s">
        <v>431</v>
      </c>
      <c r="F1385" s="23" t="s">
        <v>946</v>
      </c>
      <c r="G1385" s="23" t="s">
        <v>203</v>
      </c>
      <c r="H1385" s="23" t="s">
        <v>233</v>
      </c>
      <c r="I1385" s="32"/>
      <c r="J1385" s="23" t="s">
        <v>6</v>
      </c>
      <c r="K1385" s="23" t="str">
        <f t="shared" si="1"/>
        <v>631912</v>
      </c>
      <c r="L1385" s="23"/>
      <c r="M1385" s="26"/>
      <c r="N1385" s="26"/>
      <c r="O1385" s="26"/>
      <c r="P1385" s="26"/>
      <c r="Q1385" s="26"/>
      <c r="R1385" s="26"/>
      <c r="S1385" s="26"/>
      <c r="T1385" s="26"/>
      <c r="U1385" s="26"/>
      <c r="V1385" s="26"/>
      <c r="W1385" s="26"/>
      <c r="X1385" s="26"/>
    </row>
    <row r="1386" hidden="1">
      <c r="A1386" s="10" t="s">
        <v>427</v>
      </c>
      <c r="B1386" s="10" t="s">
        <v>4385</v>
      </c>
      <c r="C1386" s="27" t="s">
        <v>4386</v>
      </c>
      <c r="D1386" s="10" t="s">
        <v>4387</v>
      </c>
      <c r="E1386" s="28" t="s">
        <v>534</v>
      </c>
      <c r="F1386" s="23" t="s">
        <v>1238</v>
      </c>
      <c r="G1386" s="23" t="s">
        <v>203</v>
      </c>
      <c r="H1386" s="23" t="s">
        <v>233</v>
      </c>
      <c r="I1386" s="32"/>
      <c r="J1386" s="23" t="s">
        <v>6</v>
      </c>
      <c r="K1386" s="23" t="str">
        <f t="shared" si="1"/>
        <v>644097</v>
      </c>
      <c r="L1386" s="23"/>
      <c r="M1386" s="26"/>
      <c r="N1386" s="26"/>
      <c r="O1386" s="26"/>
      <c r="P1386" s="26"/>
      <c r="Q1386" s="26"/>
      <c r="R1386" s="26"/>
      <c r="S1386" s="26"/>
      <c r="T1386" s="26"/>
      <c r="U1386" s="26"/>
      <c r="V1386" s="26"/>
      <c r="W1386" s="26"/>
      <c r="X1386" s="26"/>
    </row>
    <row r="1387" hidden="1">
      <c r="A1387" s="10" t="s">
        <v>427</v>
      </c>
      <c r="B1387" s="10" t="s">
        <v>4388</v>
      </c>
      <c r="C1387" s="27" t="s">
        <v>4389</v>
      </c>
      <c r="D1387" s="10" t="s">
        <v>4390</v>
      </c>
      <c r="E1387" s="28" t="s">
        <v>534</v>
      </c>
      <c r="F1387" s="23" t="s">
        <v>757</v>
      </c>
      <c r="G1387" s="23" t="s">
        <v>203</v>
      </c>
      <c r="H1387" s="23" t="s">
        <v>233</v>
      </c>
      <c r="I1387" s="32"/>
      <c r="J1387" s="23" t="s">
        <v>6</v>
      </c>
      <c r="K1387" s="23" t="str">
        <f t="shared" si="1"/>
        <v>643755</v>
      </c>
      <c r="L1387" s="23"/>
      <c r="M1387" s="26"/>
      <c r="N1387" s="26"/>
      <c r="O1387" s="26"/>
      <c r="P1387" s="26"/>
      <c r="Q1387" s="26"/>
      <c r="R1387" s="26"/>
      <c r="S1387" s="26"/>
      <c r="T1387" s="26"/>
      <c r="U1387" s="26"/>
      <c r="V1387" s="26"/>
      <c r="W1387" s="26"/>
      <c r="X1387" s="26"/>
    </row>
    <row r="1388" hidden="1">
      <c r="A1388" s="10" t="s">
        <v>427</v>
      </c>
      <c r="B1388" s="10" t="s">
        <v>4391</v>
      </c>
      <c r="C1388" s="27" t="s">
        <v>4392</v>
      </c>
      <c r="D1388" s="10" t="s">
        <v>4393</v>
      </c>
      <c r="E1388" s="28" t="s">
        <v>534</v>
      </c>
      <c r="F1388" s="23" t="s">
        <v>1238</v>
      </c>
      <c r="G1388" s="23" t="s">
        <v>203</v>
      </c>
      <c r="H1388" s="23" t="s">
        <v>233</v>
      </c>
      <c r="I1388" s="32"/>
      <c r="J1388" s="23" t="s">
        <v>6</v>
      </c>
      <c r="K1388" s="23" t="str">
        <f t="shared" si="1"/>
        <v>644103</v>
      </c>
      <c r="L1388" s="23"/>
      <c r="M1388" s="26"/>
      <c r="N1388" s="26"/>
      <c r="O1388" s="26"/>
      <c r="P1388" s="26"/>
      <c r="Q1388" s="26"/>
      <c r="R1388" s="26"/>
      <c r="S1388" s="26"/>
      <c r="T1388" s="26"/>
      <c r="U1388" s="26"/>
      <c r="V1388" s="26"/>
      <c r="W1388" s="26"/>
      <c r="X1388" s="26"/>
    </row>
    <row r="1389" hidden="1">
      <c r="A1389" s="10" t="s">
        <v>427</v>
      </c>
      <c r="B1389" s="10" t="s">
        <v>4394</v>
      </c>
      <c r="C1389" s="27" t="s">
        <v>4395</v>
      </c>
      <c r="D1389" s="10" t="s">
        <v>4396</v>
      </c>
      <c r="E1389" s="28" t="s">
        <v>534</v>
      </c>
      <c r="F1389" s="23" t="s">
        <v>757</v>
      </c>
      <c r="G1389" s="23" t="s">
        <v>203</v>
      </c>
      <c r="H1389" s="23" t="s">
        <v>233</v>
      </c>
      <c r="I1389" s="32"/>
      <c r="J1389" s="23" t="s">
        <v>6</v>
      </c>
      <c r="K1389" s="23" t="str">
        <f t="shared" si="1"/>
        <v>648293</v>
      </c>
      <c r="L1389" s="23"/>
      <c r="M1389" s="26"/>
      <c r="N1389" s="26"/>
      <c r="O1389" s="26"/>
      <c r="P1389" s="26"/>
      <c r="Q1389" s="26"/>
      <c r="R1389" s="26"/>
      <c r="S1389" s="26"/>
      <c r="T1389" s="26"/>
      <c r="U1389" s="26"/>
      <c r="V1389" s="26"/>
      <c r="W1389" s="26"/>
      <c r="X1389" s="26"/>
    </row>
    <row r="1390" hidden="1">
      <c r="A1390" s="10" t="s">
        <v>427</v>
      </c>
      <c r="B1390" s="10" t="s">
        <v>4397</v>
      </c>
      <c r="C1390" s="27" t="s">
        <v>4398</v>
      </c>
      <c r="D1390" s="10" t="s">
        <v>4399</v>
      </c>
      <c r="E1390" s="28" t="s">
        <v>431</v>
      </c>
      <c r="F1390" s="23" t="s">
        <v>950</v>
      </c>
      <c r="G1390" s="23" t="s">
        <v>203</v>
      </c>
      <c r="H1390" s="23" t="s">
        <v>233</v>
      </c>
      <c r="I1390" s="32"/>
      <c r="J1390" s="23" t="s">
        <v>6</v>
      </c>
      <c r="K1390" s="23" t="str">
        <f t="shared" si="1"/>
        <v>648125</v>
      </c>
      <c r="L1390" s="23"/>
      <c r="M1390" s="26"/>
      <c r="N1390" s="26"/>
      <c r="O1390" s="26"/>
      <c r="P1390" s="26"/>
      <c r="Q1390" s="26"/>
      <c r="R1390" s="26"/>
      <c r="S1390" s="26"/>
      <c r="T1390" s="26"/>
      <c r="U1390" s="26"/>
      <c r="V1390" s="26"/>
      <c r="W1390" s="26"/>
      <c r="X1390" s="26"/>
    </row>
    <row r="1391" hidden="1">
      <c r="A1391" s="10" t="s">
        <v>427</v>
      </c>
      <c r="B1391" s="10" t="s">
        <v>4400</v>
      </c>
      <c r="C1391" s="27" t="s">
        <v>4401</v>
      </c>
      <c r="D1391" s="10" t="s">
        <v>4402</v>
      </c>
      <c r="E1391" s="28" t="s">
        <v>534</v>
      </c>
      <c r="F1391" s="23" t="s">
        <v>1238</v>
      </c>
      <c r="G1391" s="23" t="s">
        <v>203</v>
      </c>
      <c r="H1391" s="23" t="s">
        <v>233</v>
      </c>
      <c r="I1391" s="32"/>
      <c r="J1391" s="23" t="s">
        <v>6</v>
      </c>
      <c r="K1391" s="23" t="str">
        <f t="shared" si="1"/>
        <v>648330</v>
      </c>
      <c r="L1391" s="23"/>
      <c r="M1391" s="26"/>
      <c r="N1391" s="26"/>
      <c r="O1391" s="26"/>
      <c r="P1391" s="26"/>
      <c r="Q1391" s="26"/>
      <c r="R1391" s="26"/>
      <c r="S1391" s="26"/>
      <c r="T1391" s="26"/>
      <c r="U1391" s="26"/>
      <c r="V1391" s="26"/>
      <c r="W1391" s="26"/>
      <c r="X1391" s="26"/>
    </row>
    <row r="1392" hidden="1">
      <c r="A1392" s="10" t="s">
        <v>427</v>
      </c>
      <c r="B1392" s="10" t="s">
        <v>4403</v>
      </c>
      <c r="C1392" s="27" t="s">
        <v>4404</v>
      </c>
      <c r="D1392" s="10" t="s">
        <v>4405</v>
      </c>
      <c r="E1392" s="28" t="s">
        <v>431</v>
      </c>
      <c r="F1392" s="23" t="s">
        <v>946</v>
      </c>
      <c r="G1392" s="23" t="s">
        <v>203</v>
      </c>
      <c r="H1392" s="23" t="s">
        <v>233</v>
      </c>
      <c r="I1392" s="32"/>
      <c r="J1392" s="23" t="s">
        <v>6</v>
      </c>
      <c r="K1392" s="23" t="str">
        <f t="shared" si="1"/>
        <v>648163</v>
      </c>
      <c r="L1392" s="23"/>
      <c r="M1392" s="26"/>
      <c r="N1392" s="26"/>
      <c r="O1392" s="26"/>
      <c r="P1392" s="26"/>
      <c r="Q1392" s="26"/>
      <c r="R1392" s="26"/>
      <c r="S1392" s="26"/>
      <c r="T1392" s="26"/>
      <c r="U1392" s="26"/>
      <c r="V1392" s="26"/>
      <c r="W1392" s="26"/>
      <c r="X1392" s="26"/>
    </row>
    <row r="1393" hidden="1">
      <c r="A1393" s="10" t="s">
        <v>427</v>
      </c>
      <c r="B1393" s="10" t="s">
        <v>4406</v>
      </c>
      <c r="C1393" s="27" t="s">
        <v>4407</v>
      </c>
      <c r="D1393" s="10" t="s">
        <v>4408</v>
      </c>
      <c r="E1393" s="28" t="s">
        <v>534</v>
      </c>
      <c r="F1393" s="23" t="s">
        <v>757</v>
      </c>
      <c r="G1393" s="23" t="s">
        <v>203</v>
      </c>
      <c r="H1393" s="23" t="s">
        <v>233</v>
      </c>
      <c r="I1393" s="32"/>
      <c r="J1393" s="23" t="s">
        <v>6</v>
      </c>
      <c r="K1393" s="23" t="str">
        <f t="shared" si="1"/>
        <v>648323</v>
      </c>
      <c r="L1393" s="23"/>
      <c r="M1393" s="26"/>
      <c r="N1393" s="26"/>
      <c r="O1393" s="26"/>
      <c r="P1393" s="26"/>
      <c r="Q1393" s="26"/>
      <c r="R1393" s="26"/>
      <c r="S1393" s="26"/>
      <c r="T1393" s="26"/>
      <c r="U1393" s="26"/>
      <c r="V1393" s="26"/>
      <c r="W1393" s="26"/>
      <c r="X1393" s="26"/>
    </row>
    <row r="1394" hidden="1">
      <c r="A1394" s="10" t="s">
        <v>427</v>
      </c>
      <c r="B1394" s="10" t="s">
        <v>4409</v>
      </c>
      <c r="C1394" s="27" t="s">
        <v>4410</v>
      </c>
      <c r="D1394" s="10" t="s">
        <v>4411</v>
      </c>
      <c r="E1394" s="28" t="s">
        <v>431</v>
      </c>
      <c r="F1394" s="23" t="s">
        <v>950</v>
      </c>
      <c r="G1394" s="23" t="s">
        <v>203</v>
      </c>
      <c r="H1394" s="23" t="s">
        <v>233</v>
      </c>
      <c r="I1394" s="32"/>
      <c r="J1394" s="23" t="s">
        <v>6</v>
      </c>
      <c r="K1394" s="23" t="str">
        <f t="shared" si="1"/>
        <v>648156</v>
      </c>
      <c r="L1394" s="23"/>
      <c r="M1394" s="26"/>
      <c r="N1394" s="26"/>
      <c r="O1394" s="26"/>
      <c r="P1394" s="26"/>
      <c r="Q1394" s="26"/>
      <c r="R1394" s="26"/>
      <c r="S1394" s="26"/>
      <c r="T1394" s="26"/>
      <c r="U1394" s="26"/>
      <c r="V1394" s="26"/>
      <c r="W1394" s="26"/>
      <c r="X1394" s="26"/>
    </row>
    <row r="1395" hidden="1">
      <c r="A1395" s="10" t="s">
        <v>427</v>
      </c>
      <c r="B1395" s="10" t="s">
        <v>4412</v>
      </c>
      <c r="C1395" s="27" t="s">
        <v>4413</v>
      </c>
      <c r="D1395" s="10" t="s">
        <v>4414</v>
      </c>
      <c r="E1395" s="28" t="s">
        <v>534</v>
      </c>
      <c r="F1395" s="23" t="s">
        <v>1238</v>
      </c>
      <c r="G1395" s="23" t="s">
        <v>203</v>
      </c>
      <c r="H1395" s="23" t="s">
        <v>233</v>
      </c>
      <c r="I1395" s="32"/>
      <c r="J1395" s="23" t="s">
        <v>6</v>
      </c>
      <c r="K1395" s="23" t="str">
        <f t="shared" si="1"/>
        <v>648361</v>
      </c>
      <c r="L1395" s="23"/>
      <c r="M1395" s="26"/>
      <c r="N1395" s="26"/>
      <c r="O1395" s="26"/>
      <c r="P1395" s="26"/>
      <c r="Q1395" s="26"/>
      <c r="R1395" s="26"/>
      <c r="S1395" s="26"/>
      <c r="T1395" s="26"/>
      <c r="U1395" s="26"/>
      <c r="V1395" s="26"/>
      <c r="W1395" s="26"/>
      <c r="X1395" s="26"/>
    </row>
    <row r="1396" hidden="1">
      <c r="A1396" s="10" t="s">
        <v>427</v>
      </c>
      <c r="B1396" s="10" t="s">
        <v>4415</v>
      </c>
      <c r="C1396" s="27" t="s">
        <v>4416</v>
      </c>
      <c r="D1396" s="10" t="s">
        <v>4417</v>
      </c>
      <c r="E1396" s="28" t="s">
        <v>431</v>
      </c>
      <c r="F1396" s="23" t="s">
        <v>946</v>
      </c>
      <c r="G1396" s="23" t="s">
        <v>203</v>
      </c>
      <c r="H1396" s="23" t="s">
        <v>233</v>
      </c>
      <c r="I1396" s="32"/>
      <c r="J1396" s="23" t="s">
        <v>6</v>
      </c>
      <c r="K1396" s="23" t="str">
        <f t="shared" si="1"/>
        <v>648194</v>
      </c>
      <c r="L1396" s="23"/>
      <c r="M1396" s="26"/>
      <c r="N1396" s="26"/>
      <c r="O1396" s="26"/>
      <c r="P1396" s="26"/>
      <c r="Q1396" s="26"/>
      <c r="R1396" s="26"/>
      <c r="S1396" s="26"/>
      <c r="T1396" s="26"/>
      <c r="U1396" s="26"/>
      <c r="V1396" s="26"/>
      <c r="W1396" s="26"/>
      <c r="X1396" s="26"/>
    </row>
    <row r="1397" hidden="1">
      <c r="A1397" s="10" t="s">
        <v>427</v>
      </c>
      <c r="B1397" s="10" t="s">
        <v>4418</v>
      </c>
      <c r="C1397" s="27" t="s">
        <v>4419</v>
      </c>
      <c r="D1397" s="10" t="s">
        <v>4420</v>
      </c>
      <c r="E1397" s="28" t="s">
        <v>534</v>
      </c>
      <c r="F1397" s="23" t="s">
        <v>757</v>
      </c>
      <c r="G1397" s="23" t="s">
        <v>203</v>
      </c>
      <c r="H1397" s="23" t="s">
        <v>233</v>
      </c>
      <c r="I1397" s="32"/>
      <c r="J1397" s="23" t="s">
        <v>6</v>
      </c>
      <c r="K1397" s="23" t="str">
        <f t="shared" si="1"/>
        <v>643748</v>
      </c>
      <c r="L1397" s="23"/>
      <c r="M1397" s="26"/>
      <c r="N1397" s="26"/>
      <c r="O1397" s="26"/>
      <c r="P1397" s="26"/>
      <c r="Q1397" s="26"/>
      <c r="R1397" s="26"/>
      <c r="S1397" s="26"/>
      <c r="T1397" s="26"/>
      <c r="U1397" s="26"/>
      <c r="V1397" s="26"/>
      <c r="W1397" s="26"/>
      <c r="X1397" s="26"/>
    </row>
    <row r="1398" hidden="1">
      <c r="A1398" s="10" t="s">
        <v>499</v>
      </c>
      <c r="B1398" s="10" t="s">
        <v>4421</v>
      </c>
      <c r="C1398" s="27" t="s">
        <v>4422</v>
      </c>
      <c r="D1398" s="10" t="s">
        <v>4423</v>
      </c>
      <c r="E1398" s="28" t="s">
        <v>194</v>
      </c>
      <c r="F1398" s="23" t="s">
        <v>195</v>
      </c>
      <c r="G1398" s="23" t="s">
        <v>745</v>
      </c>
      <c r="H1398" s="23" t="s">
        <v>4424</v>
      </c>
      <c r="I1398" s="32"/>
      <c r="J1398" s="23" t="s">
        <v>6</v>
      </c>
      <c r="K1398" s="23" t="str">
        <f t="shared" si="1"/>
        <v>999999</v>
      </c>
      <c r="L1398" s="23"/>
      <c r="M1398" s="26"/>
      <c r="N1398" s="26"/>
      <c r="O1398" s="26"/>
      <c r="P1398" s="26"/>
      <c r="Q1398" s="26"/>
      <c r="R1398" s="26"/>
      <c r="S1398" s="26"/>
      <c r="T1398" s="26"/>
      <c r="U1398" s="26"/>
      <c r="V1398" s="26"/>
      <c r="W1398" s="26"/>
      <c r="X1398" s="26"/>
    </row>
    <row r="1399" hidden="1">
      <c r="A1399" s="10" t="s">
        <v>190</v>
      </c>
      <c r="B1399" s="10" t="s">
        <v>4425</v>
      </c>
      <c r="C1399" s="27" t="s">
        <v>4426</v>
      </c>
      <c r="D1399" s="10" t="s">
        <v>4427</v>
      </c>
      <c r="E1399" s="28" t="s">
        <v>194</v>
      </c>
      <c r="F1399" s="23" t="s">
        <v>195</v>
      </c>
      <c r="G1399" s="23" t="s">
        <v>203</v>
      </c>
      <c r="H1399" s="23" t="s">
        <v>1372</v>
      </c>
      <c r="I1399" s="23" t="s">
        <v>330</v>
      </c>
      <c r="J1399" s="23" t="s">
        <v>229</v>
      </c>
      <c r="K1399" s="23" t="str">
        <f t="shared" si="1"/>
        <v>686615</v>
      </c>
      <c r="L1399" s="23"/>
      <c r="M1399" s="26"/>
      <c r="N1399" s="26"/>
      <c r="O1399" s="26"/>
      <c r="P1399" s="26"/>
      <c r="Q1399" s="26"/>
      <c r="R1399" s="26"/>
      <c r="S1399" s="26"/>
      <c r="T1399" s="26"/>
      <c r="U1399" s="26"/>
      <c r="V1399" s="26"/>
      <c r="W1399" s="26"/>
      <c r="X1399" s="26"/>
    </row>
    <row r="1400" hidden="1">
      <c r="A1400" s="10" t="s">
        <v>499</v>
      </c>
      <c r="B1400" s="10" t="s">
        <v>4428</v>
      </c>
      <c r="C1400" s="27" t="s">
        <v>4429</v>
      </c>
      <c r="D1400" s="10" t="s">
        <v>4430</v>
      </c>
      <c r="E1400" s="28" t="s">
        <v>194</v>
      </c>
      <c r="F1400" s="23" t="s">
        <v>195</v>
      </c>
      <c r="G1400" s="23" t="s">
        <v>203</v>
      </c>
      <c r="H1400" s="23" t="s">
        <v>1372</v>
      </c>
      <c r="I1400" s="32"/>
      <c r="J1400" s="23" t="s">
        <v>6</v>
      </c>
      <c r="K1400" s="23" t="str">
        <f t="shared" si="1"/>
        <v>621615</v>
      </c>
      <c r="L1400" s="23"/>
      <c r="M1400" s="26"/>
      <c r="N1400" s="26"/>
      <c r="O1400" s="26"/>
      <c r="P1400" s="26"/>
      <c r="Q1400" s="26"/>
      <c r="R1400" s="26"/>
      <c r="S1400" s="26"/>
      <c r="T1400" s="26"/>
      <c r="U1400" s="26"/>
      <c r="V1400" s="26"/>
      <c r="W1400" s="26"/>
      <c r="X1400" s="26"/>
    </row>
    <row r="1401" hidden="1">
      <c r="A1401" s="10" t="s">
        <v>499</v>
      </c>
      <c r="B1401" s="10" t="s">
        <v>4431</v>
      </c>
      <c r="C1401" s="27" t="s">
        <v>4432</v>
      </c>
      <c r="D1401" s="10" t="s">
        <v>4433</v>
      </c>
      <c r="E1401" s="28" t="s">
        <v>194</v>
      </c>
      <c r="F1401" s="23" t="s">
        <v>195</v>
      </c>
      <c r="G1401" s="23" t="s">
        <v>203</v>
      </c>
      <c r="H1401" s="23" t="s">
        <v>1372</v>
      </c>
      <c r="I1401" s="32"/>
      <c r="J1401" s="23" t="s">
        <v>6</v>
      </c>
      <c r="K1401" s="23" t="str">
        <f t="shared" si="1"/>
        <v>635378</v>
      </c>
      <c r="L1401" s="23"/>
      <c r="M1401" s="26"/>
      <c r="N1401" s="26"/>
      <c r="O1401" s="26"/>
      <c r="P1401" s="26"/>
      <c r="Q1401" s="26"/>
      <c r="R1401" s="26"/>
      <c r="S1401" s="26"/>
      <c r="T1401" s="26"/>
      <c r="U1401" s="26"/>
      <c r="V1401" s="26"/>
      <c r="W1401" s="26"/>
      <c r="X1401" s="26"/>
    </row>
    <row r="1402" hidden="1">
      <c r="A1402" s="10" t="s">
        <v>499</v>
      </c>
      <c r="B1402" s="10" t="s">
        <v>4434</v>
      </c>
      <c r="C1402" s="27" t="s">
        <v>4435</v>
      </c>
      <c r="D1402" s="10" t="s">
        <v>4436</v>
      </c>
      <c r="E1402" s="28" t="s">
        <v>194</v>
      </c>
      <c r="F1402" s="23" t="s">
        <v>195</v>
      </c>
      <c r="G1402" s="23" t="s">
        <v>203</v>
      </c>
      <c r="H1402" s="23" t="s">
        <v>1372</v>
      </c>
      <c r="I1402" s="32"/>
      <c r="J1402" s="23" t="s">
        <v>6</v>
      </c>
      <c r="K1402" s="23" t="str">
        <f t="shared" si="1"/>
        <v>635408</v>
      </c>
      <c r="L1402" s="23"/>
      <c r="M1402" s="26"/>
      <c r="N1402" s="26"/>
      <c r="O1402" s="26"/>
      <c r="P1402" s="26"/>
      <c r="Q1402" s="26"/>
      <c r="R1402" s="26"/>
      <c r="S1402" s="26"/>
      <c r="T1402" s="26"/>
      <c r="U1402" s="26"/>
      <c r="V1402" s="26"/>
      <c r="W1402" s="26"/>
      <c r="X1402" s="26"/>
    </row>
    <row r="1403" hidden="1">
      <c r="A1403" s="10" t="s">
        <v>499</v>
      </c>
      <c r="B1403" s="10" t="s">
        <v>4437</v>
      </c>
      <c r="C1403" s="27" t="s">
        <v>4438</v>
      </c>
      <c r="D1403" s="10" t="s">
        <v>4439</v>
      </c>
      <c r="E1403" s="28" t="s">
        <v>194</v>
      </c>
      <c r="F1403" s="23" t="s">
        <v>195</v>
      </c>
      <c r="G1403" s="23" t="s">
        <v>203</v>
      </c>
      <c r="H1403" s="23" t="s">
        <v>1372</v>
      </c>
      <c r="I1403" s="32"/>
      <c r="J1403" s="23" t="s">
        <v>6</v>
      </c>
      <c r="K1403" s="23" t="str">
        <f t="shared" si="1"/>
        <v>676586</v>
      </c>
      <c r="L1403" s="23"/>
      <c r="M1403" s="26"/>
      <c r="N1403" s="26"/>
      <c r="O1403" s="26"/>
      <c r="P1403" s="26"/>
      <c r="Q1403" s="26"/>
      <c r="R1403" s="26"/>
      <c r="S1403" s="26"/>
      <c r="T1403" s="26"/>
      <c r="U1403" s="26"/>
      <c r="V1403" s="26"/>
      <c r="W1403" s="26"/>
      <c r="X1403" s="26"/>
    </row>
    <row r="1404" hidden="1">
      <c r="A1404" s="10" t="s">
        <v>499</v>
      </c>
      <c r="B1404" s="10" t="s">
        <v>4440</v>
      </c>
      <c r="C1404" s="27" t="s">
        <v>4441</v>
      </c>
      <c r="D1404" s="10" t="s">
        <v>4442</v>
      </c>
      <c r="E1404" s="28" t="s">
        <v>194</v>
      </c>
      <c r="F1404" s="23" t="s">
        <v>2498</v>
      </c>
      <c r="G1404" s="23" t="s">
        <v>203</v>
      </c>
      <c r="H1404" s="23" t="s">
        <v>1372</v>
      </c>
      <c r="I1404" s="32"/>
      <c r="J1404" s="23" t="s">
        <v>6</v>
      </c>
      <c r="K1404" s="23" t="str">
        <f t="shared" si="1"/>
        <v>659848</v>
      </c>
      <c r="L1404" s="23"/>
      <c r="M1404" s="26"/>
      <c r="N1404" s="26"/>
      <c r="O1404" s="26"/>
      <c r="P1404" s="26"/>
      <c r="Q1404" s="26"/>
      <c r="R1404" s="26"/>
      <c r="S1404" s="26"/>
      <c r="T1404" s="26"/>
      <c r="U1404" s="26"/>
      <c r="V1404" s="26"/>
      <c r="W1404" s="26"/>
      <c r="X1404" s="26"/>
    </row>
    <row r="1405" hidden="1">
      <c r="A1405" s="10" t="s">
        <v>499</v>
      </c>
      <c r="B1405" s="10" t="s">
        <v>4443</v>
      </c>
      <c r="C1405" s="27" t="s">
        <v>4444</v>
      </c>
      <c r="D1405" s="10" t="s">
        <v>4445</v>
      </c>
      <c r="E1405" s="28" t="s">
        <v>194</v>
      </c>
      <c r="F1405" s="23" t="s">
        <v>195</v>
      </c>
      <c r="G1405" s="23" t="s">
        <v>203</v>
      </c>
      <c r="H1405" s="23" t="s">
        <v>1372</v>
      </c>
      <c r="I1405" s="32"/>
      <c r="J1405" s="23" t="s">
        <v>6</v>
      </c>
      <c r="K1405" s="23" t="str">
        <f t="shared" si="1"/>
        <v>643502</v>
      </c>
      <c r="L1405" s="23"/>
      <c r="M1405" s="26"/>
      <c r="N1405" s="26"/>
      <c r="O1405" s="26"/>
      <c r="P1405" s="26"/>
      <c r="Q1405" s="26"/>
      <c r="R1405" s="26"/>
      <c r="S1405" s="26"/>
      <c r="T1405" s="26"/>
      <c r="U1405" s="26"/>
      <c r="V1405" s="26"/>
      <c r="W1405" s="26"/>
      <c r="X1405" s="26"/>
    </row>
    <row r="1406" hidden="1">
      <c r="A1406" s="10" t="s">
        <v>499</v>
      </c>
      <c r="B1406" s="10" t="s">
        <v>4446</v>
      </c>
      <c r="C1406" s="27" t="s">
        <v>4447</v>
      </c>
      <c r="D1406" s="10" t="s">
        <v>4448</v>
      </c>
      <c r="E1406" s="28" t="s">
        <v>194</v>
      </c>
      <c r="F1406" s="23" t="s">
        <v>195</v>
      </c>
      <c r="G1406" s="23" t="s">
        <v>203</v>
      </c>
      <c r="H1406" s="23" t="s">
        <v>1372</v>
      </c>
      <c r="I1406" s="32"/>
      <c r="J1406" s="23" t="s">
        <v>6</v>
      </c>
      <c r="K1406" s="23" t="str">
        <f t="shared" si="1"/>
        <v>648422</v>
      </c>
      <c r="L1406" s="23"/>
      <c r="M1406" s="26"/>
      <c r="N1406" s="26"/>
      <c r="O1406" s="26"/>
      <c r="P1406" s="26"/>
      <c r="Q1406" s="26"/>
      <c r="R1406" s="26"/>
      <c r="S1406" s="26"/>
      <c r="T1406" s="26"/>
      <c r="U1406" s="26"/>
      <c r="V1406" s="26"/>
      <c r="W1406" s="26"/>
      <c r="X1406" s="26"/>
    </row>
    <row r="1407" hidden="1">
      <c r="A1407" s="10" t="s">
        <v>499</v>
      </c>
      <c r="B1407" s="10" t="s">
        <v>4449</v>
      </c>
      <c r="C1407" s="27" t="s">
        <v>4450</v>
      </c>
      <c r="D1407" s="10" t="s">
        <v>4451</v>
      </c>
      <c r="E1407" s="28" t="s">
        <v>194</v>
      </c>
      <c r="F1407" s="23" t="s">
        <v>589</v>
      </c>
      <c r="G1407" s="23" t="s">
        <v>203</v>
      </c>
      <c r="H1407" s="23" t="s">
        <v>1372</v>
      </c>
      <c r="I1407" s="32"/>
      <c r="J1407" s="23" t="s">
        <v>6</v>
      </c>
      <c r="K1407" s="23" t="str">
        <f t="shared" si="1"/>
        <v>682839</v>
      </c>
      <c r="L1407" s="23"/>
      <c r="M1407" s="26"/>
      <c r="N1407" s="26"/>
      <c r="O1407" s="26"/>
      <c r="P1407" s="26"/>
      <c r="Q1407" s="26"/>
      <c r="R1407" s="26"/>
      <c r="S1407" s="26"/>
      <c r="T1407" s="26"/>
      <c r="U1407" s="26"/>
      <c r="V1407" s="26"/>
      <c r="W1407" s="26"/>
      <c r="X1407" s="26"/>
    </row>
    <row r="1408" hidden="1">
      <c r="A1408" s="10" t="s">
        <v>499</v>
      </c>
      <c r="B1408" s="10" t="s">
        <v>4452</v>
      </c>
      <c r="C1408" s="27" t="s">
        <v>4453</v>
      </c>
      <c r="D1408" s="10" t="s">
        <v>4454</v>
      </c>
      <c r="E1408" s="28" t="s">
        <v>194</v>
      </c>
      <c r="F1408" s="23" t="s">
        <v>195</v>
      </c>
      <c r="G1408" s="23" t="s">
        <v>203</v>
      </c>
      <c r="H1408" s="23" t="s">
        <v>1372</v>
      </c>
      <c r="I1408" s="32"/>
      <c r="J1408" s="23" t="s">
        <v>6</v>
      </c>
      <c r="K1408" s="23" t="str">
        <f t="shared" si="1"/>
        <v>648446</v>
      </c>
      <c r="L1408" s="23"/>
      <c r="M1408" s="26"/>
      <c r="N1408" s="26"/>
      <c r="O1408" s="26"/>
      <c r="P1408" s="26"/>
      <c r="Q1408" s="26"/>
      <c r="R1408" s="26"/>
      <c r="S1408" s="26"/>
      <c r="T1408" s="26"/>
      <c r="U1408" s="26"/>
      <c r="V1408" s="26"/>
      <c r="W1408" s="26"/>
      <c r="X1408" s="26"/>
    </row>
    <row r="1409" hidden="1">
      <c r="A1409" s="10" t="s">
        <v>499</v>
      </c>
      <c r="B1409" s="10" t="s">
        <v>4455</v>
      </c>
      <c r="C1409" s="27" t="s">
        <v>4456</v>
      </c>
      <c r="D1409" s="10" t="s">
        <v>4457</v>
      </c>
      <c r="E1409" s="28" t="s">
        <v>194</v>
      </c>
      <c r="F1409" s="23" t="s">
        <v>195</v>
      </c>
      <c r="G1409" s="23" t="s">
        <v>203</v>
      </c>
      <c r="H1409" s="23" t="s">
        <v>1372</v>
      </c>
      <c r="I1409" s="32"/>
      <c r="J1409" s="23" t="s">
        <v>6</v>
      </c>
      <c r="K1409" s="23" t="str">
        <f t="shared" si="1"/>
        <v>648460</v>
      </c>
      <c r="L1409" s="23"/>
      <c r="M1409" s="26"/>
      <c r="N1409" s="26"/>
      <c r="O1409" s="26"/>
      <c r="P1409" s="26"/>
      <c r="Q1409" s="26"/>
      <c r="R1409" s="26"/>
      <c r="S1409" s="26"/>
      <c r="T1409" s="26"/>
      <c r="U1409" s="26"/>
      <c r="V1409" s="26"/>
      <c r="W1409" s="26"/>
      <c r="X1409" s="26"/>
    </row>
    <row r="1410" hidden="1">
      <c r="A1410" s="10" t="s">
        <v>427</v>
      </c>
      <c r="B1410" s="10" t="s">
        <v>4458</v>
      </c>
      <c r="C1410" s="27" t="s">
        <v>4459</v>
      </c>
      <c r="D1410" s="10" t="s">
        <v>4460</v>
      </c>
      <c r="E1410" s="28" t="s">
        <v>431</v>
      </c>
      <c r="F1410" s="23" t="s">
        <v>1231</v>
      </c>
      <c r="G1410" s="23" t="s">
        <v>203</v>
      </c>
      <c r="H1410" s="23" t="s">
        <v>1372</v>
      </c>
      <c r="I1410" s="32"/>
      <c r="J1410" s="23" t="s">
        <v>6</v>
      </c>
      <c r="K1410" s="23" t="str">
        <f t="shared" si="1"/>
        <v>632605</v>
      </c>
      <c r="L1410" s="23"/>
      <c r="M1410" s="26"/>
      <c r="N1410" s="26"/>
      <c r="O1410" s="26"/>
      <c r="P1410" s="26"/>
      <c r="Q1410" s="26"/>
      <c r="R1410" s="26"/>
      <c r="S1410" s="26"/>
      <c r="T1410" s="26"/>
      <c r="U1410" s="26"/>
      <c r="V1410" s="26"/>
      <c r="W1410" s="26"/>
      <c r="X1410" s="26"/>
    </row>
    <row r="1411" hidden="1">
      <c r="A1411" s="10" t="s">
        <v>427</v>
      </c>
      <c r="B1411" s="10" t="s">
        <v>4461</v>
      </c>
      <c r="C1411" s="27" t="s">
        <v>4462</v>
      </c>
      <c r="D1411" s="10" t="s">
        <v>4463</v>
      </c>
      <c r="E1411" s="28" t="s">
        <v>418</v>
      </c>
      <c r="F1411" s="23" t="s">
        <v>977</v>
      </c>
      <c r="G1411" s="23" t="s">
        <v>203</v>
      </c>
      <c r="H1411" s="23" t="s">
        <v>1372</v>
      </c>
      <c r="I1411" s="32"/>
      <c r="J1411" s="23" t="s">
        <v>6</v>
      </c>
      <c r="K1411" s="23" t="str">
        <f t="shared" si="1"/>
        <v>675459</v>
      </c>
      <c r="L1411" s="23"/>
      <c r="M1411" s="26"/>
      <c r="N1411" s="26"/>
      <c r="O1411" s="26"/>
      <c r="P1411" s="26"/>
      <c r="Q1411" s="26"/>
      <c r="R1411" s="26"/>
      <c r="S1411" s="26"/>
      <c r="T1411" s="26"/>
      <c r="U1411" s="26"/>
      <c r="V1411" s="26"/>
      <c r="W1411" s="26"/>
      <c r="X1411" s="26"/>
    </row>
    <row r="1412" hidden="1">
      <c r="A1412" s="10" t="s">
        <v>427</v>
      </c>
      <c r="B1412" s="10" t="s">
        <v>4464</v>
      </c>
      <c r="C1412" s="27" t="s">
        <v>4465</v>
      </c>
      <c r="D1412" s="10" t="s">
        <v>4463</v>
      </c>
      <c r="E1412" s="28" t="s">
        <v>418</v>
      </c>
      <c r="F1412" s="23" t="s">
        <v>419</v>
      </c>
      <c r="G1412" s="23" t="s">
        <v>203</v>
      </c>
      <c r="H1412" s="23" t="s">
        <v>1372</v>
      </c>
      <c r="I1412" s="32"/>
      <c r="J1412" s="23" t="s">
        <v>6</v>
      </c>
      <c r="K1412" s="23" t="str">
        <f t="shared" si="1"/>
        <v>675589</v>
      </c>
      <c r="L1412" s="23"/>
      <c r="M1412" s="26"/>
      <c r="N1412" s="26"/>
      <c r="O1412" s="26"/>
      <c r="P1412" s="26"/>
      <c r="Q1412" s="26"/>
      <c r="R1412" s="26"/>
      <c r="S1412" s="26"/>
      <c r="T1412" s="26"/>
      <c r="U1412" s="26"/>
      <c r="V1412" s="26"/>
      <c r="W1412" s="26"/>
      <c r="X1412" s="26"/>
    </row>
    <row r="1413" hidden="1">
      <c r="A1413" s="10" t="s">
        <v>427</v>
      </c>
      <c r="B1413" s="10" t="s">
        <v>4466</v>
      </c>
      <c r="C1413" s="27" t="s">
        <v>4467</v>
      </c>
      <c r="D1413" s="10" t="s">
        <v>4468</v>
      </c>
      <c r="E1413" s="28" t="s">
        <v>431</v>
      </c>
      <c r="F1413" s="23" t="s">
        <v>1788</v>
      </c>
      <c r="G1413" s="23" t="s">
        <v>203</v>
      </c>
      <c r="H1413" s="23" t="s">
        <v>1372</v>
      </c>
      <c r="I1413" s="32"/>
      <c r="J1413" s="23" t="s">
        <v>6</v>
      </c>
      <c r="K1413" s="23" t="str">
        <f t="shared" si="1"/>
        <v>627731</v>
      </c>
      <c r="L1413" s="23"/>
      <c r="M1413" s="26"/>
      <c r="N1413" s="26"/>
      <c r="O1413" s="26"/>
      <c r="P1413" s="26"/>
      <c r="Q1413" s="26"/>
      <c r="R1413" s="26"/>
      <c r="S1413" s="26"/>
      <c r="T1413" s="26"/>
      <c r="U1413" s="26"/>
      <c r="V1413" s="26"/>
      <c r="W1413" s="26"/>
      <c r="X1413" s="26"/>
    </row>
    <row r="1414" hidden="1">
      <c r="A1414" s="10" t="s">
        <v>427</v>
      </c>
      <c r="B1414" s="10" t="s">
        <v>4469</v>
      </c>
      <c r="C1414" s="27" t="s">
        <v>4470</v>
      </c>
      <c r="D1414" s="10" t="s">
        <v>4471</v>
      </c>
      <c r="E1414" s="28" t="s">
        <v>431</v>
      </c>
      <c r="F1414" s="23" t="s">
        <v>950</v>
      </c>
      <c r="G1414" s="23" t="s">
        <v>203</v>
      </c>
      <c r="H1414" s="23" t="s">
        <v>1372</v>
      </c>
      <c r="I1414" s="32"/>
      <c r="J1414" s="23" t="s">
        <v>6</v>
      </c>
      <c r="K1414" s="23" t="str">
        <f t="shared" si="1"/>
        <v>660059</v>
      </c>
      <c r="L1414" s="23"/>
      <c r="M1414" s="26"/>
      <c r="N1414" s="26"/>
      <c r="O1414" s="26"/>
      <c r="P1414" s="26"/>
      <c r="Q1414" s="26"/>
      <c r="R1414" s="26"/>
      <c r="S1414" s="26"/>
      <c r="T1414" s="26"/>
      <c r="U1414" s="26"/>
      <c r="V1414" s="26"/>
      <c r="W1414" s="26"/>
      <c r="X1414" s="26"/>
    </row>
    <row r="1415" hidden="1">
      <c r="A1415" s="10" t="s">
        <v>427</v>
      </c>
      <c r="B1415" s="10" t="s">
        <v>4472</v>
      </c>
      <c r="C1415" s="27" t="s">
        <v>4473</v>
      </c>
      <c r="D1415" s="10" t="s">
        <v>4474</v>
      </c>
      <c r="E1415" s="28" t="s">
        <v>534</v>
      </c>
      <c r="F1415" s="23" t="s">
        <v>1238</v>
      </c>
      <c r="G1415" s="23" t="s">
        <v>203</v>
      </c>
      <c r="H1415" s="23" t="s">
        <v>1372</v>
      </c>
      <c r="I1415" s="32"/>
      <c r="J1415" s="23" t="s">
        <v>6</v>
      </c>
      <c r="K1415" s="23" t="str">
        <f t="shared" si="1"/>
        <v>648118</v>
      </c>
      <c r="L1415" s="23"/>
      <c r="M1415" s="26"/>
      <c r="N1415" s="26"/>
      <c r="O1415" s="26"/>
      <c r="P1415" s="26"/>
      <c r="Q1415" s="26"/>
      <c r="R1415" s="26"/>
      <c r="S1415" s="26"/>
      <c r="T1415" s="26"/>
      <c r="U1415" s="26"/>
      <c r="V1415" s="26"/>
      <c r="W1415" s="26"/>
      <c r="X1415" s="26"/>
    </row>
    <row r="1416" hidden="1">
      <c r="A1416" s="10" t="s">
        <v>427</v>
      </c>
      <c r="B1416" s="10" t="s">
        <v>4475</v>
      </c>
      <c r="C1416" s="27" t="s">
        <v>4476</v>
      </c>
      <c r="D1416" s="10" t="s">
        <v>4477</v>
      </c>
      <c r="E1416" s="28" t="s">
        <v>431</v>
      </c>
      <c r="F1416" s="23" t="s">
        <v>1053</v>
      </c>
      <c r="G1416" s="23" t="s">
        <v>203</v>
      </c>
      <c r="H1416" s="23" t="s">
        <v>1372</v>
      </c>
      <c r="I1416" s="32"/>
      <c r="J1416" s="23" t="s">
        <v>6</v>
      </c>
      <c r="K1416" s="23" t="str">
        <f t="shared" si="1"/>
        <v>670355</v>
      </c>
      <c r="L1416" s="23"/>
      <c r="M1416" s="26"/>
      <c r="N1416" s="26"/>
      <c r="O1416" s="26"/>
      <c r="P1416" s="26"/>
      <c r="Q1416" s="26"/>
      <c r="R1416" s="26"/>
      <c r="S1416" s="26"/>
      <c r="T1416" s="26"/>
      <c r="U1416" s="26"/>
      <c r="V1416" s="26"/>
      <c r="W1416" s="26"/>
      <c r="X1416" s="26"/>
    </row>
    <row r="1417" hidden="1">
      <c r="A1417" s="10" t="s">
        <v>427</v>
      </c>
      <c r="B1417" s="10" t="s">
        <v>4478</v>
      </c>
      <c r="C1417" s="27" t="s">
        <v>4479</v>
      </c>
      <c r="D1417" s="10" t="s">
        <v>4480</v>
      </c>
      <c r="E1417" s="28" t="s">
        <v>431</v>
      </c>
      <c r="F1417" s="23" t="s">
        <v>946</v>
      </c>
      <c r="G1417" s="23" t="s">
        <v>203</v>
      </c>
      <c r="H1417" s="23" t="s">
        <v>1372</v>
      </c>
      <c r="I1417" s="32"/>
      <c r="J1417" s="23" t="s">
        <v>6</v>
      </c>
      <c r="K1417" s="23" t="str">
        <f t="shared" si="1"/>
        <v>628592</v>
      </c>
      <c r="L1417" s="23"/>
      <c r="M1417" s="26"/>
      <c r="N1417" s="26"/>
      <c r="O1417" s="26"/>
      <c r="P1417" s="26"/>
      <c r="Q1417" s="26"/>
      <c r="R1417" s="26"/>
      <c r="S1417" s="26"/>
      <c r="T1417" s="26"/>
      <c r="U1417" s="26"/>
      <c r="V1417" s="26"/>
      <c r="W1417" s="26"/>
      <c r="X1417" s="26"/>
    </row>
    <row r="1418" hidden="1">
      <c r="A1418" s="10" t="s">
        <v>427</v>
      </c>
      <c r="B1418" s="10" t="s">
        <v>4481</v>
      </c>
      <c r="C1418" s="27" t="s">
        <v>4482</v>
      </c>
      <c r="D1418" s="10" t="s">
        <v>4483</v>
      </c>
      <c r="E1418" s="28" t="s">
        <v>431</v>
      </c>
      <c r="F1418" s="23" t="s">
        <v>1235</v>
      </c>
      <c r="G1418" s="23" t="s">
        <v>203</v>
      </c>
      <c r="H1418" s="23" t="s">
        <v>1372</v>
      </c>
      <c r="I1418" s="32"/>
      <c r="J1418" s="23" t="s">
        <v>6</v>
      </c>
      <c r="K1418" s="23" t="str">
        <f t="shared" si="1"/>
        <v>670522</v>
      </c>
      <c r="L1418" s="23"/>
      <c r="M1418" s="26"/>
      <c r="N1418" s="26"/>
      <c r="O1418" s="26"/>
      <c r="P1418" s="26"/>
      <c r="Q1418" s="26"/>
      <c r="R1418" s="26"/>
      <c r="S1418" s="26"/>
      <c r="T1418" s="26"/>
      <c r="U1418" s="26"/>
      <c r="V1418" s="26"/>
      <c r="W1418" s="26"/>
      <c r="X1418" s="26"/>
    </row>
    <row r="1419" hidden="1">
      <c r="A1419" s="10" t="s">
        <v>427</v>
      </c>
      <c r="B1419" s="10" t="s">
        <v>4484</v>
      </c>
      <c r="C1419" s="27" t="s">
        <v>4485</v>
      </c>
      <c r="D1419" s="10" t="s">
        <v>4486</v>
      </c>
      <c r="E1419" s="28" t="s">
        <v>431</v>
      </c>
      <c r="F1419" s="23" t="s">
        <v>1788</v>
      </c>
      <c r="G1419" s="23" t="s">
        <v>203</v>
      </c>
      <c r="H1419" s="23" t="s">
        <v>1372</v>
      </c>
      <c r="I1419" s="32"/>
      <c r="J1419" s="23" t="s">
        <v>6</v>
      </c>
      <c r="K1419" s="23" t="str">
        <f t="shared" si="1"/>
        <v>631363</v>
      </c>
      <c r="L1419" s="23"/>
      <c r="M1419" s="26"/>
      <c r="N1419" s="26"/>
      <c r="O1419" s="26"/>
      <c r="P1419" s="26"/>
      <c r="Q1419" s="26"/>
      <c r="R1419" s="26"/>
      <c r="S1419" s="26"/>
      <c r="T1419" s="26"/>
      <c r="U1419" s="26"/>
      <c r="V1419" s="26"/>
      <c r="W1419" s="26"/>
      <c r="X1419" s="26"/>
    </row>
    <row r="1420" hidden="1">
      <c r="A1420" s="10" t="s">
        <v>427</v>
      </c>
      <c r="B1420" s="10" t="s">
        <v>4487</v>
      </c>
      <c r="C1420" s="27" t="s">
        <v>4488</v>
      </c>
      <c r="D1420" s="10" t="s">
        <v>4489</v>
      </c>
      <c r="E1420" s="28" t="s">
        <v>534</v>
      </c>
      <c r="F1420" s="23" t="s">
        <v>1238</v>
      </c>
      <c r="G1420" s="23" t="s">
        <v>203</v>
      </c>
      <c r="H1420" s="23" t="s">
        <v>1372</v>
      </c>
      <c r="I1420" s="32"/>
      <c r="J1420" s="23" t="s">
        <v>6</v>
      </c>
      <c r="K1420" s="23" t="str">
        <f t="shared" si="1"/>
        <v>644066</v>
      </c>
      <c r="L1420" s="23"/>
      <c r="M1420" s="26"/>
      <c r="N1420" s="26"/>
      <c r="O1420" s="26"/>
      <c r="P1420" s="26"/>
      <c r="Q1420" s="26"/>
      <c r="R1420" s="26"/>
      <c r="S1420" s="26"/>
      <c r="T1420" s="26"/>
      <c r="U1420" s="26"/>
      <c r="V1420" s="26"/>
      <c r="W1420" s="26"/>
      <c r="X1420" s="26"/>
    </row>
    <row r="1421" hidden="1">
      <c r="A1421" s="10" t="s">
        <v>427</v>
      </c>
      <c r="B1421" s="10" t="s">
        <v>4490</v>
      </c>
      <c r="C1421" s="27" t="s">
        <v>4491</v>
      </c>
      <c r="D1421" s="10" t="s">
        <v>4492</v>
      </c>
      <c r="E1421" s="28" t="s">
        <v>431</v>
      </c>
      <c r="F1421" s="23" t="s">
        <v>1867</v>
      </c>
      <c r="G1421" s="23" t="s">
        <v>203</v>
      </c>
      <c r="H1421" s="23" t="s">
        <v>1372</v>
      </c>
      <c r="I1421" s="32"/>
      <c r="J1421" s="23" t="s">
        <v>6</v>
      </c>
      <c r="K1421" s="23" t="str">
        <f t="shared" si="1"/>
        <v>637648</v>
      </c>
      <c r="L1421" s="23"/>
      <c r="M1421" s="26"/>
      <c r="N1421" s="26"/>
      <c r="O1421" s="26"/>
      <c r="P1421" s="26"/>
      <c r="Q1421" s="26"/>
      <c r="R1421" s="26"/>
      <c r="S1421" s="26"/>
      <c r="T1421" s="26"/>
      <c r="U1421" s="26"/>
      <c r="V1421" s="26"/>
      <c r="W1421" s="26"/>
      <c r="X1421" s="26"/>
    </row>
    <row r="1422" hidden="1">
      <c r="A1422" s="10" t="s">
        <v>427</v>
      </c>
      <c r="B1422" s="10" t="s">
        <v>4493</v>
      </c>
      <c r="C1422" s="27" t="s">
        <v>4494</v>
      </c>
      <c r="D1422" s="10" t="s">
        <v>4495</v>
      </c>
      <c r="E1422" s="28" t="s">
        <v>431</v>
      </c>
      <c r="F1422" s="23" t="s">
        <v>933</v>
      </c>
      <c r="G1422" s="23" t="s">
        <v>203</v>
      </c>
      <c r="H1422" s="23" t="s">
        <v>1372</v>
      </c>
      <c r="I1422" s="32"/>
      <c r="J1422" s="23" t="s">
        <v>6</v>
      </c>
      <c r="K1422" s="23" t="str">
        <f t="shared" si="1"/>
        <v>628578</v>
      </c>
      <c r="L1422" s="23"/>
      <c r="M1422" s="26"/>
      <c r="N1422" s="26"/>
      <c r="O1422" s="26"/>
      <c r="P1422" s="26"/>
      <c r="Q1422" s="26"/>
      <c r="R1422" s="26"/>
      <c r="S1422" s="26"/>
      <c r="T1422" s="26"/>
      <c r="U1422" s="26"/>
      <c r="V1422" s="26"/>
      <c r="W1422" s="26"/>
      <c r="X1422" s="26"/>
    </row>
    <row r="1423" hidden="1">
      <c r="A1423" s="10" t="s">
        <v>427</v>
      </c>
      <c r="B1423" s="10" t="s">
        <v>4496</v>
      </c>
      <c r="C1423" s="27" t="s">
        <v>4497</v>
      </c>
      <c r="D1423" s="10" t="s">
        <v>4498</v>
      </c>
      <c r="E1423" s="28" t="s">
        <v>418</v>
      </c>
      <c r="F1423" s="23" t="s">
        <v>419</v>
      </c>
      <c r="G1423" s="23" t="s">
        <v>203</v>
      </c>
      <c r="H1423" s="23" t="s">
        <v>1372</v>
      </c>
      <c r="I1423" s="32"/>
      <c r="J1423" s="23" t="s">
        <v>6</v>
      </c>
      <c r="K1423" s="23" t="str">
        <f t="shared" si="1"/>
        <v>663111</v>
      </c>
      <c r="L1423" s="23"/>
      <c r="M1423" s="26"/>
      <c r="N1423" s="26"/>
      <c r="O1423" s="26"/>
      <c r="P1423" s="26"/>
      <c r="Q1423" s="26"/>
      <c r="R1423" s="26"/>
      <c r="S1423" s="26"/>
      <c r="T1423" s="26"/>
      <c r="U1423" s="26"/>
      <c r="V1423" s="26"/>
      <c r="W1423" s="26"/>
      <c r="X1423" s="26"/>
    </row>
    <row r="1424" hidden="1">
      <c r="A1424" s="10" t="s">
        <v>427</v>
      </c>
      <c r="B1424" s="10" t="s">
        <v>4499</v>
      </c>
      <c r="C1424" s="27" t="s">
        <v>4500</v>
      </c>
      <c r="D1424" s="10" t="s">
        <v>4501</v>
      </c>
      <c r="E1424" s="28" t="s">
        <v>431</v>
      </c>
      <c r="F1424" s="23" t="s">
        <v>950</v>
      </c>
      <c r="G1424" s="23" t="s">
        <v>203</v>
      </c>
      <c r="H1424" s="23" t="s">
        <v>1372</v>
      </c>
      <c r="I1424" s="32"/>
      <c r="J1424" s="23" t="s">
        <v>6</v>
      </c>
      <c r="K1424" s="23" t="str">
        <f t="shared" si="1"/>
        <v>632254</v>
      </c>
      <c r="L1424" s="23"/>
      <c r="M1424" s="26"/>
      <c r="N1424" s="26"/>
      <c r="O1424" s="26"/>
      <c r="P1424" s="26"/>
      <c r="Q1424" s="26"/>
      <c r="R1424" s="26"/>
      <c r="S1424" s="26"/>
      <c r="T1424" s="26"/>
      <c r="U1424" s="26"/>
      <c r="V1424" s="26"/>
      <c r="W1424" s="26"/>
      <c r="X1424" s="26"/>
    </row>
    <row r="1425" hidden="1">
      <c r="A1425" s="10" t="s">
        <v>427</v>
      </c>
      <c r="B1425" s="10" t="s">
        <v>4502</v>
      </c>
      <c r="C1425" s="27" t="s">
        <v>4503</v>
      </c>
      <c r="D1425" s="10" t="s">
        <v>4504</v>
      </c>
      <c r="E1425" s="28" t="s">
        <v>431</v>
      </c>
      <c r="F1425" s="23" t="s">
        <v>933</v>
      </c>
      <c r="G1425" s="23" t="s">
        <v>203</v>
      </c>
      <c r="H1425" s="23" t="s">
        <v>1372</v>
      </c>
      <c r="I1425" s="32"/>
      <c r="J1425" s="23" t="s">
        <v>6</v>
      </c>
      <c r="K1425" s="23" t="str">
        <f t="shared" si="1"/>
        <v>633442</v>
      </c>
      <c r="L1425" s="23"/>
      <c r="M1425" s="26"/>
      <c r="N1425" s="26"/>
      <c r="O1425" s="26"/>
      <c r="P1425" s="26"/>
      <c r="Q1425" s="26"/>
      <c r="R1425" s="26"/>
      <c r="S1425" s="26"/>
      <c r="T1425" s="26"/>
      <c r="U1425" s="26"/>
      <c r="V1425" s="26"/>
      <c r="W1425" s="26"/>
      <c r="X1425" s="26"/>
    </row>
    <row r="1426" hidden="1">
      <c r="A1426" s="10" t="s">
        <v>427</v>
      </c>
      <c r="B1426" s="10" t="s">
        <v>4505</v>
      </c>
      <c r="C1426" s="27" t="s">
        <v>4506</v>
      </c>
      <c r="D1426" s="10" t="s">
        <v>4507</v>
      </c>
      <c r="E1426" s="28" t="s">
        <v>534</v>
      </c>
      <c r="F1426" s="23" t="s">
        <v>757</v>
      </c>
      <c r="G1426" s="23" t="s">
        <v>203</v>
      </c>
      <c r="H1426" s="23" t="s">
        <v>1372</v>
      </c>
      <c r="I1426" s="32"/>
      <c r="J1426" s="23" t="s">
        <v>6</v>
      </c>
      <c r="K1426" s="23" t="str">
        <f t="shared" si="1"/>
        <v>648095</v>
      </c>
      <c r="L1426" s="23"/>
      <c r="M1426" s="26"/>
      <c r="N1426" s="26"/>
      <c r="O1426" s="26"/>
      <c r="P1426" s="26"/>
      <c r="Q1426" s="26"/>
      <c r="R1426" s="26"/>
      <c r="S1426" s="26"/>
      <c r="T1426" s="26"/>
      <c r="U1426" s="26"/>
      <c r="V1426" s="26"/>
      <c r="W1426" s="26"/>
      <c r="X1426" s="26"/>
    </row>
    <row r="1427" hidden="1">
      <c r="A1427" s="10" t="s">
        <v>427</v>
      </c>
      <c r="B1427" s="10" t="s">
        <v>4508</v>
      </c>
      <c r="C1427" s="27" t="s">
        <v>4509</v>
      </c>
      <c r="D1427" s="10" t="s">
        <v>4510</v>
      </c>
      <c r="E1427" s="28" t="s">
        <v>534</v>
      </c>
      <c r="F1427" s="23" t="s">
        <v>757</v>
      </c>
      <c r="G1427" s="23" t="s">
        <v>203</v>
      </c>
      <c r="H1427" s="23" t="s">
        <v>1372</v>
      </c>
      <c r="I1427" s="32"/>
      <c r="J1427" s="23" t="s">
        <v>6</v>
      </c>
      <c r="K1427" s="23" t="str">
        <f t="shared" si="1"/>
        <v>643717</v>
      </c>
      <c r="L1427" s="23"/>
      <c r="M1427" s="26"/>
      <c r="N1427" s="26"/>
      <c r="O1427" s="26"/>
      <c r="P1427" s="26"/>
      <c r="Q1427" s="26"/>
      <c r="R1427" s="26"/>
      <c r="S1427" s="26"/>
      <c r="T1427" s="26"/>
      <c r="U1427" s="26"/>
      <c r="V1427" s="26"/>
      <c r="W1427" s="26"/>
      <c r="X1427" s="26"/>
    </row>
    <row r="1428" hidden="1">
      <c r="A1428" s="10" t="s">
        <v>427</v>
      </c>
      <c r="B1428" s="10" t="s">
        <v>4511</v>
      </c>
      <c r="C1428" s="27" t="s">
        <v>4512</v>
      </c>
      <c r="D1428" s="10" t="s">
        <v>4513</v>
      </c>
      <c r="E1428" s="28" t="s">
        <v>534</v>
      </c>
      <c r="F1428" s="23" t="s">
        <v>535</v>
      </c>
      <c r="G1428" s="23" t="s">
        <v>203</v>
      </c>
      <c r="H1428" s="23" t="s">
        <v>1372</v>
      </c>
      <c r="I1428" s="32"/>
      <c r="J1428" s="23" t="s">
        <v>6</v>
      </c>
      <c r="K1428" s="23" t="str">
        <f t="shared" si="1"/>
        <v>690308</v>
      </c>
      <c r="L1428" s="23"/>
      <c r="M1428" s="26"/>
      <c r="N1428" s="26"/>
      <c r="O1428" s="26"/>
      <c r="P1428" s="26"/>
      <c r="Q1428" s="26"/>
      <c r="R1428" s="26"/>
      <c r="S1428" s="26"/>
      <c r="T1428" s="26"/>
      <c r="U1428" s="26"/>
      <c r="V1428" s="26"/>
      <c r="W1428" s="26"/>
      <c r="X1428" s="26"/>
    </row>
    <row r="1429" hidden="1">
      <c r="A1429" s="10" t="s">
        <v>427</v>
      </c>
      <c r="B1429" s="10" t="s">
        <v>4514</v>
      </c>
      <c r="C1429" s="27" t="s">
        <v>4515</v>
      </c>
      <c r="D1429" s="10" t="s">
        <v>4516</v>
      </c>
      <c r="E1429" s="28" t="s">
        <v>431</v>
      </c>
      <c r="F1429" s="23" t="s">
        <v>1231</v>
      </c>
      <c r="G1429" s="23" t="s">
        <v>203</v>
      </c>
      <c r="H1429" s="23" t="s">
        <v>1372</v>
      </c>
      <c r="I1429" s="32"/>
      <c r="J1429" s="23" t="s">
        <v>6</v>
      </c>
      <c r="K1429" s="23" t="str">
        <f t="shared" si="1"/>
        <v>672779</v>
      </c>
      <c r="L1429" s="23"/>
      <c r="M1429" s="26"/>
      <c r="N1429" s="26"/>
      <c r="O1429" s="26"/>
      <c r="P1429" s="26"/>
      <c r="Q1429" s="26"/>
      <c r="R1429" s="26"/>
      <c r="S1429" s="26"/>
      <c r="T1429" s="26"/>
      <c r="U1429" s="26"/>
      <c r="V1429" s="26"/>
      <c r="W1429" s="26"/>
      <c r="X1429" s="26"/>
    </row>
    <row r="1430" hidden="1">
      <c r="A1430" s="10" t="s">
        <v>427</v>
      </c>
      <c r="B1430" s="10" t="s">
        <v>4517</v>
      </c>
      <c r="C1430" s="27" t="s">
        <v>4518</v>
      </c>
      <c r="D1430" s="10" t="s">
        <v>4519</v>
      </c>
      <c r="E1430" s="28" t="s">
        <v>431</v>
      </c>
      <c r="F1430" s="23" t="s">
        <v>933</v>
      </c>
      <c r="G1430" s="23" t="s">
        <v>203</v>
      </c>
      <c r="H1430" s="23" t="s">
        <v>1372</v>
      </c>
      <c r="I1430" s="32"/>
      <c r="J1430" s="23" t="s">
        <v>6</v>
      </c>
      <c r="K1430" s="23" t="str">
        <f t="shared" si="1"/>
        <v>672755</v>
      </c>
      <c r="L1430" s="23"/>
      <c r="M1430" s="26"/>
      <c r="N1430" s="26"/>
      <c r="O1430" s="26"/>
      <c r="P1430" s="26"/>
      <c r="Q1430" s="26"/>
      <c r="R1430" s="26"/>
      <c r="S1430" s="26"/>
      <c r="T1430" s="26"/>
      <c r="U1430" s="26"/>
      <c r="V1430" s="26"/>
      <c r="W1430" s="26"/>
      <c r="X1430" s="26"/>
    </row>
    <row r="1431" hidden="1">
      <c r="A1431" s="10" t="s">
        <v>427</v>
      </c>
      <c r="B1431" s="10" t="s">
        <v>4520</v>
      </c>
      <c r="C1431" s="27" t="s">
        <v>4521</v>
      </c>
      <c r="D1431" s="10" t="s">
        <v>4522</v>
      </c>
      <c r="E1431" s="28" t="s">
        <v>418</v>
      </c>
      <c r="F1431" s="23" t="s">
        <v>419</v>
      </c>
      <c r="G1431" s="23" t="s">
        <v>203</v>
      </c>
      <c r="H1431" s="23" t="s">
        <v>1372</v>
      </c>
      <c r="I1431" s="32"/>
      <c r="J1431" s="23" t="s">
        <v>6</v>
      </c>
      <c r="K1431" s="23" t="str">
        <f t="shared" si="1"/>
        <v>690315</v>
      </c>
      <c r="L1431" s="23"/>
      <c r="M1431" s="26"/>
      <c r="N1431" s="26"/>
      <c r="O1431" s="26"/>
      <c r="P1431" s="26"/>
      <c r="Q1431" s="26"/>
      <c r="R1431" s="26"/>
      <c r="S1431" s="26"/>
      <c r="T1431" s="26"/>
      <c r="U1431" s="26"/>
      <c r="V1431" s="26"/>
      <c r="W1431" s="26"/>
      <c r="X1431" s="26"/>
    </row>
    <row r="1432" hidden="1">
      <c r="A1432" s="10" t="s">
        <v>190</v>
      </c>
      <c r="B1432" s="10" t="s">
        <v>4523</v>
      </c>
      <c r="C1432" s="27" t="s">
        <v>4524</v>
      </c>
      <c r="D1432" s="10" t="s">
        <v>4525</v>
      </c>
      <c r="E1432" s="28" t="s">
        <v>194</v>
      </c>
      <c r="F1432" s="23" t="s">
        <v>195</v>
      </c>
      <c r="G1432" s="23" t="s">
        <v>203</v>
      </c>
      <c r="H1432" s="23" t="s">
        <v>204</v>
      </c>
      <c r="I1432" s="23" t="s">
        <v>267</v>
      </c>
      <c r="J1432" s="23" t="s">
        <v>198</v>
      </c>
      <c r="K1432" s="23" t="str">
        <f t="shared" si="1"/>
        <v>676494</v>
      </c>
      <c r="L1432" s="23"/>
      <c r="M1432" s="26"/>
      <c r="N1432" s="26"/>
      <c r="O1432" s="26"/>
      <c r="P1432" s="26"/>
      <c r="Q1432" s="26"/>
      <c r="R1432" s="26"/>
      <c r="S1432" s="26"/>
      <c r="T1432" s="26"/>
      <c r="U1432" s="26"/>
      <c r="V1432" s="26"/>
      <c r="W1432" s="26"/>
      <c r="X1432" s="26"/>
    </row>
    <row r="1433" hidden="1">
      <c r="A1433" s="10" t="s">
        <v>190</v>
      </c>
      <c r="B1433" s="10" t="s">
        <v>4526</v>
      </c>
      <c r="C1433" s="27" t="s">
        <v>4527</v>
      </c>
      <c r="D1433" s="10" t="s">
        <v>4528</v>
      </c>
      <c r="E1433" s="28" t="s">
        <v>194</v>
      </c>
      <c r="F1433" s="23" t="s">
        <v>195</v>
      </c>
      <c r="G1433" s="23" t="s">
        <v>203</v>
      </c>
      <c r="H1433" s="23" t="s">
        <v>204</v>
      </c>
      <c r="I1433" s="23" t="s">
        <v>267</v>
      </c>
      <c r="J1433" s="23" t="s">
        <v>6</v>
      </c>
      <c r="K1433" s="23" t="str">
        <f t="shared" si="1"/>
        <v>686905</v>
      </c>
      <c r="L1433" s="23"/>
      <c r="M1433" s="26"/>
      <c r="N1433" s="26"/>
      <c r="O1433" s="26"/>
      <c r="P1433" s="26"/>
      <c r="Q1433" s="26"/>
      <c r="R1433" s="26"/>
      <c r="S1433" s="26"/>
      <c r="T1433" s="26"/>
      <c r="U1433" s="26"/>
      <c r="V1433" s="26"/>
      <c r="W1433" s="26"/>
      <c r="X1433" s="26"/>
    </row>
    <row r="1434" hidden="1">
      <c r="A1434" s="10" t="s">
        <v>190</v>
      </c>
      <c r="B1434" s="10" t="s">
        <v>4529</v>
      </c>
      <c r="C1434" s="27" t="s">
        <v>4530</v>
      </c>
      <c r="D1434" s="10" t="s">
        <v>4531</v>
      </c>
      <c r="E1434" s="28" t="s">
        <v>194</v>
      </c>
      <c r="F1434" s="23" t="s">
        <v>195</v>
      </c>
      <c r="G1434" s="23" t="s">
        <v>203</v>
      </c>
      <c r="H1434" s="23" t="s">
        <v>204</v>
      </c>
      <c r="I1434" s="23" t="s">
        <v>4532</v>
      </c>
      <c r="J1434" s="23" t="s">
        <v>229</v>
      </c>
      <c r="K1434" s="23" t="str">
        <f t="shared" si="1"/>
        <v>676517</v>
      </c>
      <c r="L1434" s="23"/>
      <c r="M1434" s="26"/>
      <c r="N1434" s="26"/>
      <c r="O1434" s="26"/>
      <c r="P1434" s="26"/>
      <c r="Q1434" s="26"/>
      <c r="R1434" s="26"/>
      <c r="S1434" s="26"/>
      <c r="T1434" s="26"/>
      <c r="U1434" s="26"/>
      <c r="V1434" s="26"/>
      <c r="W1434" s="26"/>
      <c r="X1434" s="26"/>
    </row>
    <row r="1435" hidden="1">
      <c r="A1435" s="10" t="s">
        <v>190</v>
      </c>
      <c r="B1435" s="10" t="s">
        <v>4533</v>
      </c>
      <c r="C1435" s="27" t="s">
        <v>4534</v>
      </c>
      <c r="D1435" s="10" t="s">
        <v>4535</v>
      </c>
      <c r="E1435" s="28" t="s">
        <v>194</v>
      </c>
      <c r="F1435" s="23" t="s">
        <v>195</v>
      </c>
      <c r="G1435" s="23" t="s">
        <v>203</v>
      </c>
      <c r="H1435" s="23" t="s">
        <v>204</v>
      </c>
      <c r="I1435" s="23" t="s">
        <v>205</v>
      </c>
      <c r="J1435" s="23" t="s">
        <v>198</v>
      </c>
      <c r="K1435" s="23" t="str">
        <f t="shared" si="1"/>
        <v>664378</v>
      </c>
      <c r="L1435" s="23"/>
      <c r="M1435" s="26"/>
      <c r="N1435" s="26"/>
      <c r="O1435" s="26"/>
      <c r="P1435" s="26"/>
      <c r="Q1435" s="26"/>
      <c r="R1435" s="26"/>
      <c r="S1435" s="26"/>
      <c r="T1435" s="26"/>
      <c r="U1435" s="26"/>
      <c r="V1435" s="26"/>
      <c r="W1435" s="26"/>
      <c r="X1435" s="26"/>
    </row>
    <row r="1436" hidden="1">
      <c r="A1436" s="10" t="s">
        <v>190</v>
      </c>
      <c r="B1436" s="10" t="s">
        <v>4536</v>
      </c>
      <c r="C1436" s="27" t="s">
        <v>4537</v>
      </c>
      <c r="D1436" s="10" t="s">
        <v>4538</v>
      </c>
      <c r="E1436" s="28" t="s">
        <v>194</v>
      </c>
      <c r="F1436" s="23" t="s">
        <v>195</v>
      </c>
      <c r="G1436" s="23" t="s">
        <v>203</v>
      </c>
      <c r="H1436" s="23" t="s">
        <v>204</v>
      </c>
      <c r="I1436" s="23" t="s">
        <v>4532</v>
      </c>
      <c r="J1436" s="23" t="s">
        <v>229</v>
      </c>
      <c r="K1436" s="23" t="str">
        <f t="shared" si="1"/>
        <v>659329</v>
      </c>
      <c r="L1436" s="23"/>
      <c r="M1436" s="26"/>
      <c r="N1436" s="26"/>
      <c r="O1436" s="26"/>
      <c r="P1436" s="26"/>
      <c r="Q1436" s="26"/>
      <c r="R1436" s="26"/>
      <c r="S1436" s="26"/>
      <c r="T1436" s="26"/>
      <c r="U1436" s="26"/>
      <c r="V1436" s="26"/>
      <c r="W1436" s="26"/>
      <c r="X1436" s="26"/>
    </row>
    <row r="1437" hidden="1">
      <c r="A1437" s="10" t="s">
        <v>190</v>
      </c>
      <c r="B1437" s="10" t="s">
        <v>4539</v>
      </c>
      <c r="C1437" s="27" t="s">
        <v>4540</v>
      </c>
      <c r="D1437" s="10" t="s">
        <v>4541</v>
      </c>
      <c r="E1437" s="28" t="s">
        <v>194</v>
      </c>
      <c r="F1437" s="23" t="s">
        <v>195</v>
      </c>
      <c r="G1437" s="23" t="s">
        <v>203</v>
      </c>
      <c r="H1437" s="23" t="s">
        <v>204</v>
      </c>
      <c r="I1437" s="23" t="s">
        <v>205</v>
      </c>
      <c r="J1437" s="23" t="s">
        <v>238</v>
      </c>
      <c r="K1437" s="23" t="str">
        <f t="shared" si="1"/>
        <v>644868</v>
      </c>
      <c r="L1437" s="23"/>
      <c r="M1437" s="26"/>
      <c r="N1437" s="26"/>
      <c r="O1437" s="26"/>
      <c r="P1437" s="26"/>
      <c r="Q1437" s="26"/>
      <c r="R1437" s="26"/>
      <c r="S1437" s="26"/>
      <c r="T1437" s="26"/>
      <c r="U1437" s="26"/>
      <c r="V1437" s="26"/>
      <c r="W1437" s="26"/>
      <c r="X1437" s="26"/>
    </row>
    <row r="1438" hidden="1">
      <c r="A1438" s="10" t="s">
        <v>190</v>
      </c>
      <c r="B1438" s="10" t="s">
        <v>4542</v>
      </c>
      <c r="C1438" s="27" t="s">
        <v>4543</v>
      </c>
      <c r="D1438" s="10" t="s">
        <v>4544</v>
      </c>
      <c r="E1438" s="28" t="s">
        <v>194</v>
      </c>
      <c r="F1438" s="23" t="s">
        <v>195</v>
      </c>
      <c r="G1438" s="23" t="s">
        <v>203</v>
      </c>
      <c r="H1438" s="23" t="s">
        <v>204</v>
      </c>
      <c r="I1438" s="23" t="s">
        <v>4545</v>
      </c>
      <c r="J1438" s="23" t="s">
        <v>238</v>
      </c>
      <c r="K1438" s="23" t="str">
        <f t="shared" si="1"/>
        <v>660417</v>
      </c>
      <c r="L1438" s="23"/>
      <c r="M1438" s="26"/>
      <c r="N1438" s="26"/>
      <c r="O1438" s="26"/>
      <c r="P1438" s="26"/>
      <c r="Q1438" s="26"/>
      <c r="R1438" s="26"/>
      <c r="S1438" s="26"/>
      <c r="T1438" s="26"/>
      <c r="U1438" s="26"/>
      <c r="V1438" s="26"/>
      <c r="W1438" s="26"/>
      <c r="X1438" s="26"/>
    </row>
    <row r="1439" hidden="1">
      <c r="A1439" s="10" t="s">
        <v>190</v>
      </c>
      <c r="B1439" s="10" t="s">
        <v>4546</v>
      </c>
      <c r="C1439" s="27" t="s">
        <v>4547</v>
      </c>
      <c r="D1439" s="10" t="s">
        <v>4548</v>
      </c>
      <c r="E1439" s="28" t="s">
        <v>194</v>
      </c>
      <c r="F1439" s="23" t="s">
        <v>195</v>
      </c>
      <c r="G1439" s="23" t="s">
        <v>203</v>
      </c>
      <c r="H1439" s="23" t="s">
        <v>204</v>
      </c>
      <c r="I1439" s="23" t="s">
        <v>4549</v>
      </c>
      <c r="J1439" s="23" t="s">
        <v>229</v>
      </c>
      <c r="K1439" s="23" t="str">
        <f t="shared" si="1"/>
        <v>626239</v>
      </c>
      <c r="L1439" s="23"/>
      <c r="M1439" s="26"/>
      <c r="N1439" s="26"/>
      <c r="O1439" s="26"/>
      <c r="P1439" s="26"/>
      <c r="Q1439" s="26"/>
      <c r="R1439" s="26"/>
      <c r="S1439" s="26"/>
      <c r="T1439" s="26"/>
      <c r="U1439" s="26"/>
      <c r="V1439" s="26"/>
      <c r="W1439" s="26"/>
      <c r="X1439" s="26"/>
    </row>
    <row r="1440" hidden="1">
      <c r="A1440" s="10" t="s">
        <v>190</v>
      </c>
      <c r="B1440" s="10" t="s">
        <v>4550</v>
      </c>
      <c r="C1440" s="27" t="s">
        <v>4551</v>
      </c>
      <c r="D1440" s="10" t="s">
        <v>4552</v>
      </c>
      <c r="E1440" s="28" t="s">
        <v>194</v>
      </c>
      <c r="F1440" s="23" t="s">
        <v>195</v>
      </c>
      <c r="G1440" s="23" t="s">
        <v>203</v>
      </c>
      <c r="H1440" s="23" t="s">
        <v>204</v>
      </c>
      <c r="I1440" s="32"/>
      <c r="J1440" s="23" t="s">
        <v>238</v>
      </c>
      <c r="K1440" s="23" t="str">
        <f t="shared" si="1"/>
        <v>690353</v>
      </c>
      <c r="L1440" s="23"/>
      <c r="M1440" s="26"/>
      <c r="N1440" s="26"/>
      <c r="O1440" s="26"/>
      <c r="P1440" s="26"/>
      <c r="Q1440" s="26"/>
      <c r="R1440" s="26"/>
      <c r="S1440" s="26"/>
      <c r="T1440" s="26"/>
      <c r="U1440" s="26"/>
      <c r="V1440" s="26"/>
      <c r="W1440" s="26"/>
      <c r="X1440" s="26"/>
    </row>
    <row r="1441" hidden="1">
      <c r="A1441" s="10" t="s">
        <v>190</v>
      </c>
      <c r="B1441" s="10" t="s">
        <v>4553</v>
      </c>
      <c r="C1441" s="27" t="s">
        <v>4554</v>
      </c>
      <c r="D1441" s="10" t="s">
        <v>4555</v>
      </c>
      <c r="E1441" s="28" t="s">
        <v>194</v>
      </c>
      <c r="F1441" s="23" t="s">
        <v>195</v>
      </c>
      <c r="G1441" s="23" t="s">
        <v>203</v>
      </c>
      <c r="H1441" s="23" t="s">
        <v>204</v>
      </c>
      <c r="I1441" s="32"/>
      <c r="J1441" s="23" t="s">
        <v>238</v>
      </c>
      <c r="K1441" s="23" t="str">
        <f t="shared" si="1"/>
        <v>690391</v>
      </c>
      <c r="L1441" s="23"/>
      <c r="M1441" s="26"/>
      <c r="N1441" s="26"/>
      <c r="O1441" s="26"/>
      <c r="P1441" s="26"/>
      <c r="Q1441" s="26"/>
      <c r="R1441" s="26"/>
      <c r="S1441" s="26"/>
      <c r="T1441" s="26"/>
      <c r="U1441" s="26"/>
      <c r="V1441" s="26"/>
      <c r="W1441" s="26"/>
      <c r="X1441" s="26"/>
    </row>
    <row r="1442" hidden="1">
      <c r="A1442" s="10" t="s">
        <v>190</v>
      </c>
      <c r="B1442" s="10" t="s">
        <v>4556</v>
      </c>
      <c r="C1442" s="27" t="s">
        <v>4557</v>
      </c>
      <c r="D1442" s="10" t="s">
        <v>4558</v>
      </c>
      <c r="E1442" s="28" t="s">
        <v>194</v>
      </c>
      <c r="F1442" s="23" t="s">
        <v>195</v>
      </c>
      <c r="G1442" s="23" t="s">
        <v>203</v>
      </c>
      <c r="H1442" s="23" t="s">
        <v>204</v>
      </c>
      <c r="I1442" s="23" t="s">
        <v>4559</v>
      </c>
      <c r="J1442" s="23" t="s">
        <v>238</v>
      </c>
      <c r="K1442" s="23" t="str">
        <f t="shared" si="1"/>
        <v>685281</v>
      </c>
      <c r="L1442" s="23"/>
      <c r="M1442" s="26"/>
      <c r="N1442" s="26"/>
      <c r="O1442" s="26"/>
      <c r="P1442" s="26"/>
      <c r="Q1442" s="26"/>
      <c r="R1442" s="26"/>
      <c r="S1442" s="26"/>
      <c r="T1442" s="26"/>
      <c r="U1442" s="26"/>
      <c r="V1442" s="26"/>
      <c r="W1442" s="26"/>
      <c r="X1442" s="26"/>
    </row>
    <row r="1443" hidden="1">
      <c r="A1443" s="10" t="s">
        <v>499</v>
      </c>
      <c r="B1443" s="10" t="s">
        <v>4560</v>
      </c>
      <c r="C1443" s="27" t="s">
        <v>4561</v>
      </c>
      <c r="D1443" s="10" t="s">
        <v>4562</v>
      </c>
      <c r="E1443" s="28" t="s">
        <v>194</v>
      </c>
      <c r="F1443" s="23" t="s">
        <v>195</v>
      </c>
      <c r="G1443" s="23" t="s">
        <v>203</v>
      </c>
      <c r="H1443" s="23" t="s">
        <v>204</v>
      </c>
      <c r="I1443" s="32"/>
      <c r="J1443" s="23" t="s">
        <v>6</v>
      </c>
      <c r="K1443" s="23" t="str">
        <f t="shared" si="1"/>
        <v>602714</v>
      </c>
      <c r="L1443" s="23"/>
      <c r="M1443" s="26"/>
      <c r="N1443" s="26"/>
      <c r="O1443" s="26"/>
      <c r="P1443" s="26"/>
      <c r="Q1443" s="26"/>
      <c r="R1443" s="26"/>
      <c r="S1443" s="26"/>
      <c r="T1443" s="26"/>
      <c r="U1443" s="26"/>
      <c r="V1443" s="26"/>
      <c r="W1443" s="26"/>
      <c r="X1443" s="26"/>
    </row>
    <row r="1444" hidden="1">
      <c r="A1444" s="10" t="s">
        <v>499</v>
      </c>
      <c r="B1444" s="10" t="s">
        <v>4563</v>
      </c>
      <c r="C1444" s="27" t="s">
        <v>4564</v>
      </c>
      <c r="D1444" s="10" t="s">
        <v>4565</v>
      </c>
      <c r="E1444" s="28" t="s">
        <v>194</v>
      </c>
      <c r="F1444" s="23" t="s">
        <v>195</v>
      </c>
      <c r="G1444" s="23" t="s">
        <v>203</v>
      </c>
      <c r="H1444" s="23" t="s">
        <v>204</v>
      </c>
      <c r="I1444" s="32"/>
      <c r="J1444" s="23" t="s">
        <v>6</v>
      </c>
      <c r="K1444" s="23" t="str">
        <f t="shared" si="1"/>
        <v>685236</v>
      </c>
      <c r="L1444" s="23"/>
      <c r="M1444" s="26"/>
      <c r="N1444" s="26"/>
      <c r="O1444" s="26"/>
      <c r="P1444" s="26"/>
      <c r="Q1444" s="26"/>
      <c r="R1444" s="26"/>
      <c r="S1444" s="26"/>
      <c r="T1444" s="26"/>
      <c r="U1444" s="26"/>
      <c r="V1444" s="26"/>
      <c r="W1444" s="26"/>
      <c r="X1444" s="26"/>
    </row>
    <row r="1445" hidden="1">
      <c r="A1445" s="10" t="s">
        <v>499</v>
      </c>
      <c r="B1445" s="10" t="s">
        <v>4566</v>
      </c>
      <c r="C1445" s="27" t="s">
        <v>4567</v>
      </c>
      <c r="D1445" s="10" t="s">
        <v>4568</v>
      </c>
      <c r="E1445" s="28" t="s">
        <v>194</v>
      </c>
      <c r="F1445" s="23" t="s">
        <v>195</v>
      </c>
      <c r="G1445" s="23" t="s">
        <v>203</v>
      </c>
      <c r="H1445" s="23" t="s">
        <v>204</v>
      </c>
      <c r="I1445" s="32"/>
      <c r="J1445" s="23" t="s">
        <v>6</v>
      </c>
      <c r="K1445" s="23" t="str">
        <f t="shared" si="1"/>
        <v>688077</v>
      </c>
      <c r="L1445" s="23"/>
      <c r="M1445" s="26"/>
      <c r="N1445" s="26"/>
      <c r="O1445" s="26"/>
      <c r="P1445" s="26"/>
      <c r="Q1445" s="26"/>
      <c r="R1445" s="26"/>
      <c r="S1445" s="26"/>
      <c r="T1445" s="26"/>
      <c r="U1445" s="26"/>
      <c r="V1445" s="26"/>
      <c r="W1445" s="26"/>
      <c r="X1445" s="26"/>
    </row>
    <row r="1446" hidden="1">
      <c r="A1446" s="10" t="s">
        <v>499</v>
      </c>
      <c r="B1446" s="10" t="s">
        <v>4569</v>
      </c>
      <c r="C1446" s="27" t="s">
        <v>4570</v>
      </c>
      <c r="D1446" s="10" t="s">
        <v>4571</v>
      </c>
      <c r="E1446" s="28" t="s">
        <v>194</v>
      </c>
      <c r="F1446" s="23" t="s">
        <v>195</v>
      </c>
      <c r="G1446" s="23" t="s">
        <v>203</v>
      </c>
      <c r="H1446" s="23" t="s">
        <v>204</v>
      </c>
      <c r="I1446" s="32"/>
      <c r="J1446" s="23" t="s">
        <v>6</v>
      </c>
      <c r="K1446" s="23" t="str">
        <f t="shared" si="1"/>
        <v>688121</v>
      </c>
      <c r="L1446" s="23"/>
      <c r="M1446" s="26"/>
      <c r="N1446" s="26"/>
      <c r="O1446" s="26"/>
      <c r="P1446" s="26"/>
      <c r="Q1446" s="26"/>
      <c r="R1446" s="26"/>
      <c r="S1446" s="26"/>
      <c r="T1446" s="26"/>
      <c r="U1446" s="26"/>
      <c r="V1446" s="26"/>
      <c r="W1446" s="26"/>
      <c r="X1446" s="26"/>
    </row>
    <row r="1447" hidden="1">
      <c r="A1447" s="10" t="s">
        <v>499</v>
      </c>
      <c r="B1447" s="10" t="s">
        <v>4572</v>
      </c>
      <c r="C1447" s="27" t="s">
        <v>4573</v>
      </c>
      <c r="D1447" s="10" t="s">
        <v>4574</v>
      </c>
      <c r="E1447" s="28" t="s">
        <v>194</v>
      </c>
      <c r="F1447" s="23" t="s">
        <v>195</v>
      </c>
      <c r="G1447" s="23" t="s">
        <v>203</v>
      </c>
      <c r="H1447" s="23" t="s">
        <v>204</v>
      </c>
      <c r="I1447" s="32"/>
      <c r="J1447" s="23" t="s">
        <v>6</v>
      </c>
      <c r="K1447" s="23" t="str">
        <f t="shared" si="1"/>
        <v>634401</v>
      </c>
      <c r="L1447" s="23"/>
      <c r="M1447" s="26"/>
      <c r="N1447" s="26"/>
      <c r="O1447" s="26"/>
      <c r="P1447" s="26"/>
      <c r="Q1447" s="26"/>
      <c r="R1447" s="26"/>
      <c r="S1447" s="26"/>
      <c r="T1447" s="26"/>
      <c r="U1447" s="26"/>
      <c r="V1447" s="26"/>
      <c r="W1447" s="26"/>
      <c r="X1447" s="26"/>
    </row>
    <row r="1448" hidden="1">
      <c r="A1448" s="10" t="s">
        <v>499</v>
      </c>
      <c r="B1448" s="10" t="s">
        <v>4575</v>
      </c>
      <c r="C1448" s="27" t="s">
        <v>4576</v>
      </c>
      <c r="D1448" s="10" t="s">
        <v>4577</v>
      </c>
      <c r="E1448" s="28" t="s">
        <v>194</v>
      </c>
      <c r="F1448" s="23" t="s">
        <v>195</v>
      </c>
      <c r="G1448" s="23" t="s">
        <v>203</v>
      </c>
      <c r="H1448" s="23" t="s">
        <v>204</v>
      </c>
      <c r="I1448" s="23" t="s">
        <v>4532</v>
      </c>
      <c r="J1448" s="23" t="s">
        <v>6</v>
      </c>
      <c r="K1448" s="23" t="str">
        <f t="shared" si="1"/>
        <v>674292</v>
      </c>
      <c r="L1448" s="23"/>
      <c r="M1448" s="26"/>
      <c r="N1448" s="26"/>
      <c r="O1448" s="26"/>
      <c r="P1448" s="26"/>
      <c r="Q1448" s="26"/>
      <c r="R1448" s="26"/>
      <c r="S1448" s="26"/>
      <c r="T1448" s="26"/>
      <c r="U1448" s="26"/>
      <c r="V1448" s="26"/>
      <c r="W1448" s="26"/>
      <c r="X1448" s="26"/>
    </row>
    <row r="1449" hidden="1">
      <c r="A1449" s="10" t="s">
        <v>499</v>
      </c>
      <c r="B1449" s="10" t="s">
        <v>4578</v>
      </c>
      <c r="C1449" s="27" t="s">
        <v>4579</v>
      </c>
      <c r="D1449" s="10" t="s">
        <v>4580</v>
      </c>
      <c r="E1449" s="28" t="s">
        <v>194</v>
      </c>
      <c r="F1449" s="23" t="s">
        <v>195</v>
      </c>
      <c r="G1449" s="23" t="s">
        <v>203</v>
      </c>
      <c r="H1449" s="23" t="s">
        <v>204</v>
      </c>
      <c r="I1449" s="23" t="s">
        <v>205</v>
      </c>
      <c r="J1449" s="23" t="s">
        <v>6</v>
      </c>
      <c r="K1449" s="23" t="str">
        <f t="shared" si="1"/>
        <v>658964</v>
      </c>
      <c r="L1449" s="23"/>
      <c r="M1449" s="26"/>
      <c r="N1449" s="26"/>
      <c r="O1449" s="26"/>
      <c r="P1449" s="26"/>
      <c r="Q1449" s="26"/>
      <c r="R1449" s="26"/>
      <c r="S1449" s="26"/>
      <c r="T1449" s="26"/>
      <c r="U1449" s="26"/>
      <c r="V1449" s="26"/>
      <c r="W1449" s="26"/>
      <c r="X1449" s="26"/>
    </row>
    <row r="1450" hidden="1">
      <c r="A1450" s="10" t="s">
        <v>499</v>
      </c>
      <c r="B1450" s="10" t="s">
        <v>4581</v>
      </c>
      <c r="C1450" s="27" t="s">
        <v>4582</v>
      </c>
      <c r="D1450" s="10" t="s">
        <v>4583</v>
      </c>
      <c r="E1450" s="28" t="s">
        <v>194</v>
      </c>
      <c r="F1450" s="23" t="s">
        <v>195</v>
      </c>
      <c r="G1450" s="23" t="s">
        <v>203</v>
      </c>
      <c r="H1450" s="23" t="s">
        <v>204</v>
      </c>
      <c r="I1450" s="32"/>
      <c r="J1450" s="23" t="s">
        <v>6</v>
      </c>
      <c r="K1450" s="23" t="str">
        <f t="shared" si="1"/>
        <v>659558</v>
      </c>
      <c r="L1450" s="23"/>
      <c r="M1450" s="26"/>
      <c r="N1450" s="26"/>
      <c r="O1450" s="26"/>
      <c r="P1450" s="26"/>
      <c r="Q1450" s="26"/>
      <c r="R1450" s="26"/>
      <c r="S1450" s="26"/>
      <c r="T1450" s="26"/>
      <c r="U1450" s="26"/>
      <c r="V1450" s="26"/>
      <c r="W1450" s="26"/>
      <c r="X1450" s="26"/>
    </row>
    <row r="1451" hidden="1">
      <c r="A1451" s="10" t="s">
        <v>499</v>
      </c>
      <c r="B1451" s="10" t="s">
        <v>4584</v>
      </c>
      <c r="C1451" s="27" t="s">
        <v>4585</v>
      </c>
      <c r="D1451" s="10" t="s">
        <v>4586</v>
      </c>
      <c r="E1451" s="28" t="s">
        <v>194</v>
      </c>
      <c r="F1451" s="23" t="s">
        <v>195</v>
      </c>
      <c r="G1451" s="23" t="s">
        <v>203</v>
      </c>
      <c r="H1451" s="23" t="s">
        <v>204</v>
      </c>
      <c r="I1451" s="32"/>
      <c r="J1451" s="23" t="s">
        <v>6</v>
      </c>
      <c r="K1451" s="23" t="str">
        <f t="shared" si="1"/>
        <v>648521</v>
      </c>
      <c r="L1451" s="23"/>
      <c r="M1451" s="26"/>
      <c r="N1451" s="26"/>
      <c r="O1451" s="26"/>
      <c r="P1451" s="26"/>
      <c r="Q1451" s="26"/>
      <c r="R1451" s="26"/>
      <c r="S1451" s="26"/>
      <c r="T1451" s="26"/>
      <c r="U1451" s="26"/>
      <c r="V1451" s="26"/>
      <c r="W1451" s="26"/>
      <c r="X1451" s="26"/>
    </row>
    <row r="1452" hidden="1">
      <c r="A1452" s="10" t="s">
        <v>499</v>
      </c>
      <c r="B1452" s="10" t="s">
        <v>4587</v>
      </c>
      <c r="C1452" s="27" t="s">
        <v>4588</v>
      </c>
      <c r="D1452" s="10" t="s">
        <v>4589</v>
      </c>
      <c r="E1452" s="28" t="s">
        <v>194</v>
      </c>
      <c r="F1452" s="23" t="s">
        <v>195</v>
      </c>
      <c r="G1452" s="23" t="s">
        <v>203</v>
      </c>
      <c r="H1452" s="23" t="s">
        <v>204</v>
      </c>
      <c r="I1452" s="32"/>
      <c r="J1452" s="23" t="s">
        <v>6</v>
      </c>
      <c r="K1452" s="23" t="str">
        <f t="shared" si="1"/>
        <v>605555</v>
      </c>
      <c r="L1452" s="23"/>
      <c r="M1452" s="26"/>
      <c r="N1452" s="26"/>
      <c r="O1452" s="26"/>
      <c r="P1452" s="26"/>
      <c r="Q1452" s="26"/>
      <c r="R1452" s="26"/>
      <c r="S1452" s="26"/>
      <c r="T1452" s="26"/>
      <c r="U1452" s="26"/>
      <c r="V1452" s="26"/>
      <c r="W1452" s="26"/>
      <c r="X1452" s="26"/>
    </row>
    <row r="1453" hidden="1">
      <c r="A1453" s="10" t="s">
        <v>499</v>
      </c>
      <c r="B1453" s="10" t="s">
        <v>4590</v>
      </c>
      <c r="C1453" s="27" t="s">
        <v>4591</v>
      </c>
      <c r="D1453" s="10" t="s">
        <v>4592</v>
      </c>
      <c r="E1453" s="28" t="s">
        <v>194</v>
      </c>
      <c r="F1453" s="23" t="s">
        <v>195</v>
      </c>
      <c r="G1453" s="23" t="s">
        <v>203</v>
      </c>
      <c r="H1453" s="23" t="s">
        <v>204</v>
      </c>
      <c r="I1453" s="32"/>
      <c r="J1453" s="23" t="s">
        <v>6</v>
      </c>
      <c r="K1453" s="23" t="str">
        <f t="shared" si="1"/>
        <v>608044</v>
      </c>
      <c r="L1453" s="23"/>
      <c r="M1453" s="26"/>
      <c r="N1453" s="26"/>
      <c r="O1453" s="26"/>
      <c r="P1453" s="26"/>
      <c r="Q1453" s="26"/>
      <c r="R1453" s="26"/>
      <c r="S1453" s="26"/>
      <c r="T1453" s="26"/>
      <c r="U1453" s="26"/>
      <c r="V1453" s="26"/>
      <c r="W1453" s="26"/>
      <c r="X1453" s="26"/>
    </row>
    <row r="1454" hidden="1">
      <c r="A1454" s="10" t="s">
        <v>499</v>
      </c>
      <c r="B1454" s="10" t="s">
        <v>4593</v>
      </c>
      <c r="C1454" s="27" t="s">
        <v>4594</v>
      </c>
      <c r="D1454" s="10" t="s">
        <v>4595</v>
      </c>
      <c r="E1454" s="28" t="s">
        <v>194</v>
      </c>
      <c r="F1454" s="23" t="s">
        <v>195</v>
      </c>
      <c r="G1454" s="23" t="s">
        <v>203</v>
      </c>
      <c r="H1454" s="23" t="s">
        <v>204</v>
      </c>
      <c r="I1454" s="32"/>
      <c r="J1454" s="23" t="s">
        <v>6</v>
      </c>
      <c r="K1454" s="23" t="str">
        <f t="shared" si="1"/>
        <v>614953</v>
      </c>
      <c r="L1454" s="23"/>
      <c r="M1454" s="26"/>
      <c r="N1454" s="26"/>
      <c r="O1454" s="26"/>
      <c r="P1454" s="26"/>
      <c r="Q1454" s="26"/>
      <c r="R1454" s="26"/>
      <c r="S1454" s="26"/>
      <c r="T1454" s="26"/>
      <c r="U1454" s="26"/>
      <c r="V1454" s="26"/>
      <c r="W1454" s="26"/>
      <c r="X1454" s="26"/>
    </row>
    <row r="1455" hidden="1">
      <c r="A1455" s="10" t="s">
        <v>499</v>
      </c>
      <c r="B1455" s="10" t="s">
        <v>4596</v>
      </c>
      <c r="C1455" s="27" t="s">
        <v>4597</v>
      </c>
      <c r="D1455" s="10" t="s">
        <v>4598</v>
      </c>
      <c r="E1455" s="28" t="s">
        <v>194</v>
      </c>
      <c r="F1455" s="23" t="s">
        <v>195</v>
      </c>
      <c r="G1455" s="23" t="s">
        <v>203</v>
      </c>
      <c r="H1455" s="23" t="s">
        <v>204</v>
      </c>
      <c r="I1455" s="32"/>
      <c r="J1455" s="23" t="s">
        <v>6</v>
      </c>
      <c r="K1455" s="23" t="str">
        <f t="shared" si="1"/>
        <v>617756</v>
      </c>
      <c r="L1455" s="23"/>
      <c r="M1455" s="26"/>
      <c r="N1455" s="26"/>
      <c r="O1455" s="26"/>
      <c r="P1455" s="26"/>
      <c r="Q1455" s="26"/>
      <c r="R1455" s="26"/>
      <c r="S1455" s="26"/>
      <c r="T1455" s="26"/>
      <c r="U1455" s="26"/>
      <c r="V1455" s="26"/>
      <c r="W1455" s="26"/>
      <c r="X1455" s="26"/>
    </row>
    <row r="1456" hidden="1">
      <c r="A1456" s="10" t="s">
        <v>499</v>
      </c>
      <c r="B1456" s="10" t="s">
        <v>4599</v>
      </c>
      <c r="C1456" s="27" t="s">
        <v>4600</v>
      </c>
      <c r="D1456" s="10" t="s">
        <v>4601</v>
      </c>
      <c r="E1456" s="28" t="s">
        <v>194</v>
      </c>
      <c r="F1456" s="23" t="s">
        <v>195</v>
      </c>
      <c r="G1456" s="23" t="s">
        <v>203</v>
      </c>
      <c r="H1456" s="23" t="s">
        <v>204</v>
      </c>
      <c r="I1456" s="32"/>
      <c r="J1456" s="23" t="s">
        <v>6</v>
      </c>
      <c r="K1456" s="23" t="str">
        <f t="shared" si="1"/>
        <v>664576</v>
      </c>
      <c r="L1456" s="23"/>
      <c r="M1456" s="26"/>
      <c r="N1456" s="26"/>
      <c r="O1456" s="26"/>
      <c r="P1456" s="26"/>
      <c r="Q1456" s="26"/>
      <c r="R1456" s="26"/>
      <c r="S1456" s="26"/>
      <c r="T1456" s="26"/>
      <c r="U1456" s="26"/>
      <c r="V1456" s="26"/>
      <c r="W1456" s="26"/>
      <c r="X1456" s="26"/>
    </row>
    <row r="1457" hidden="1">
      <c r="A1457" s="10" t="s">
        <v>499</v>
      </c>
      <c r="B1457" s="10" t="s">
        <v>4602</v>
      </c>
      <c r="C1457" s="27" t="s">
        <v>4603</v>
      </c>
      <c r="D1457" s="10" t="s">
        <v>4604</v>
      </c>
      <c r="E1457" s="28" t="s">
        <v>194</v>
      </c>
      <c r="F1457" s="23" t="s">
        <v>195</v>
      </c>
      <c r="G1457" s="23" t="s">
        <v>203</v>
      </c>
      <c r="H1457" s="23" t="s">
        <v>204</v>
      </c>
      <c r="I1457" s="32"/>
      <c r="J1457" s="23" t="s">
        <v>6</v>
      </c>
      <c r="K1457" s="23" t="str">
        <f t="shared" si="1"/>
        <v>634395</v>
      </c>
      <c r="L1457" s="23"/>
      <c r="M1457" s="26"/>
      <c r="N1457" s="26"/>
      <c r="O1457" s="26"/>
      <c r="P1457" s="26"/>
      <c r="Q1457" s="26"/>
      <c r="R1457" s="26"/>
      <c r="S1457" s="26"/>
      <c r="T1457" s="26"/>
      <c r="U1457" s="26"/>
      <c r="V1457" s="26"/>
      <c r="W1457" s="26"/>
      <c r="X1457" s="26"/>
    </row>
    <row r="1458" hidden="1">
      <c r="A1458" s="10" t="s">
        <v>499</v>
      </c>
      <c r="B1458" s="10" t="s">
        <v>4605</v>
      </c>
      <c r="C1458" s="27" t="s">
        <v>4606</v>
      </c>
      <c r="D1458" s="10" t="s">
        <v>4607</v>
      </c>
      <c r="E1458" s="28" t="s">
        <v>194</v>
      </c>
      <c r="F1458" s="23" t="s">
        <v>195</v>
      </c>
      <c r="G1458" s="23" t="s">
        <v>203</v>
      </c>
      <c r="H1458" s="23" t="s">
        <v>204</v>
      </c>
      <c r="I1458" s="32"/>
      <c r="J1458" s="23" t="s">
        <v>6</v>
      </c>
      <c r="K1458" s="23" t="str">
        <f t="shared" si="1"/>
        <v>634388</v>
      </c>
      <c r="L1458" s="23"/>
      <c r="M1458" s="26"/>
      <c r="N1458" s="26"/>
      <c r="O1458" s="26"/>
      <c r="P1458" s="26"/>
      <c r="Q1458" s="26"/>
      <c r="R1458" s="26"/>
      <c r="S1458" s="26"/>
      <c r="T1458" s="26"/>
      <c r="U1458" s="26"/>
      <c r="V1458" s="26"/>
      <c r="W1458" s="26"/>
      <c r="X1458" s="26"/>
    </row>
    <row r="1459" hidden="1">
      <c r="A1459" s="10" t="s">
        <v>499</v>
      </c>
      <c r="B1459" s="10" t="s">
        <v>4608</v>
      </c>
      <c r="C1459" s="27" t="s">
        <v>4609</v>
      </c>
      <c r="D1459" s="10" t="s">
        <v>4610</v>
      </c>
      <c r="E1459" s="28" t="s">
        <v>194</v>
      </c>
      <c r="F1459" s="23" t="s">
        <v>195</v>
      </c>
      <c r="G1459" s="23" t="s">
        <v>203</v>
      </c>
      <c r="H1459" s="23" t="s">
        <v>204</v>
      </c>
      <c r="I1459" s="32"/>
      <c r="J1459" s="23" t="s">
        <v>6</v>
      </c>
      <c r="K1459" s="23" t="str">
        <f t="shared" si="1"/>
        <v>649641</v>
      </c>
      <c r="L1459" s="23"/>
      <c r="M1459" s="26"/>
      <c r="N1459" s="26"/>
      <c r="O1459" s="26"/>
      <c r="P1459" s="26"/>
      <c r="Q1459" s="26"/>
      <c r="R1459" s="26"/>
      <c r="S1459" s="26"/>
      <c r="T1459" s="26"/>
      <c r="U1459" s="26"/>
      <c r="V1459" s="26"/>
      <c r="W1459" s="26"/>
      <c r="X1459" s="26"/>
    </row>
    <row r="1460" hidden="1">
      <c r="A1460" s="10" t="s">
        <v>499</v>
      </c>
      <c r="B1460" s="10" t="s">
        <v>4611</v>
      </c>
      <c r="C1460" s="27" t="s">
        <v>4612</v>
      </c>
      <c r="D1460" s="10" t="s">
        <v>4613</v>
      </c>
      <c r="E1460" s="28" t="s">
        <v>194</v>
      </c>
      <c r="F1460" s="23" t="s">
        <v>195</v>
      </c>
      <c r="G1460" s="23" t="s">
        <v>203</v>
      </c>
      <c r="H1460" s="23" t="s">
        <v>204</v>
      </c>
      <c r="I1460" s="32"/>
      <c r="J1460" s="23" t="s">
        <v>6</v>
      </c>
      <c r="K1460" s="23" t="str">
        <f t="shared" si="1"/>
        <v>664354</v>
      </c>
      <c r="L1460" s="23"/>
      <c r="M1460" s="26"/>
      <c r="N1460" s="26"/>
      <c r="O1460" s="26"/>
      <c r="P1460" s="26"/>
      <c r="Q1460" s="26"/>
      <c r="R1460" s="26"/>
      <c r="S1460" s="26"/>
      <c r="T1460" s="26"/>
      <c r="U1460" s="26"/>
      <c r="V1460" s="26"/>
      <c r="W1460" s="26"/>
      <c r="X1460" s="26"/>
    </row>
    <row r="1461" hidden="1">
      <c r="A1461" s="10" t="s">
        <v>499</v>
      </c>
      <c r="B1461" s="10" t="s">
        <v>4614</v>
      </c>
      <c r="C1461" s="27" t="s">
        <v>4615</v>
      </c>
      <c r="D1461" s="10" t="s">
        <v>4616</v>
      </c>
      <c r="E1461" s="28" t="s">
        <v>194</v>
      </c>
      <c r="F1461" s="23" t="s">
        <v>195</v>
      </c>
      <c r="G1461" s="23" t="s">
        <v>203</v>
      </c>
      <c r="H1461" s="23" t="s">
        <v>204</v>
      </c>
      <c r="I1461" s="32"/>
      <c r="J1461" s="23" t="s">
        <v>6</v>
      </c>
      <c r="K1461" s="23" t="str">
        <f t="shared" si="1"/>
        <v>626215</v>
      </c>
      <c r="L1461" s="23"/>
      <c r="M1461" s="26"/>
      <c r="N1461" s="26"/>
      <c r="O1461" s="26"/>
      <c r="P1461" s="26"/>
      <c r="Q1461" s="26"/>
      <c r="R1461" s="26"/>
      <c r="S1461" s="26"/>
      <c r="T1461" s="26"/>
      <c r="U1461" s="26"/>
      <c r="V1461" s="26"/>
      <c r="W1461" s="26"/>
      <c r="X1461" s="26"/>
    </row>
    <row r="1462" hidden="1">
      <c r="A1462" s="10" t="s">
        <v>499</v>
      </c>
      <c r="B1462" s="10" t="s">
        <v>4617</v>
      </c>
      <c r="C1462" s="27" t="s">
        <v>4618</v>
      </c>
      <c r="D1462" s="10" t="s">
        <v>4619</v>
      </c>
      <c r="E1462" s="28" t="s">
        <v>194</v>
      </c>
      <c r="F1462" s="23" t="s">
        <v>195</v>
      </c>
      <c r="G1462" s="23" t="s">
        <v>203</v>
      </c>
      <c r="H1462" s="23" t="s">
        <v>204</v>
      </c>
      <c r="I1462" s="32"/>
      <c r="J1462" s="23" t="s">
        <v>6</v>
      </c>
      <c r="K1462" s="23" t="str">
        <f t="shared" si="1"/>
        <v>649733</v>
      </c>
      <c r="L1462" s="23"/>
      <c r="M1462" s="26"/>
      <c r="N1462" s="26"/>
      <c r="O1462" s="26"/>
      <c r="P1462" s="26"/>
      <c r="Q1462" s="26"/>
      <c r="R1462" s="26"/>
      <c r="S1462" s="26"/>
      <c r="T1462" s="26"/>
      <c r="U1462" s="26"/>
      <c r="V1462" s="26"/>
      <c r="W1462" s="26"/>
      <c r="X1462" s="26"/>
    </row>
    <row r="1463" hidden="1">
      <c r="A1463" s="10" t="s">
        <v>499</v>
      </c>
      <c r="B1463" s="10" t="s">
        <v>4620</v>
      </c>
      <c r="C1463" s="27" t="s">
        <v>4621</v>
      </c>
      <c r="D1463" s="10" t="s">
        <v>4622</v>
      </c>
      <c r="E1463" s="28" t="s">
        <v>194</v>
      </c>
      <c r="F1463" s="23" t="s">
        <v>195</v>
      </c>
      <c r="G1463" s="23" t="s">
        <v>203</v>
      </c>
      <c r="H1463" s="23" t="s">
        <v>204</v>
      </c>
      <c r="I1463" s="32"/>
      <c r="J1463" s="23" t="s">
        <v>6</v>
      </c>
      <c r="K1463" s="23" t="str">
        <f t="shared" si="1"/>
        <v>649689</v>
      </c>
      <c r="L1463" s="23"/>
      <c r="M1463" s="26"/>
      <c r="N1463" s="26"/>
      <c r="O1463" s="26"/>
      <c r="P1463" s="26"/>
      <c r="Q1463" s="26"/>
      <c r="R1463" s="26"/>
      <c r="S1463" s="26"/>
      <c r="T1463" s="26"/>
      <c r="U1463" s="26"/>
      <c r="V1463" s="26"/>
      <c r="W1463" s="26"/>
      <c r="X1463" s="26"/>
    </row>
    <row r="1464" hidden="1">
      <c r="A1464" s="10" t="s">
        <v>499</v>
      </c>
      <c r="B1464" s="10" t="s">
        <v>4623</v>
      </c>
      <c r="C1464" s="27" t="s">
        <v>4624</v>
      </c>
      <c r="D1464" s="10" t="s">
        <v>4625</v>
      </c>
      <c r="E1464" s="28" t="s">
        <v>194</v>
      </c>
      <c r="F1464" s="23" t="s">
        <v>195</v>
      </c>
      <c r="G1464" s="23" t="s">
        <v>203</v>
      </c>
      <c r="H1464" s="23" t="s">
        <v>204</v>
      </c>
      <c r="I1464" s="32"/>
      <c r="J1464" s="23" t="s">
        <v>6</v>
      </c>
      <c r="K1464" s="23" t="str">
        <f t="shared" si="1"/>
        <v>659985</v>
      </c>
      <c r="L1464" s="23"/>
      <c r="M1464" s="26"/>
      <c r="N1464" s="26"/>
      <c r="O1464" s="26"/>
      <c r="P1464" s="26"/>
      <c r="Q1464" s="26"/>
      <c r="R1464" s="26"/>
      <c r="S1464" s="26"/>
      <c r="T1464" s="26"/>
      <c r="U1464" s="26"/>
      <c r="V1464" s="26"/>
      <c r="W1464" s="26"/>
      <c r="X1464" s="26"/>
    </row>
    <row r="1465" hidden="1">
      <c r="A1465" s="10" t="s">
        <v>499</v>
      </c>
      <c r="B1465" s="10" t="s">
        <v>4626</v>
      </c>
      <c r="C1465" s="27" t="s">
        <v>4627</v>
      </c>
      <c r="D1465" s="10" t="s">
        <v>4628</v>
      </c>
      <c r="E1465" s="28" t="s">
        <v>194</v>
      </c>
      <c r="F1465" s="23" t="s">
        <v>195</v>
      </c>
      <c r="G1465" s="23" t="s">
        <v>203</v>
      </c>
      <c r="H1465" s="23" t="s">
        <v>204</v>
      </c>
      <c r="I1465" s="32"/>
      <c r="J1465" s="23" t="s">
        <v>6</v>
      </c>
      <c r="K1465" s="23" t="str">
        <f t="shared" si="1"/>
        <v>658988</v>
      </c>
      <c r="L1465" s="23"/>
      <c r="M1465" s="26"/>
      <c r="N1465" s="26"/>
      <c r="O1465" s="26"/>
      <c r="P1465" s="26"/>
      <c r="Q1465" s="26"/>
      <c r="R1465" s="26"/>
      <c r="S1465" s="26"/>
      <c r="T1465" s="26"/>
      <c r="U1465" s="26"/>
      <c r="V1465" s="26"/>
      <c r="W1465" s="26"/>
      <c r="X1465" s="26"/>
    </row>
    <row r="1466" hidden="1">
      <c r="A1466" s="10" t="s">
        <v>499</v>
      </c>
      <c r="B1466" s="10" t="s">
        <v>4629</v>
      </c>
      <c r="C1466" s="27" t="s">
        <v>4630</v>
      </c>
      <c r="D1466" s="10" t="s">
        <v>4631</v>
      </c>
      <c r="E1466" s="28" t="s">
        <v>194</v>
      </c>
      <c r="F1466" s="23" t="s">
        <v>195</v>
      </c>
      <c r="G1466" s="23" t="s">
        <v>203</v>
      </c>
      <c r="H1466" s="23" t="s">
        <v>204</v>
      </c>
      <c r="I1466" s="32"/>
      <c r="J1466" s="23" t="s">
        <v>6</v>
      </c>
      <c r="K1466" s="23" t="str">
        <f t="shared" si="1"/>
        <v>649672</v>
      </c>
      <c r="L1466" s="23"/>
      <c r="M1466" s="26"/>
      <c r="N1466" s="26"/>
      <c r="O1466" s="26"/>
      <c r="P1466" s="26"/>
      <c r="Q1466" s="26"/>
      <c r="R1466" s="26"/>
      <c r="S1466" s="26"/>
      <c r="T1466" s="26"/>
      <c r="U1466" s="26"/>
      <c r="V1466" s="26"/>
      <c r="W1466" s="26"/>
      <c r="X1466" s="26"/>
    </row>
    <row r="1467" hidden="1">
      <c r="A1467" s="10" t="s">
        <v>499</v>
      </c>
      <c r="B1467" s="10" t="s">
        <v>4632</v>
      </c>
      <c r="C1467" s="27" t="s">
        <v>4633</v>
      </c>
      <c r="D1467" s="10" t="s">
        <v>4634</v>
      </c>
      <c r="E1467" s="28" t="s">
        <v>194</v>
      </c>
      <c r="F1467" s="23" t="s">
        <v>195</v>
      </c>
      <c r="G1467" s="23" t="s">
        <v>203</v>
      </c>
      <c r="H1467" s="23" t="s">
        <v>204</v>
      </c>
      <c r="I1467" s="32"/>
      <c r="J1467" s="23" t="s">
        <v>6</v>
      </c>
      <c r="K1467" s="23" t="str">
        <f t="shared" si="1"/>
        <v>626222</v>
      </c>
      <c r="L1467" s="23"/>
      <c r="M1467" s="26"/>
      <c r="N1467" s="26"/>
      <c r="O1467" s="26"/>
      <c r="P1467" s="26"/>
      <c r="Q1467" s="26"/>
      <c r="R1467" s="26"/>
      <c r="S1467" s="26"/>
      <c r="T1467" s="26"/>
      <c r="U1467" s="26"/>
      <c r="V1467" s="26"/>
      <c r="W1467" s="26"/>
      <c r="X1467" s="26"/>
    </row>
    <row r="1468" hidden="1">
      <c r="A1468" s="10" t="s">
        <v>499</v>
      </c>
      <c r="B1468" s="10" t="s">
        <v>4635</v>
      </c>
      <c r="C1468" s="27" t="s">
        <v>4636</v>
      </c>
      <c r="D1468" s="10" t="s">
        <v>4637</v>
      </c>
      <c r="E1468" s="28" t="s">
        <v>194</v>
      </c>
      <c r="F1468" s="23" t="s">
        <v>195</v>
      </c>
      <c r="G1468" s="23" t="s">
        <v>203</v>
      </c>
      <c r="H1468" s="23" t="s">
        <v>204</v>
      </c>
      <c r="I1468" s="32"/>
      <c r="J1468" s="23" t="s">
        <v>6</v>
      </c>
      <c r="K1468" s="23" t="str">
        <f t="shared" si="1"/>
        <v>661384</v>
      </c>
      <c r="L1468" s="23"/>
      <c r="M1468" s="26"/>
      <c r="N1468" s="26"/>
      <c r="O1468" s="26"/>
      <c r="P1468" s="26"/>
      <c r="Q1468" s="26"/>
      <c r="R1468" s="26"/>
      <c r="S1468" s="26"/>
      <c r="T1468" s="26"/>
      <c r="U1468" s="26"/>
      <c r="V1468" s="26"/>
      <c r="W1468" s="26"/>
      <c r="X1468" s="26"/>
    </row>
    <row r="1469" hidden="1">
      <c r="A1469" s="10" t="s">
        <v>499</v>
      </c>
      <c r="B1469" s="10" t="s">
        <v>4638</v>
      </c>
      <c r="C1469" s="27" t="s">
        <v>4639</v>
      </c>
      <c r="D1469" s="10" t="s">
        <v>4640</v>
      </c>
      <c r="E1469" s="28" t="s">
        <v>194</v>
      </c>
      <c r="F1469" s="23" t="s">
        <v>195</v>
      </c>
      <c r="G1469" s="23" t="s">
        <v>203</v>
      </c>
      <c r="H1469" s="23" t="s">
        <v>204</v>
      </c>
      <c r="I1469" s="32"/>
      <c r="J1469" s="23" t="s">
        <v>6</v>
      </c>
      <c r="K1469" s="23" t="str">
        <f t="shared" si="1"/>
        <v>685274</v>
      </c>
      <c r="L1469" s="23"/>
      <c r="M1469" s="26"/>
      <c r="N1469" s="26"/>
      <c r="O1469" s="26"/>
      <c r="P1469" s="26"/>
      <c r="Q1469" s="26"/>
      <c r="R1469" s="26"/>
      <c r="S1469" s="26"/>
      <c r="T1469" s="26"/>
      <c r="U1469" s="26"/>
      <c r="V1469" s="26"/>
      <c r="W1469" s="26"/>
      <c r="X1469" s="26"/>
    </row>
    <row r="1470" hidden="1">
      <c r="A1470" s="10" t="s">
        <v>499</v>
      </c>
      <c r="B1470" s="10" t="s">
        <v>4641</v>
      </c>
      <c r="C1470" s="27" t="s">
        <v>4642</v>
      </c>
      <c r="D1470" s="10" t="s">
        <v>4643</v>
      </c>
      <c r="E1470" s="28" t="s">
        <v>194</v>
      </c>
      <c r="F1470" s="23" t="s">
        <v>195</v>
      </c>
      <c r="G1470" s="23" t="s">
        <v>203</v>
      </c>
      <c r="H1470" s="23" t="s">
        <v>204</v>
      </c>
      <c r="I1470" s="32"/>
      <c r="J1470" s="23" t="s">
        <v>6</v>
      </c>
      <c r="K1470" s="23" t="str">
        <f t="shared" si="1"/>
        <v>649832</v>
      </c>
      <c r="L1470" s="23"/>
      <c r="M1470" s="26"/>
      <c r="N1470" s="26"/>
      <c r="O1470" s="26"/>
      <c r="P1470" s="26"/>
      <c r="Q1470" s="26"/>
      <c r="R1470" s="26"/>
      <c r="S1470" s="26"/>
      <c r="T1470" s="26"/>
      <c r="U1470" s="26"/>
      <c r="V1470" s="26"/>
      <c r="W1470" s="26"/>
      <c r="X1470" s="26"/>
    </row>
    <row r="1471" hidden="1">
      <c r="A1471" s="10" t="s">
        <v>499</v>
      </c>
      <c r="B1471" s="10" t="s">
        <v>4644</v>
      </c>
      <c r="C1471" s="27" t="s">
        <v>4645</v>
      </c>
      <c r="D1471" s="10" t="s">
        <v>4646</v>
      </c>
      <c r="E1471" s="28" t="s">
        <v>194</v>
      </c>
      <c r="F1471" s="23" t="s">
        <v>835</v>
      </c>
      <c r="G1471" s="23" t="s">
        <v>203</v>
      </c>
      <c r="H1471" s="23" t="s">
        <v>204</v>
      </c>
      <c r="I1471" s="32"/>
      <c r="J1471" s="23" t="s">
        <v>6</v>
      </c>
      <c r="K1471" s="23" t="str">
        <f t="shared" si="1"/>
        <v>685342</v>
      </c>
      <c r="L1471" s="23"/>
      <c r="M1471" s="26"/>
      <c r="N1471" s="26"/>
      <c r="O1471" s="26"/>
      <c r="P1471" s="26"/>
      <c r="Q1471" s="26"/>
      <c r="R1471" s="26"/>
      <c r="S1471" s="26"/>
      <c r="T1471" s="26"/>
      <c r="U1471" s="26"/>
      <c r="V1471" s="26"/>
      <c r="W1471" s="26"/>
      <c r="X1471" s="26"/>
    </row>
    <row r="1472" hidden="1">
      <c r="A1472" s="10" t="s">
        <v>427</v>
      </c>
      <c r="B1472" s="10" t="s">
        <v>4647</v>
      </c>
      <c r="C1472" s="27" t="s">
        <v>4648</v>
      </c>
      <c r="D1472" s="10" t="s">
        <v>4649</v>
      </c>
      <c r="E1472" s="28" t="s">
        <v>431</v>
      </c>
      <c r="F1472" s="23" t="s">
        <v>432</v>
      </c>
      <c r="G1472" s="23" t="s">
        <v>203</v>
      </c>
      <c r="H1472" s="23" t="s">
        <v>204</v>
      </c>
      <c r="I1472" s="32"/>
      <c r="J1472" s="23" t="s">
        <v>6</v>
      </c>
      <c r="K1472" s="23" t="str">
        <f t="shared" si="1"/>
        <v>679167</v>
      </c>
      <c r="L1472" s="23"/>
      <c r="M1472" s="26"/>
      <c r="N1472" s="26"/>
      <c r="O1472" s="26"/>
      <c r="P1472" s="26"/>
      <c r="Q1472" s="26"/>
      <c r="R1472" s="26"/>
      <c r="S1472" s="26"/>
      <c r="T1472" s="26"/>
      <c r="U1472" s="26"/>
      <c r="V1472" s="26"/>
      <c r="W1472" s="26"/>
      <c r="X1472" s="26"/>
    </row>
    <row r="1473" hidden="1">
      <c r="A1473" s="10" t="s">
        <v>427</v>
      </c>
      <c r="B1473" s="10" t="s">
        <v>4650</v>
      </c>
      <c r="C1473" s="27" t="s">
        <v>4651</v>
      </c>
      <c r="D1473" s="10" t="s">
        <v>4652</v>
      </c>
      <c r="E1473" s="28" t="s">
        <v>431</v>
      </c>
      <c r="F1473" s="23" t="s">
        <v>1231</v>
      </c>
      <c r="G1473" s="23" t="s">
        <v>203</v>
      </c>
      <c r="H1473" s="23" t="s">
        <v>204</v>
      </c>
      <c r="I1473" s="32"/>
      <c r="J1473" s="23" t="s">
        <v>6</v>
      </c>
      <c r="K1473" s="23" t="str">
        <f t="shared" si="1"/>
        <v>632278</v>
      </c>
      <c r="L1473" s="23"/>
      <c r="M1473" s="26"/>
      <c r="N1473" s="26"/>
      <c r="O1473" s="26"/>
      <c r="P1473" s="26"/>
      <c r="Q1473" s="26"/>
      <c r="R1473" s="26"/>
      <c r="S1473" s="26"/>
      <c r="T1473" s="26"/>
      <c r="U1473" s="26"/>
      <c r="V1473" s="26"/>
      <c r="W1473" s="26"/>
      <c r="X1473" s="26"/>
    </row>
    <row r="1474" hidden="1">
      <c r="A1474" s="10" t="s">
        <v>427</v>
      </c>
      <c r="B1474" s="10" t="s">
        <v>4653</v>
      </c>
      <c r="C1474" s="27" t="s">
        <v>4654</v>
      </c>
      <c r="D1474" s="10" t="s">
        <v>4655</v>
      </c>
      <c r="E1474" s="28" t="s">
        <v>431</v>
      </c>
      <c r="F1474" s="23" t="s">
        <v>1867</v>
      </c>
      <c r="G1474" s="23" t="s">
        <v>203</v>
      </c>
      <c r="H1474" s="23" t="s">
        <v>204</v>
      </c>
      <c r="I1474" s="32"/>
      <c r="J1474" s="23" t="s">
        <v>6</v>
      </c>
      <c r="K1474" s="23" t="str">
        <f t="shared" si="1"/>
        <v>637303</v>
      </c>
      <c r="L1474" s="23"/>
      <c r="M1474" s="26"/>
      <c r="N1474" s="26"/>
      <c r="O1474" s="26"/>
      <c r="P1474" s="26"/>
      <c r="Q1474" s="26"/>
      <c r="R1474" s="26"/>
      <c r="S1474" s="26"/>
      <c r="T1474" s="26"/>
      <c r="U1474" s="26"/>
      <c r="V1474" s="26"/>
      <c r="W1474" s="26"/>
      <c r="X1474" s="26"/>
    </row>
    <row r="1475" hidden="1">
      <c r="A1475" s="10" t="s">
        <v>427</v>
      </c>
      <c r="B1475" s="10" t="s">
        <v>4656</v>
      </c>
      <c r="C1475" s="27" t="s">
        <v>4657</v>
      </c>
      <c r="D1475" s="10" t="s">
        <v>4658</v>
      </c>
      <c r="E1475" s="28" t="s">
        <v>534</v>
      </c>
      <c r="F1475" s="23" t="s">
        <v>757</v>
      </c>
      <c r="G1475" s="23" t="s">
        <v>203</v>
      </c>
      <c r="H1475" s="23" t="s">
        <v>204</v>
      </c>
      <c r="I1475" s="32"/>
      <c r="J1475" s="23" t="s">
        <v>6</v>
      </c>
      <c r="K1475" s="23" t="str">
        <f t="shared" si="1"/>
        <v>657868</v>
      </c>
      <c r="L1475" s="23"/>
      <c r="M1475" s="26"/>
      <c r="N1475" s="26"/>
      <c r="O1475" s="26"/>
      <c r="P1475" s="26"/>
      <c r="Q1475" s="26"/>
      <c r="R1475" s="26"/>
      <c r="S1475" s="26"/>
      <c r="T1475" s="26"/>
      <c r="U1475" s="26"/>
      <c r="V1475" s="26"/>
      <c r="W1475" s="26"/>
      <c r="X1475" s="26"/>
    </row>
    <row r="1476" hidden="1">
      <c r="A1476" s="10" t="s">
        <v>427</v>
      </c>
      <c r="B1476" s="10" t="s">
        <v>4659</v>
      </c>
      <c r="C1476" s="27" t="s">
        <v>4660</v>
      </c>
      <c r="D1476" s="10" t="s">
        <v>4661</v>
      </c>
      <c r="E1476" s="28" t="s">
        <v>534</v>
      </c>
      <c r="F1476" s="23" t="s">
        <v>535</v>
      </c>
      <c r="G1476" s="23" t="s">
        <v>203</v>
      </c>
      <c r="H1476" s="23" t="s">
        <v>204</v>
      </c>
      <c r="I1476" s="32"/>
      <c r="J1476" s="23" t="s">
        <v>6</v>
      </c>
      <c r="K1476" s="23" t="str">
        <f t="shared" si="1"/>
        <v>663340</v>
      </c>
      <c r="L1476" s="23"/>
      <c r="M1476" s="26"/>
      <c r="N1476" s="26"/>
      <c r="O1476" s="26"/>
      <c r="P1476" s="26"/>
      <c r="Q1476" s="26"/>
      <c r="R1476" s="26"/>
      <c r="S1476" s="26"/>
      <c r="T1476" s="26"/>
      <c r="U1476" s="26"/>
      <c r="V1476" s="26"/>
      <c r="W1476" s="26"/>
      <c r="X1476" s="26"/>
    </row>
    <row r="1477" hidden="1">
      <c r="A1477" s="10" t="s">
        <v>427</v>
      </c>
      <c r="B1477" s="10" t="s">
        <v>4662</v>
      </c>
      <c r="C1477" s="27" t="s">
        <v>4663</v>
      </c>
      <c r="D1477" s="10" t="s">
        <v>4664</v>
      </c>
      <c r="E1477" s="28" t="s">
        <v>534</v>
      </c>
      <c r="F1477" s="23" t="s">
        <v>954</v>
      </c>
      <c r="G1477" s="23" t="s">
        <v>203</v>
      </c>
      <c r="H1477" s="23" t="s">
        <v>204</v>
      </c>
      <c r="I1477" s="32"/>
      <c r="J1477" s="23" t="s">
        <v>6</v>
      </c>
      <c r="K1477" s="23" t="str">
        <f t="shared" si="1"/>
        <v>659879</v>
      </c>
      <c r="L1477" s="23"/>
      <c r="M1477" s="26"/>
      <c r="N1477" s="26"/>
      <c r="O1477" s="26"/>
      <c r="P1477" s="26"/>
      <c r="Q1477" s="26"/>
      <c r="R1477" s="26"/>
      <c r="S1477" s="26"/>
      <c r="T1477" s="26"/>
      <c r="U1477" s="26"/>
      <c r="V1477" s="26"/>
      <c r="W1477" s="26"/>
      <c r="X1477" s="26"/>
    </row>
    <row r="1478" hidden="1">
      <c r="A1478" s="10" t="s">
        <v>427</v>
      </c>
      <c r="B1478" s="10" t="s">
        <v>4665</v>
      </c>
      <c r="C1478" s="27" t="s">
        <v>4666</v>
      </c>
      <c r="D1478" s="10" t="s">
        <v>4667</v>
      </c>
      <c r="E1478" s="28" t="s">
        <v>431</v>
      </c>
      <c r="F1478" s="23" t="s">
        <v>1788</v>
      </c>
      <c r="G1478" s="23" t="s">
        <v>203</v>
      </c>
      <c r="H1478" s="23" t="s">
        <v>204</v>
      </c>
      <c r="I1478" s="32"/>
      <c r="J1478" s="23" t="s">
        <v>6</v>
      </c>
      <c r="K1478" s="23" t="str">
        <f t="shared" si="1"/>
        <v>631141</v>
      </c>
      <c r="L1478" s="23"/>
      <c r="M1478" s="26"/>
      <c r="N1478" s="26"/>
      <c r="O1478" s="26"/>
      <c r="P1478" s="26"/>
      <c r="Q1478" s="26"/>
      <c r="R1478" s="26"/>
      <c r="S1478" s="26"/>
      <c r="T1478" s="26"/>
      <c r="U1478" s="26"/>
      <c r="V1478" s="26"/>
      <c r="W1478" s="26"/>
      <c r="X1478" s="26"/>
    </row>
    <row r="1479" hidden="1">
      <c r="A1479" s="10" t="s">
        <v>427</v>
      </c>
      <c r="B1479" s="10" t="s">
        <v>4668</v>
      </c>
      <c r="C1479" s="27" t="s">
        <v>4669</v>
      </c>
      <c r="D1479" s="10" t="s">
        <v>4670</v>
      </c>
      <c r="E1479" s="28" t="s">
        <v>431</v>
      </c>
      <c r="F1479" s="23" t="s">
        <v>950</v>
      </c>
      <c r="G1479" s="23" t="s">
        <v>203</v>
      </c>
      <c r="H1479" s="23" t="s">
        <v>204</v>
      </c>
      <c r="I1479" s="32"/>
      <c r="J1479" s="23" t="s">
        <v>6</v>
      </c>
      <c r="K1479" s="23" t="str">
        <f t="shared" si="1"/>
        <v>631981</v>
      </c>
      <c r="L1479" s="23"/>
      <c r="M1479" s="26"/>
      <c r="N1479" s="26"/>
      <c r="O1479" s="26"/>
      <c r="P1479" s="26"/>
      <c r="Q1479" s="26"/>
      <c r="R1479" s="26"/>
      <c r="S1479" s="26"/>
      <c r="T1479" s="26"/>
      <c r="U1479" s="26"/>
      <c r="V1479" s="26"/>
      <c r="W1479" s="26"/>
      <c r="X1479" s="26"/>
    </row>
    <row r="1480" hidden="1">
      <c r="A1480" s="10" t="s">
        <v>427</v>
      </c>
      <c r="B1480" s="10" t="s">
        <v>4671</v>
      </c>
      <c r="C1480" s="27" t="s">
        <v>4672</v>
      </c>
      <c r="D1480" s="10" t="s">
        <v>4673</v>
      </c>
      <c r="E1480" s="28" t="s">
        <v>534</v>
      </c>
      <c r="F1480" s="23" t="s">
        <v>1238</v>
      </c>
      <c r="G1480" s="23" t="s">
        <v>203</v>
      </c>
      <c r="H1480" s="23" t="s">
        <v>204</v>
      </c>
      <c r="I1480" s="32"/>
      <c r="J1480" s="23" t="s">
        <v>6</v>
      </c>
      <c r="K1480" s="23" t="str">
        <f t="shared" si="1"/>
        <v>643984</v>
      </c>
      <c r="L1480" s="23"/>
      <c r="M1480" s="26"/>
      <c r="N1480" s="26"/>
      <c r="O1480" s="26"/>
      <c r="P1480" s="26"/>
      <c r="Q1480" s="26"/>
      <c r="R1480" s="26"/>
      <c r="S1480" s="26"/>
      <c r="T1480" s="26"/>
      <c r="U1480" s="26"/>
      <c r="V1480" s="26"/>
      <c r="W1480" s="26"/>
      <c r="X1480" s="26"/>
    </row>
    <row r="1481" hidden="1">
      <c r="A1481" s="10" t="s">
        <v>427</v>
      </c>
      <c r="B1481" s="10" t="s">
        <v>4674</v>
      </c>
      <c r="C1481" s="27" t="s">
        <v>4675</v>
      </c>
      <c r="D1481" s="10" t="s">
        <v>4676</v>
      </c>
      <c r="E1481" s="28" t="s">
        <v>431</v>
      </c>
      <c r="F1481" s="23" t="s">
        <v>946</v>
      </c>
      <c r="G1481" s="23" t="s">
        <v>203</v>
      </c>
      <c r="H1481" s="23" t="s">
        <v>204</v>
      </c>
      <c r="I1481" s="32"/>
      <c r="J1481" s="23" t="s">
        <v>6</v>
      </c>
      <c r="K1481" s="23" t="str">
        <f t="shared" si="1"/>
        <v>631592</v>
      </c>
      <c r="L1481" s="23"/>
      <c r="M1481" s="26"/>
      <c r="N1481" s="26"/>
      <c r="O1481" s="26"/>
      <c r="P1481" s="26"/>
      <c r="Q1481" s="26"/>
      <c r="R1481" s="26"/>
      <c r="S1481" s="26"/>
      <c r="T1481" s="26"/>
      <c r="U1481" s="26"/>
      <c r="V1481" s="26"/>
      <c r="W1481" s="26"/>
      <c r="X1481" s="26"/>
    </row>
    <row r="1482" hidden="1">
      <c r="A1482" s="10" t="s">
        <v>427</v>
      </c>
      <c r="B1482" s="10" t="s">
        <v>4677</v>
      </c>
      <c r="C1482" s="27" t="s">
        <v>4678</v>
      </c>
      <c r="D1482" s="10" t="s">
        <v>4679</v>
      </c>
      <c r="E1482" s="28" t="s">
        <v>534</v>
      </c>
      <c r="F1482" s="23" t="s">
        <v>1242</v>
      </c>
      <c r="G1482" s="23" t="s">
        <v>203</v>
      </c>
      <c r="H1482" s="23" t="s">
        <v>204</v>
      </c>
      <c r="I1482" s="32"/>
      <c r="J1482" s="23" t="s">
        <v>6</v>
      </c>
      <c r="K1482" s="23" t="str">
        <f t="shared" si="1"/>
        <v>638386</v>
      </c>
      <c r="L1482" s="23"/>
      <c r="M1482" s="26"/>
      <c r="N1482" s="26"/>
      <c r="O1482" s="26"/>
      <c r="P1482" s="26"/>
      <c r="Q1482" s="26"/>
      <c r="R1482" s="26"/>
      <c r="S1482" s="26"/>
      <c r="T1482" s="26"/>
      <c r="U1482" s="26"/>
      <c r="V1482" s="26"/>
      <c r="W1482" s="26"/>
      <c r="X1482" s="26"/>
    </row>
    <row r="1483" hidden="1">
      <c r="A1483" s="10" t="s">
        <v>427</v>
      </c>
      <c r="B1483" s="10" t="s">
        <v>4680</v>
      </c>
      <c r="C1483" s="27" t="s">
        <v>4681</v>
      </c>
      <c r="D1483" s="10" t="s">
        <v>4682</v>
      </c>
      <c r="E1483" s="28" t="s">
        <v>431</v>
      </c>
      <c r="F1483" s="23" t="s">
        <v>933</v>
      </c>
      <c r="G1483" s="23" t="s">
        <v>203</v>
      </c>
      <c r="H1483" s="23" t="s">
        <v>204</v>
      </c>
      <c r="I1483" s="32"/>
      <c r="J1483" s="23" t="s">
        <v>6</v>
      </c>
      <c r="K1483" s="23" t="str">
        <f t="shared" si="1"/>
        <v>633091</v>
      </c>
      <c r="L1483" s="23"/>
      <c r="M1483" s="26"/>
      <c r="N1483" s="26"/>
      <c r="O1483" s="26"/>
      <c r="P1483" s="26"/>
      <c r="Q1483" s="26"/>
      <c r="R1483" s="26"/>
      <c r="S1483" s="26"/>
      <c r="T1483" s="26"/>
      <c r="U1483" s="26"/>
      <c r="V1483" s="26"/>
      <c r="W1483" s="26"/>
      <c r="X1483" s="26"/>
    </row>
    <row r="1484" hidden="1">
      <c r="A1484" s="10" t="s">
        <v>427</v>
      </c>
      <c r="B1484" s="10" t="s">
        <v>4683</v>
      </c>
      <c r="C1484" s="27" t="s">
        <v>4684</v>
      </c>
      <c r="D1484" s="10" t="s">
        <v>4685</v>
      </c>
      <c r="E1484" s="28" t="s">
        <v>418</v>
      </c>
      <c r="F1484" s="23" t="s">
        <v>419</v>
      </c>
      <c r="G1484" s="23" t="s">
        <v>203</v>
      </c>
      <c r="H1484" s="23" t="s">
        <v>204</v>
      </c>
      <c r="I1484" s="32"/>
      <c r="J1484" s="23" t="s">
        <v>6</v>
      </c>
      <c r="K1484" s="23" t="str">
        <f t="shared" si="1"/>
        <v>644295</v>
      </c>
      <c r="L1484" s="23"/>
      <c r="M1484" s="26"/>
      <c r="N1484" s="26"/>
      <c r="O1484" s="26"/>
      <c r="P1484" s="26"/>
      <c r="Q1484" s="26"/>
      <c r="R1484" s="26"/>
      <c r="S1484" s="26"/>
      <c r="T1484" s="26"/>
      <c r="U1484" s="26"/>
      <c r="V1484" s="26"/>
      <c r="W1484" s="26"/>
      <c r="X1484" s="26"/>
    </row>
    <row r="1485" hidden="1">
      <c r="A1485" s="10" t="s">
        <v>427</v>
      </c>
      <c r="B1485" s="10" t="s">
        <v>4686</v>
      </c>
      <c r="C1485" s="27" t="s">
        <v>4687</v>
      </c>
      <c r="D1485" s="10" t="s">
        <v>4688</v>
      </c>
      <c r="E1485" s="28" t="s">
        <v>534</v>
      </c>
      <c r="F1485" s="23" t="s">
        <v>757</v>
      </c>
      <c r="G1485" s="23" t="s">
        <v>203</v>
      </c>
      <c r="H1485" s="23" t="s">
        <v>204</v>
      </c>
      <c r="I1485" s="32"/>
      <c r="J1485" s="23" t="s">
        <v>6</v>
      </c>
      <c r="K1485" s="23" t="str">
        <f t="shared" si="1"/>
        <v>643632</v>
      </c>
      <c r="L1485" s="23"/>
      <c r="M1485" s="26"/>
      <c r="N1485" s="26"/>
      <c r="O1485" s="26"/>
      <c r="P1485" s="26"/>
      <c r="Q1485" s="26"/>
      <c r="R1485" s="26"/>
      <c r="S1485" s="26"/>
      <c r="T1485" s="26"/>
      <c r="U1485" s="26"/>
      <c r="V1485" s="26"/>
      <c r="W1485" s="26"/>
      <c r="X1485" s="26"/>
    </row>
    <row r="1486" hidden="1">
      <c r="A1486" s="10" t="s">
        <v>427</v>
      </c>
      <c r="B1486" s="10" t="s">
        <v>4689</v>
      </c>
      <c r="C1486" s="27" t="s">
        <v>4690</v>
      </c>
      <c r="D1486" s="10" t="s">
        <v>4691</v>
      </c>
      <c r="E1486" s="28" t="s">
        <v>418</v>
      </c>
      <c r="F1486" s="23" t="s">
        <v>419</v>
      </c>
      <c r="G1486" s="23" t="s">
        <v>203</v>
      </c>
      <c r="H1486" s="23" t="s">
        <v>204</v>
      </c>
      <c r="I1486" s="32"/>
      <c r="J1486" s="23" t="s">
        <v>6</v>
      </c>
      <c r="K1486" s="23" t="str">
        <f t="shared" si="1"/>
        <v>620893</v>
      </c>
      <c r="L1486" s="23"/>
      <c r="M1486" s="26"/>
      <c r="N1486" s="26"/>
      <c r="O1486" s="26"/>
      <c r="P1486" s="26"/>
      <c r="Q1486" s="26"/>
      <c r="R1486" s="26"/>
      <c r="S1486" s="26"/>
      <c r="T1486" s="26"/>
      <c r="U1486" s="26"/>
      <c r="V1486" s="26"/>
      <c r="W1486" s="26"/>
      <c r="X1486" s="26"/>
    </row>
    <row r="1487" hidden="1">
      <c r="A1487" s="10" t="s">
        <v>190</v>
      </c>
      <c r="B1487" s="10" t="s">
        <v>4692</v>
      </c>
      <c r="C1487" s="27" t="s">
        <v>4693</v>
      </c>
      <c r="D1487" s="10" t="s">
        <v>4694</v>
      </c>
      <c r="E1487" s="28" t="s">
        <v>194</v>
      </c>
      <c r="F1487" s="23" t="s">
        <v>195</v>
      </c>
      <c r="G1487" s="23" t="s">
        <v>203</v>
      </c>
      <c r="H1487" s="23" t="s">
        <v>330</v>
      </c>
      <c r="I1487" s="23" t="s">
        <v>4695</v>
      </c>
      <c r="J1487" s="23" t="s">
        <v>198</v>
      </c>
      <c r="K1487" s="23" t="str">
        <f t="shared" si="1"/>
        <v>691060</v>
      </c>
      <c r="L1487" s="23"/>
      <c r="M1487" s="26"/>
      <c r="N1487" s="26"/>
      <c r="O1487" s="26"/>
      <c r="P1487" s="26"/>
      <c r="Q1487" s="26"/>
      <c r="R1487" s="26"/>
      <c r="S1487" s="26"/>
      <c r="T1487" s="26"/>
      <c r="U1487" s="26"/>
      <c r="V1487" s="26"/>
      <c r="W1487" s="26"/>
      <c r="X1487" s="26"/>
    </row>
    <row r="1488" hidden="1">
      <c r="A1488" s="10" t="s">
        <v>499</v>
      </c>
      <c r="B1488" s="10" t="s">
        <v>4696</v>
      </c>
      <c r="C1488" s="27" t="s">
        <v>4697</v>
      </c>
      <c r="D1488" s="10" t="s">
        <v>4698</v>
      </c>
      <c r="E1488" s="28" t="s">
        <v>194</v>
      </c>
      <c r="F1488" s="23" t="s">
        <v>195</v>
      </c>
      <c r="G1488" s="23" t="s">
        <v>196</v>
      </c>
      <c r="H1488" s="23" t="s">
        <v>330</v>
      </c>
      <c r="I1488" s="32"/>
      <c r="J1488" s="23" t="s">
        <v>6</v>
      </c>
      <c r="K1488" s="23" t="str">
        <f t="shared" si="1"/>
        <v>677477</v>
      </c>
      <c r="L1488" s="23"/>
      <c r="M1488" s="26"/>
      <c r="N1488" s="26"/>
      <c r="O1488" s="26"/>
      <c r="P1488" s="26"/>
      <c r="Q1488" s="26"/>
      <c r="R1488" s="26"/>
      <c r="S1488" s="26"/>
      <c r="T1488" s="26"/>
      <c r="U1488" s="26"/>
      <c r="V1488" s="26"/>
      <c r="W1488" s="26"/>
      <c r="X1488" s="26"/>
    </row>
    <row r="1489" hidden="1">
      <c r="A1489" s="10" t="s">
        <v>499</v>
      </c>
      <c r="B1489" s="10" t="s">
        <v>4699</v>
      </c>
      <c r="C1489" s="27" t="s">
        <v>4700</v>
      </c>
      <c r="D1489" s="10" t="s">
        <v>4701</v>
      </c>
      <c r="E1489" s="28" t="s">
        <v>194</v>
      </c>
      <c r="F1489" s="23" t="s">
        <v>195</v>
      </c>
      <c r="G1489" s="23" t="s">
        <v>521</v>
      </c>
      <c r="H1489" s="23" t="s">
        <v>330</v>
      </c>
      <c r="I1489" s="32"/>
      <c r="J1489" s="23" t="s">
        <v>6</v>
      </c>
      <c r="K1489" s="23" t="str">
        <f t="shared" si="1"/>
        <v>679099</v>
      </c>
      <c r="L1489" s="23"/>
      <c r="M1489" s="26"/>
      <c r="N1489" s="26"/>
      <c r="O1489" s="26"/>
      <c r="P1489" s="26"/>
      <c r="Q1489" s="26"/>
      <c r="R1489" s="26"/>
      <c r="S1489" s="26"/>
      <c r="T1489" s="26"/>
      <c r="U1489" s="26"/>
      <c r="V1489" s="26"/>
      <c r="W1489" s="26"/>
      <c r="X1489" s="26"/>
    </row>
    <row r="1490" hidden="1">
      <c r="A1490" s="10" t="s">
        <v>427</v>
      </c>
      <c r="B1490" s="10" t="s">
        <v>4702</v>
      </c>
      <c r="C1490" s="27" t="s">
        <v>4703</v>
      </c>
      <c r="D1490" s="10" t="s">
        <v>4704</v>
      </c>
      <c r="E1490" s="28" t="s">
        <v>534</v>
      </c>
      <c r="F1490" s="23" t="s">
        <v>1238</v>
      </c>
      <c r="G1490" s="23" t="s">
        <v>521</v>
      </c>
      <c r="H1490" s="23" t="s">
        <v>330</v>
      </c>
      <c r="I1490" s="32"/>
      <c r="J1490" s="23" t="s">
        <v>6</v>
      </c>
      <c r="K1490" s="23" t="str">
        <f t="shared" si="1"/>
        <v>653891</v>
      </c>
      <c r="L1490" s="23"/>
      <c r="M1490" s="26"/>
      <c r="N1490" s="26"/>
      <c r="O1490" s="26"/>
      <c r="P1490" s="26"/>
      <c r="Q1490" s="26"/>
      <c r="R1490" s="26"/>
      <c r="S1490" s="26"/>
      <c r="T1490" s="26"/>
      <c r="U1490" s="26"/>
      <c r="V1490" s="26"/>
      <c r="W1490" s="26"/>
      <c r="X1490" s="26"/>
    </row>
    <row r="1491" hidden="1">
      <c r="A1491" s="10" t="s">
        <v>427</v>
      </c>
      <c r="B1491" s="10" t="s">
        <v>4705</v>
      </c>
      <c r="C1491" s="27" t="s">
        <v>4706</v>
      </c>
      <c r="D1491" s="10" t="s">
        <v>4707</v>
      </c>
      <c r="E1491" s="28" t="s">
        <v>534</v>
      </c>
      <c r="F1491" s="23" t="s">
        <v>1242</v>
      </c>
      <c r="G1491" s="23" t="s">
        <v>521</v>
      </c>
      <c r="H1491" s="23" t="s">
        <v>330</v>
      </c>
      <c r="I1491" s="32"/>
      <c r="J1491" s="23" t="s">
        <v>6</v>
      </c>
      <c r="K1491" s="23" t="str">
        <f t="shared" si="1"/>
        <v>638508</v>
      </c>
      <c r="L1491" s="23"/>
      <c r="M1491" s="26"/>
      <c r="N1491" s="26"/>
      <c r="O1491" s="26"/>
      <c r="P1491" s="26"/>
      <c r="Q1491" s="26"/>
      <c r="R1491" s="26"/>
      <c r="S1491" s="26"/>
      <c r="T1491" s="26"/>
      <c r="U1491" s="26"/>
      <c r="V1491" s="26"/>
      <c r="W1491" s="26"/>
      <c r="X1491" s="26"/>
    </row>
    <row r="1492" hidden="1">
      <c r="A1492" s="10" t="s">
        <v>427</v>
      </c>
      <c r="B1492" s="10" t="s">
        <v>4708</v>
      </c>
      <c r="C1492" s="27" t="s">
        <v>4709</v>
      </c>
      <c r="D1492" s="10" t="s">
        <v>4710</v>
      </c>
      <c r="E1492" s="28" t="s">
        <v>418</v>
      </c>
      <c r="F1492" s="23" t="s">
        <v>419</v>
      </c>
      <c r="G1492" s="23" t="s">
        <v>521</v>
      </c>
      <c r="H1492" s="23" t="s">
        <v>330</v>
      </c>
      <c r="I1492" s="32"/>
      <c r="J1492" s="23" t="s">
        <v>6</v>
      </c>
      <c r="K1492" s="23" t="str">
        <f t="shared" si="1"/>
        <v>653150</v>
      </c>
      <c r="L1492" s="23"/>
      <c r="M1492" s="26"/>
      <c r="N1492" s="26"/>
      <c r="O1492" s="26"/>
      <c r="P1492" s="26"/>
      <c r="Q1492" s="26"/>
      <c r="R1492" s="26"/>
      <c r="S1492" s="26"/>
      <c r="T1492" s="26"/>
      <c r="U1492" s="26"/>
      <c r="V1492" s="26"/>
      <c r="W1492" s="26"/>
      <c r="X1492" s="26"/>
    </row>
    <row r="1493" hidden="1">
      <c r="A1493" s="10" t="s">
        <v>427</v>
      </c>
      <c r="B1493" s="10" t="s">
        <v>4711</v>
      </c>
      <c r="C1493" s="27" t="s">
        <v>4712</v>
      </c>
      <c r="D1493" s="10" t="s">
        <v>4713</v>
      </c>
      <c r="E1493" s="28" t="s">
        <v>534</v>
      </c>
      <c r="F1493" s="23" t="s">
        <v>1238</v>
      </c>
      <c r="G1493" s="23" t="s">
        <v>521</v>
      </c>
      <c r="H1493" s="23" t="s">
        <v>330</v>
      </c>
      <c r="I1493" s="32"/>
      <c r="J1493" s="23" t="s">
        <v>6</v>
      </c>
      <c r="K1493" s="23" t="str">
        <f t="shared" si="1"/>
        <v>671109</v>
      </c>
      <c r="L1493" s="23"/>
      <c r="M1493" s="26"/>
      <c r="N1493" s="26"/>
      <c r="O1493" s="26"/>
      <c r="P1493" s="26"/>
      <c r="Q1493" s="26"/>
      <c r="R1493" s="26"/>
      <c r="S1493" s="26"/>
      <c r="T1493" s="26"/>
      <c r="U1493" s="26"/>
      <c r="V1493" s="26"/>
      <c r="W1493" s="26"/>
      <c r="X1493" s="26"/>
    </row>
    <row r="1494" hidden="1">
      <c r="A1494" s="10" t="s">
        <v>427</v>
      </c>
      <c r="B1494" s="10" t="s">
        <v>4714</v>
      </c>
      <c r="C1494" s="27" t="s">
        <v>4715</v>
      </c>
      <c r="D1494" s="10" t="s">
        <v>4716</v>
      </c>
      <c r="E1494" s="28" t="s">
        <v>534</v>
      </c>
      <c r="F1494" s="23" t="s">
        <v>1238</v>
      </c>
      <c r="G1494" s="23" t="s">
        <v>521</v>
      </c>
      <c r="H1494" s="23" t="s">
        <v>330</v>
      </c>
      <c r="I1494" s="32"/>
      <c r="J1494" s="23" t="s">
        <v>6</v>
      </c>
      <c r="K1494" s="23" t="str">
        <f t="shared" si="1"/>
        <v>671130</v>
      </c>
      <c r="L1494" s="23"/>
      <c r="M1494" s="26"/>
      <c r="N1494" s="26"/>
      <c r="O1494" s="26"/>
      <c r="P1494" s="26"/>
      <c r="Q1494" s="26"/>
      <c r="R1494" s="26"/>
      <c r="S1494" s="26"/>
      <c r="T1494" s="26"/>
      <c r="U1494" s="26"/>
      <c r="V1494" s="26"/>
      <c r="W1494" s="26"/>
      <c r="X1494" s="26"/>
    </row>
    <row r="1495" hidden="1">
      <c r="A1495" s="10" t="s">
        <v>427</v>
      </c>
      <c r="B1495" s="10" t="s">
        <v>4717</v>
      </c>
      <c r="C1495" s="27" t="s">
        <v>4718</v>
      </c>
      <c r="D1495" s="10" t="s">
        <v>4719</v>
      </c>
      <c r="E1495" s="28" t="s">
        <v>534</v>
      </c>
      <c r="F1495" s="23" t="s">
        <v>757</v>
      </c>
      <c r="G1495" s="23" t="s">
        <v>521</v>
      </c>
      <c r="H1495" s="23" t="s">
        <v>330</v>
      </c>
      <c r="I1495" s="32"/>
      <c r="J1495" s="23" t="s">
        <v>6</v>
      </c>
      <c r="K1495" s="23" t="str">
        <f t="shared" si="1"/>
        <v>653693</v>
      </c>
      <c r="L1495" s="23"/>
      <c r="M1495" s="26"/>
      <c r="N1495" s="26"/>
      <c r="O1495" s="26"/>
      <c r="P1495" s="26"/>
      <c r="Q1495" s="26"/>
      <c r="R1495" s="26"/>
      <c r="S1495" s="26"/>
      <c r="T1495" s="26"/>
      <c r="U1495" s="26"/>
      <c r="V1495" s="26"/>
      <c r="W1495" s="26"/>
      <c r="X1495" s="26"/>
    </row>
    <row r="1496" hidden="1">
      <c r="A1496" s="10" t="s">
        <v>427</v>
      </c>
      <c r="B1496" s="10" t="s">
        <v>4720</v>
      </c>
      <c r="C1496" s="27" t="s">
        <v>4721</v>
      </c>
      <c r="D1496" s="10" t="s">
        <v>4722</v>
      </c>
      <c r="E1496" s="28" t="s">
        <v>534</v>
      </c>
      <c r="F1496" s="23" t="s">
        <v>757</v>
      </c>
      <c r="G1496" s="23" t="s">
        <v>521</v>
      </c>
      <c r="H1496" s="23" t="s">
        <v>330</v>
      </c>
      <c r="I1496" s="32"/>
      <c r="J1496" s="23" t="s">
        <v>6</v>
      </c>
      <c r="K1496" s="23" t="str">
        <f t="shared" si="1"/>
        <v>671086</v>
      </c>
      <c r="L1496" s="23"/>
      <c r="M1496" s="26"/>
      <c r="N1496" s="26"/>
      <c r="O1496" s="26"/>
      <c r="P1496" s="26"/>
      <c r="Q1496" s="26"/>
      <c r="R1496" s="26"/>
      <c r="S1496" s="26"/>
      <c r="T1496" s="26"/>
      <c r="U1496" s="26"/>
      <c r="V1496" s="26"/>
      <c r="W1496" s="26"/>
      <c r="X1496" s="26"/>
    </row>
    <row r="1497" hidden="1">
      <c r="A1497" s="10" t="s">
        <v>427</v>
      </c>
      <c r="B1497" s="10" t="s">
        <v>4723</v>
      </c>
      <c r="C1497" s="27" t="s">
        <v>4724</v>
      </c>
      <c r="D1497" s="10" t="s">
        <v>4725</v>
      </c>
      <c r="E1497" s="28" t="s">
        <v>534</v>
      </c>
      <c r="F1497" s="23" t="s">
        <v>757</v>
      </c>
      <c r="G1497" s="23" t="s">
        <v>521</v>
      </c>
      <c r="H1497" s="23" t="s">
        <v>330</v>
      </c>
      <c r="I1497" s="32"/>
      <c r="J1497" s="23" t="s">
        <v>6</v>
      </c>
      <c r="K1497" s="23" t="str">
        <f t="shared" si="1"/>
        <v>671123</v>
      </c>
      <c r="L1497" s="23"/>
      <c r="M1497" s="26"/>
      <c r="N1497" s="26"/>
      <c r="O1497" s="26"/>
      <c r="P1497" s="26"/>
      <c r="Q1497" s="26"/>
      <c r="R1497" s="26"/>
      <c r="S1497" s="26"/>
      <c r="T1497" s="26"/>
      <c r="U1497" s="26"/>
      <c r="V1497" s="26"/>
      <c r="W1497" s="26"/>
      <c r="X1497" s="26"/>
    </row>
    <row r="1498" hidden="1">
      <c r="A1498" s="10" t="s">
        <v>427</v>
      </c>
      <c r="B1498" s="10" t="s">
        <v>4726</v>
      </c>
      <c r="C1498" s="27" t="s">
        <v>4727</v>
      </c>
      <c r="D1498" s="10" t="s">
        <v>4728</v>
      </c>
      <c r="E1498" s="28" t="s">
        <v>534</v>
      </c>
      <c r="F1498" s="23" t="s">
        <v>757</v>
      </c>
      <c r="G1498" s="23" t="s">
        <v>521</v>
      </c>
      <c r="H1498" s="23" t="s">
        <v>330</v>
      </c>
      <c r="I1498" s="32"/>
      <c r="J1498" s="23" t="s">
        <v>6</v>
      </c>
      <c r="K1498" s="23" t="str">
        <f t="shared" si="1"/>
        <v>670508</v>
      </c>
      <c r="L1498" s="23"/>
      <c r="M1498" s="26"/>
      <c r="N1498" s="26"/>
      <c r="O1498" s="26"/>
      <c r="P1498" s="26"/>
      <c r="Q1498" s="26"/>
      <c r="R1498" s="26"/>
      <c r="S1498" s="26"/>
      <c r="T1498" s="26"/>
      <c r="U1498" s="26"/>
      <c r="V1498" s="26"/>
      <c r="W1498" s="26"/>
      <c r="X1498" s="26"/>
    </row>
    <row r="1499" hidden="1">
      <c r="A1499" s="10" t="s">
        <v>427</v>
      </c>
      <c r="B1499" s="10" t="s">
        <v>4729</v>
      </c>
      <c r="C1499" s="27" t="s">
        <v>4730</v>
      </c>
      <c r="D1499" s="10" t="s">
        <v>4731</v>
      </c>
      <c r="E1499" s="28" t="s">
        <v>534</v>
      </c>
      <c r="F1499" s="23" t="s">
        <v>757</v>
      </c>
      <c r="G1499" s="23" t="s">
        <v>521</v>
      </c>
      <c r="H1499" s="23" t="s">
        <v>330</v>
      </c>
      <c r="I1499" s="32"/>
      <c r="J1499" s="23" t="s">
        <v>6</v>
      </c>
      <c r="K1499" s="23" t="str">
        <f t="shared" si="1"/>
        <v>653778</v>
      </c>
      <c r="L1499" s="23"/>
      <c r="M1499" s="26"/>
      <c r="N1499" s="26"/>
      <c r="O1499" s="26"/>
      <c r="P1499" s="26"/>
      <c r="Q1499" s="26"/>
      <c r="R1499" s="26"/>
      <c r="S1499" s="26"/>
      <c r="T1499" s="26"/>
      <c r="U1499" s="26"/>
      <c r="V1499" s="26"/>
      <c r="W1499" s="26"/>
      <c r="X1499" s="26"/>
    </row>
    <row r="1500" hidden="1">
      <c r="A1500" s="10" t="s">
        <v>427</v>
      </c>
      <c r="B1500" s="10" t="s">
        <v>4732</v>
      </c>
      <c r="C1500" s="27" t="s">
        <v>4733</v>
      </c>
      <c r="D1500" s="10" t="s">
        <v>4734</v>
      </c>
      <c r="E1500" s="28" t="s">
        <v>534</v>
      </c>
      <c r="F1500" s="23" t="s">
        <v>4735</v>
      </c>
      <c r="G1500" s="23" t="s">
        <v>521</v>
      </c>
      <c r="H1500" s="23" t="s">
        <v>330</v>
      </c>
      <c r="I1500" s="32"/>
      <c r="J1500" s="23" t="s">
        <v>6</v>
      </c>
      <c r="K1500" s="23" t="str">
        <f t="shared" si="1"/>
        <v>672724</v>
      </c>
      <c r="L1500" s="23"/>
      <c r="M1500" s="26"/>
      <c r="N1500" s="26"/>
      <c r="O1500" s="26"/>
      <c r="P1500" s="26"/>
      <c r="Q1500" s="26"/>
      <c r="R1500" s="26"/>
      <c r="S1500" s="26"/>
      <c r="T1500" s="26"/>
      <c r="U1500" s="26"/>
      <c r="V1500" s="26"/>
      <c r="W1500" s="26"/>
      <c r="X1500" s="26"/>
    </row>
    <row r="1501" hidden="1">
      <c r="A1501" s="10" t="s">
        <v>427</v>
      </c>
      <c r="B1501" s="10" t="s">
        <v>4736</v>
      </c>
      <c r="C1501" s="27" t="s">
        <v>4737</v>
      </c>
      <c r="D1501" s="10" t="s">
        <v>4738</v>
      </c>
      <c r="E1501" s="28" t="s">
        <v>534</v>
      </c>
      <c r="F1501" s="23" t="s">
        <v>4735</v>
      </c>
      <c r="G1501" s="23" t="s">
        <v>521</v>
      </c>
      <c r="H1501" s="23" t="s">
        <v>330</v>
      </c>
      <c r="I1501" s="32"/>
      <c r="J1501" s="23" t="s">
        <v>6</v>
      </c>
      <c r="K1501" s="23" t="str">
        <f t="shared" si="1"/>
        <v>672847</v>
      </c>
      <c r="L1501" s="23"/>
      <c r="M1501" s="26"/>
      <c r="N1501" s="26"/>
      <c r="O1501" s="26"/>
      <c r="P1501" s="26"/>
      <c r="Q1501" s="26"/>
      <c r="R1501" s="26"/>
      <c r="S1501" s="26"/>
      <c r="T1501" s="26"/>
      <c r="U1501" s="26"/>
      <c r="V1501" s="26"/>
      <c r="W1501" s="26"/>
      <c r="X1501" s="26"/>
    </row>
    <row r="1502" hidden="1">
      <c r="A1502" s="10" t="s">
        <v>427</v>
      </c>
      <c r="B1502" s="10" t="s">
        <v>4739</v>
      </c>
      <c r="C1502" s="27" t="s">
        <v>4740</v>
      </c>
      <c r="D1502" s="10" t="s">
        <v>4741</v>
      </c>
      <c r="E1502" s="28" t="s">
        <v>534</v>
      </c>
      <c r="F1502" s="23" t="s">
        <v>535</v>
      </c>
      <c r="G1502" s="23" t="s">
        <v>521</v>
      </c>
      <c r="H1502" s="23" t="s">
        <v>330</v>
      </c>
      <c r="I1502" s="32"/>
      <c r="J1502" s="23" t="s">
        <v>6</v>
      </c>
      <c r="K1502" s="23" t="str">
        <f t="shared" si="1"/>
        <v>674865</v>
      </c>
      <c r="L1502" s="23"/>
      <c r="M1502" s="26"/>
      <c r="N1502" s="26"/>
      <c r="O1502" s="26"/>
      <c r="P1502" s="26"/>
      <c r="Q1502" s="26"/>
      <c r="R1502" s="26"/>
      <c r="S1502" s="26"/>
      <c r="T1502" s="26"/>
      <c r="U1502" s="26"/>
      <c r="V1502" s="26"/>
      <c r="W1502" s="26"/>
      <c r="X1502" s="26"/>
    </row>
    <row r="1503" hidden="1">
      <c r="A1503" s="10" t="s">
        <v>427</v>
      </c>
      <c r="B1503" s="10" t="s">
        <v>4742</v>
      </c>
      <c r="C1503" s="27" t="s">
        <v>4743</v>
      </c>
      <c r="D1503" s="10" t="s">
        <v>4744</v>
      </c>
      <c r="E1503" s="28" t="s">
        <v>534</v>
      </c>
      <c r="F1503" s="23" t="s">
        <v>1242</v>
      </c>
      <c r="G1503" s="23" t="s">
        <v>521</v>
      </c>
      <c r="H1503" s="23" t="s">
        <v>330</v>
      </c>
      <c r="I1503" s="32"/>
      <c r="J1503" s="23" t="s">
        <v>6</v>
      </c>
      <c r="K1503" s="23" t="str">
        <f t="shared" si="1"/>
        <v>690643</v>
      </c>
      <c r="L1503" s="23"/>
      <c r="M1503" s="26"/>
      <c r="N1503" s="26"/>
      <c r="O1503" s="26"/>
      <c r="P1503" s="26"/>
      <c r="Q1503" s="26"/>
      <c r="R1503" s="26"/>
      <c r="S1503" s="26"/>
      <c r="T1503" s="26"/>
      <c r="U1503" s="26"/>
      <c r="V1503" s="26"/>
      <c r="W1503" s="26"/>
      <c r="X1503" s="26"/>
    </row>
    <row r="1504" hidden="1">
      <c r="A1504" s="10" t="s">
        <v>427</v>
      </c>
      <c r="B1504" s="10" t="s">
        <v>4745</v>
      </c>
      <c r="C1504" s="27" t="s">
        <v>4746</v>
      </c>
      <c r="D1504" s="10" t="s">
        <v>4747</v>
      </c>
      <c r="E1504" s="28" t="s">
        <v>418</v>
      </c>
      <c r="F1504" s="23" t="s">
        <v>419</v>
      </c>
      <c r="G1504" s="23" t="s">
        <v>521</v>
      </c>
      <c r="H1504" s="23" t="s">
        <v>330</v>
      </c>
      <c r="I1504" s="32"/>
      <c r="J1504" s="23" t="s">
        <v>6</v>
      </c>
      <c r="K1504" s="23" t="str">
        <f t="shared" si="1"/>
        <v>690674</v>
      </c>
      <c r="L1504" s="23"/>
      <c r="M1504" s="26"/>
      <c r="N1504" s="26"/>
      <c r="O1504" s="26"/>
      <c r="P1504" s="26"/>
      <c r="Q1504" s="26"/>
      <c r="R1504" s="26"/>
      <c r="S1504" s="26"/>
      <c r="T1504" s="26"/>
      <c r="U1504" s="26"/>
      <c r="V1504" s="26"/>
      <c r="W1504" s="26"/>
      <c r="X1504" s="26"/>
    </row>
    <row r="1505" hidden="1">
      <c r="A1505" s="10" t="s">
        <v>427</v>
      </c>
      <c r="B1505" s="10" t="s">
        <v>4748</v>
      </c>
      <c r="C1505" s="27" t="s">
        <v>4749</v>
      </c>
      <c r="D1505" s="10" t="s">
        <v>4750</v>
      </c>
      <c r="E1505" s="28" t="s">
        <v>534</v>
      </c>
      <c r="F1505" s="23" t="s">
        <v>757</v>
      </c>
      <c r="G1505" s="23" t="s">
        <v>521</v>
      </c>
      <c r="H1505" s="23" t="s">
        <v>330</v>
      </c>
      <c r="I1505" s="32"/>
      <c r="J1505" s="23" t="s">
        <v>6</v>
      </c>
      <c r="K1505" s="23" t="str">
        <f t="shared" si="1"/>
        <v>690445</v>
      </c>
      <c r="L1505" s="23"/>
      <c r="M1505" s="26"/>
      <c r="N1505" s="26"/>
      <c r="O1505" s="26"/>
      <c r="P1505" s="26"/>
      <c r="Q1505" s="26"/>
      <c r="R1505" s="26"/>
      <c r="S1505" s="26"/>
      <c r="T1505" s="26"/>
      <c r="U1505" s="26"/>
      <c r="V1505" s="26"/>
      <c r="W1505" s="26"/>
      <c r="X1505" s="26"/>
    </row>
    <row r="1506" hidden="1">
      <c r="A1506" s="10" t="s">
        <v>427</v>
      </c>
      <c r="B1506" s="10" t="s">
        <v>4751</v>
      </c>
      <c r="C1506" s="27" t="s">
        <v>4752</v>
      </c>
      <c r="D1506" s="10" t="s">
        <v>4753</v>
      </c>
      <c r="E1506" s="28" t="s">
        <v>431</v>
      </c>
      <c r="F1506" s="23" t="s">
        <v>946</v>
      </c>
      <c r="G1506" s="23" t="s">
        <v>521</v>
      </c>
      <c r="H1506" s="23" t="s">
        <v>330</v>
      </c>
      <c r="I1506" s="32"/>
      <c r="J1506" s="23" t="s">
        <v>6</v>
      </c>
      <c r="K1506" s="23" t="str">
        <f t="shared" si="1"/>
        <v>690438</v>
      </c>
      <c r="L1506" s="23"/>
      <c r="M1506" s="26"/>
      <c r="N1506" s="26"/>
      <c r="O1506" s="26"/>
      <c r="P1506" s="26"/>
      <c r="Q1506" s="26"/>
      <c r="R1506" s="26"/>
      <c r="S1506" s="26"/>
      <c r="T1506" s="26"/>
      <c r="U1506" s="26"/>
      <c r="V1506" s="26"/>
      <c r="W1506" s="26"/>
      <c r="X1506" s="26"/>
    </row>
    <row r="1507" hidden="1">
      <c r="A1507" s="10" t="s">
        <v>427</v>
      </c>
      <c r="B1507" s="10" t="s">
        <v>4754</v>
      </c>
      <c r="C1507" s="27" t="s">
        <v>4755</v>
      </c>
      <c r="D1507" s="10" t="s">
        <v>4756</v>
      </c>
      <c r="E1507" s="28" t="s">
        <v>534</v>
      </c>
      <c r="F1507" s="23" t="s">
        <v>1238</v>
      </c>
      <c r="G1507" s="23" t="s">
        <v>521</v>
      </c>
      <c r="H1507" s="23" t="s">
        <v>330</v>
      </c>
      <c r="I1507" s="32"/>
      <c r="J1507" s="23" t="s">
        <v>6</v>
      </c>
      <c r="K1507" s="23" t="str">
        <f t="shared" si="1"/>
        <v>690292</v>
      </c>
      <c r="L1507" s="23"/>
      <c r="M1507" s="26"/>
      <c r="N1507" s="26"/>
      <c r="O1507" s="26"/>
      <c r="P1507" s="26"/>
      <c r="Q1507" s="26"/>
      <c r="R1507" s="26"/>
      <c r="S1507" s="26"/>
      <c r="T1507" s="26"/>
      <c r="U1507" s="26"/>
      <c r="V1507" s="26"/>
      <c r="W1507" s="26"/>
      <c r="X1507" s="26"/>
    </row>
    <row r="1508" hidden="1">
      <c r="A1508" s="10" t="s">
        <v>427</v>
      </c>
      <c r="B1508" s="10" t="s">
        <v>4757</v>
      </c>
      <c r="C1508" s="27" t="s">
        <v>4758</v>
      </c>
      <c r="D1508" s="10" t="s">
        <v>4759</v>
      </c>
      <c r="E1508" s="28" t="s">
        <v>534</v>
      </c>
      <c r="F1508" s="23" t="s">
        <v>757</v>
      </c>
      <c r="G1508" s="23" t="s">
        <v>521</v>
      </c>
      <c r="H1508" s="23" t="s">
        <v>330</v>
      </c>
      <c r="I1508" s="32"/>
      <c r="J1508" s="23" t="s">
        <v>6</v>
      </c>
      <c r="K1508" s="23" t="str">
        <f t="shared" si="1"/>
        <v>690650</v>
      </c>
      <c r="L1508" s="23"/>
      <c r="M1508" s="26"/>
      <c r="N1508" s="26"/>
      <c r="O1508" s="26"/>
      <c r="P1508" s="26"/>
      <c r="Q1508" s="26"/>
      <c r="R1508" s="26"/>
      <c r="S1508" s="26"/>
      <c r="T1508" s="26"/>
      <c r="U1508" s="26"/>
      <c r="V1508" s="26"/>
      <c r="W1508" s="26"/>
      <c r="X1508" s="26"/>
    </row>
    <row r="1509" hidden="1">
      <c r="A1509" s="10" t="s">
        <v>427</v>
      </c>
      <c r="B1509" s="10" t="s">
        <v>4760</v>
      </c>
      <c r="C1509" s="27" t="s">
        <v>4761</v>
      </c>
      <c r="D1509" s="10" t="s">
        <v>4762</v>
      </c>
      <c r="E1509" s="28" t="s">
        <v>431</v>
      </c>
      <c r="F1509" s="23" t="s">
        <v>950</v>
      </c>
      <c r="G1509" s="23" t="s">
        <v>521</v>
      </c>
      <c r="H1509" s="23" t="s">
        <v>330</v>
      </c>
      <c r="I1509" s="32"/>
      <c r="J1509" s="23" t="s">
        <v>6</v>
      </c>
      <c r="K1509" s="23" t="str">
        <f t="shared" si="1"/>
        <v>690667</v>
      </c>
      <c r="L1509" s="23"/>
      <c r="M1509" s="26"/>
      <c r="N1509" s="26"/>
      <c r="O1509" s="26"/>
      <c r="P1509" s="26"/>
      <c r="Q1509" s="26"/>
      <c r="R1509" s="26"/>
      <c r="S1509" s="26"/>
      <c r="T1509" s="26"/>
      <c r="U1509" s="26"/>
      <c r="V1509" s="26"/>
      <c r="W1509" s="26"/>
      <c r="X1509" s="26"/>
    </row>
    <row r="1510" hidden="1">
      <c r="A1510" s="10" t="s">
        <v>427</v>
      </c>
      <c r="B1510" s="10" t="s">
        <v>4763</v>
      </c>
      <c r="C1510" s="27" t="s">
        <v>4764</v>
      </c>
      <c r="D1510" s="10" t="s">
        <v>4765</v>
      </c>
      <c r="E1510" s="28" t="s">
        <v>431</v>
      </c>
      <c r="F1510" s="23" t="s">
        <v>946</v>
      </c>
      <c r="G1510" s="23" t="s">
        <v>521</v>
      </c>
      <c r="H1510" s="23" t="s">
        <v>330</v>
      </c>
      <c r="I1510" s="32"/>
      <c r="J1510" s="23" t="s">
        <v>6</v>
      </c>
      <c r="K1510" s="23" t="str">
        <f t="shared" si="1"/>
        <v>636641</v>
      </c>
      <c r="L1510" s="23"/>
      <c r="M1510" s="26"/>
      <c r="N1510" s="26"/>
      <c r="O1510" s="26"/>
      <c r="P1510" s="26"/>
      <c r="Q1510" s="26"/>
      <c r="R1510" s="26"/>
      <c r="S1510" s="26"/>
      <c r="T1510" s="26"/>
      <c r="U1510" s="26"/>
      <c r="V1510" s="26"/>
      <c r="W1510" s="26"/>
      <c r="X1510" s="26"/>
    </row>
    <row r="1511" hidden="1">
      <c r="A1511" s="10" t="s">
        <v>427</v>
      </c>
      <c r="B1511" s="10" t="s">
        <v>4766</v>
      </c>
      <c r="C1511" s="27" t="s">
        <v>4767</v>
      </c>
      <c r="D1511" s="10" t="s">
        <v>4768</v>
      </c>
      <c r="E1511" s="28" t="s">
        <v>534</v>
      </c>
      <c r="F1511" s="23" t="s">
        <v>4735</v>
      </c>
      <c r="G1511" s="23" t="s">
        <v>521</v>
      </c>
      <c r="H1511" s="23" t="s">
        <v>330</v>
      </c>
      <c r="I1511" s="32"/>
      <c r="J1511" s="23" t="s">
        <v>6</v>
      </c>
      <c r="K1511" s="23" t="str">
        <f t="shared" si="1"/>
        <v>672885</v>
      </c>
      <c r="L1511" s="23"/>
      <c r="M1511" s="26"/>
      <c r="N1511" s="26"/>
      <c r="O1511" s="26"/>
      <c r="P1511" s="26"/>
      <c r="Q1511" s="26"/>
      <c r="R1511" s="26"/>
      <c r="S1511" s="26"/>
      <c r="T1511" s="26"/>
      <c r="U1511" s="26"/>
      <c r="V1511" s="26"/>
      <c r="W1511" s="26"/>
      <c r="X1511" s="26"/>
    </row>
    <row r="1512" hidden="1">
      <c r="A1512" s="10" t="s">
        <v>427</v>
      </c>
      <c r="B1512" s="10" t="s">
        <v>4769</v>
      </c>
      <c r="C1512" s="27" t="s">
        <v>4770</v>
      </c>
      <c r="D1512" s="10" t="s">
        <v>4771</v>
      </c>
      <c r="E1512" s="28" t="s">
        <v>534</v>
      </c>
      <c r="F1512" s="23" t="s">
        <v>757</v>
      </c>
      <c r="G1512" s="23" t="s">
        <v>521</v>
      </c>
      <c r="H1512" s="23" t="s">
        <v>330</v>
      </c>
      <c r="I1512" s="32"/>
      <c r="J1512" s="23" t="s">
        <v>6</v>
      </c>
      <c r="K1512" s="23" t="str">
        <f t="shared" si="1"/>
        <v>660363</v>
      </c>
      <c r="L1512" s="23"/>
      <c r="M1512" s="26"/>
      <c r="N1512" s="26"/>
      <c r="O1512" s="26"/>
      <c r="P1512" s="26"/>
      <c r="Q1512" s="26"/>
      <c r="R1512" s="26"/>
      <c r="S1512" s="26"/>
      <c r="T1512" s="26"/>
      <c r="U1512" s="26"/>
      <c r="V1512" s="26"/>
      <c r="W1512" s="26"/>
      <c r="X1512" s="26"/>
    </row>
    <row r="1513" hidden="1">
      <c r="A1513" s="10" t="s">
        <v>427</v>
      </c>
      <c r="B1513" s="10" t="s">
        <v>4772</v>
      </c>
      <c r="C1513" s="27" t="s">
        <v>4773</v>
      </c>
      <c r="D1513" s="10" t="s">
        <v>4774</v>
      </c>
      <c r="E1513" s="28" t="s">
        <v>431</v>
      </c>
      <c r="F1513" s="23" t="s">
        <v>950</v>
      </c>
      <c r="G1513" s="23" t="s">
        <v>521</v>
      </c>
      <c r="H1513" s="23" t="s">
        <v>330</v>
      </c>
      <c r="I1513" s="32"/>
      <c r="J1513" s="23" t="s">
        <v>6</v>
      </c>
      <c r="K1513" s="23" t="str">
        <f t="shared" si="1"/>
        <v>673141</v>
      </c>
      <c r="L1513" s="23"/>
      <c r="M1513" s="26"/>
      <c r="N1513" s="26"/>
      <c r="O1513" s="26"/>
      <c r="P1513" s="26"/>
      <c r="Q1513" s="26"/>
      <c r="R1513" s="26"/>
      <c r="S1513" s="26"/>
      <c r="T1513" s="26"/>
      <c r="U1513" s="26"/>
      <c r="V1513" s="26"/>
      <c r="W1513" s="26"/>
      <c r="X1513" s="26"/>
    </row>
    <row r="1514" hidden="1">
      <c r="A1514" s="10" t="s">
        <v>427</v>
      </c>
      <c r="B1514" s="10" t="s">
        <v>4775</v>
      </c>
      <c r="C1514" s="27" t="s">
        <v>4776</v>
      </c>
      <c r="D1514" s="10" t="s">
        <v>4777</v>
      </c>
      <c r="E1514" s="28" t="s">
        <v>431</v>
      </c>
      <c r="F1514" s="23" t="s">
        <v>950</v>
      </c>
      <c r="G1514" s="23" t="s">
        <v>521</v>
      </c>
      <c r="H1514" s="23" t="s">
        <v>330</v>
      </c>
      <c r="I1514" s="32"/>
      <c r="J1514" s="23" t="s">
        <v>6</v>
      </c>
      <c r="K1514" s="23" t="str">
        <f t="shared" si="1"/>
        <v>660226</v>
      </c>
      <c r="L1514" s="23"/>
      <c r="M1514" s="26"/>
      <c r="N1514" s="26"/>
      <c r="O1514" s="26"/>
      <c r="P1514" s="26"/>
      <c r="Q1514" s="26"/>
      <c r="R1514" s="26"/>
      <c r="S1514" s="26"/>
      <c r="T1514" s="26"/>
      <c r="U1514" s="26"/>
      <c r="V1514" s="26"/>
      <c r="W1514" s="26"/>
      <c r="X1514" s="26"/>
    </row>
    <row r="1515" hidden="1">
      <c r="A1515" s="10" t="s">
        <v>427</v>
      </c>
      <c r="B1515" s="10" t="s">
        <v>4778</v>
      </c>
      <c r="C1515" s="27" t="s">
        <v>4779</v>
      </c>
      <c r="D1515" s="10" t="s">
        <v>4780</v>
      </c>
      <c r="E1515" s="28" t="s">
        <v>431</v>
      </c>
      <c r="F1515" s="23" t="s">
        <v>933</v>
      </c>
      <c r="G1515" s="23" t="s">
        <v>521</v>
      </c>
      <c r="H1515" s="23" t="s">
        <v>330</v>
      </c>
      <c r="I1515" s="32"/>
      <c r="J1515" s="23" t="s">
        <v>6</v>
      </c>
      <c r="K1515" s="23" t="str">
        <f t="shared" si="1"/>
        <v>673202</v>
      </c>
      <c r="L1515" s="23"/>
      <c r="M1515" s="26"/>
      <c r="N1515" s="26"/>
      <c r="O1515" s="26"/>
      <c r="P1515" s="26"/>
      <c r="Q1515" s="26"/>
      <c r="R1515" s="26"/>
      <c r="S1515" s="26"/>
      <c r="T1515" s="26"/>
      <c r="U1515" s="26"/>
      <c r="V1515" s="26"/>
      <c r="W1515" s="26"/>
      <c r="X1515" s="26"/>
    </row>
    <row r="1516" hidden="1">
      <c r="A1516" s="10" t="s">
        <v>427</v>
      </c>
      <c r="B1516" s="10" t="s">
        <v>4781</v>
      </c>
      <c r="C1516" s="27" t="s">
        <v>4782</v>
      </c>
      <c r="D1516" s="10" t="s">
        <v>4783</v>
      </c>
      <c r="E1516" s="28" t="s">
        <v>534</v>
      </c>
      <c r="F1516" s="23" t="s">
        <v>535</v>
      </c>
      <c r="G1516" s="23" t="s">
        <v>521</v>
      </c>
      <c r="H1516" s="23" t="s">
        <v>330</v>
      </c>
      <c r="I1516" s="32"/>
      <c r="J1516" s="23" t="s">
        <v>6</v>
      </c>
      <c r="K1516" s="23" t="str">
        <f t="shared" si="1"/>
        <v>673615</v>
      </c>
      <c r="L1516" s="23"/>
      <c r="M1516" s="26"/>
      <c r="N1516" s="26"/>
      <c r="O1516" s="26"/>
      <c r="P1516" s="26"/>
      <c r="Q1516" s="26"/>
      <c r="R1516" s="26"/>
      <c r="S1516" s="26"/>
      <c r="T1516" s="26"/>
      <c r="U1516" s="26"/>
      <c r="V1516" s="26"/>
      <c r="W1516" s="26"/>
      <c r="X1516" s="26"/>
    </row>
    <row r="1517" hidden="1">
      <c r="A1517" s="10" t="s">
        <v>427</v>
      </c>
      <c r="B1517" s="10" t="s">
        <v>4784</v>
      </c>
      <c r="C1517" s="27" t="s">
        <v>4785</v>
      </c>
      <c r="D1517" s="10" t="s">
        <v>4786</v>
      </c>
      <c r="E1517" s="28" t="s">
        <v>431</v>
      </c>
      <c r="F1517" s="23" t="s">
        <v>946</v>
      </c>
      <c r="G1517" s="23" t="s">
        <v>521</v>
      </c>
      <c r="H1517" s="23" t="s">
        <v>330</v>
      </c>
      <c r="I1517" s="32"/>
      <c r="J1517" s="23" t="s">
        <v>6</v>
      </c>
      <c r="K1517" s="23" t="str">
        <f t="shared" si="1"/>
        <v>636627</v>
      </c>
      <c r="L1517" s="23"/>
      <c r="M1517" s="26"/>
      <c r="N1517" s="26"/>
      <c r="O1517" s="26"/>
      <c r="P1517" s="26"/>
      <c r="Q1517" s="26"/>
      <c r="R1517" s="26"/>
      <c r="S1517" s="26"/>
      <c r="T1517" s="26"/>
      <c r="U1517" s="26"/>
      <c r="V1517" s="26"/>
      <c r="W1517" s="26"/>
      <c r="X1517" s="26"/>
    </row>
    <row r="1518" hidden="1">
      <c r="A1518" s="10" t="s">
        <v>427</v>
      </c>
      <c r="B1518" s="10" t="s">
        <v>4787</v>
      </c>
      <c r="C1518" s="27" t="s">
        <v>4788</v>
      </c>
      <c r="D1518" s="10" t="s">
        <v>4789</v>
      </c>
      <c r="E1518" s="28" t="s">
        <v>431</v>
      </c>
      <c r="F1518" s="23" t="s">
        <v>1231</v>
      </c>
      <c r="G1518" s="23" t="s">
        <v>521</v>
      </c>
      <c r="H1518" s="23" t="s">
        <v>330</v>
      </c>
      <c r="I1518" s="32"/>
      <c r="J1518" s="23" t="s">
        <v>6</v>
      </c>
      <c r="K1518" s="23" t="str">
        <f t="shared" si="1"/>
        <v>673646</v>
      </c>
      <c r="L1518" s="23"/>
      <c r="M1518" s="26"/>
      <c r="N1518" s="26"/>
      <c r="O1518" s="26"/>
      <c r="P1518" s="26"/>
      <c r="Q1518" s="26"/>
      <c r="R1518" s="26"/>
      <c r="S1518" s="26"/>
      <c r="T1518" s="26"/>
      <c r="U1518" s="26"/>
      <c r="V1518" s="26"/>
      <c r="W1518" s="26"/>
      <c r="X1518" s="26"/>
    </row>
    <row r="1519" hidden="1">
      <c r="A1519" s="10" t="s">
        <v>427</v>
      </c>
      <c r="B1519" s="10" t="s">
        <v>4790</v>
      </c>
      <c r="C1519" s="27" t="s">
        <v>4791</v>
      </c>
      <c r="D1519" s="10" t="s">
        <v>4792</v>
      </c>
      <c r="E1519" s="28" t="s">
        <v>431</v>
      </c>
      <c r="F1519" s="23" t="s">
        <v>933</v>
      </c>
      <c r="G1519" s="23" t="s">
        <v>521</v>
      </c>
      <c r="H1519" s="23" t="s">
        <v>330</v>
      </c>
      <c r="I1519" s="32"/>
      <c r="J1519" s="23" t="s">
        <v>6</v>
      </c>
      <c r="K1519" s="23" t="str">
        <f t="shared" si="1"/>
        <v>636801</v>
      </c>
      <c r="L1519" s="23"/>
      <c r="M1519" s="26"/>
      <c r="N1519" s="26"/>
      <c r="O1519" s="26"/>
      <c r="P1519" s="26"/>
      <c r="Q1519" s="26"/>
      <c r="R1519" s="26"/>
      <c r="S1519" s="26"/>
      <c r="T1519" s="26"/>
      <c r="U1519" s="26"/>
      <c r="V1519" s="26"/>
      <c r="W1519" s="26"/>
      <c r="X1519" s="26"/>
    </row>
    <row r="1520" hidden="1">
      <c r="A1520" s="10" t="s">
        <v>427</v>
      </c>
      <c r="B1520" s="10" t="s">
        <v>4793</v>
      </c>
      <c r="C1520" s="27" t="s">
        <v>4794</v>
      </c>
      <c r="D1520" s="10" t="s">
        <v>4795</v>
      </c>
      <c r="E1520" s="28" t="s">
        <v>431</v>
      </c>
      <c r="F1520" s="23" t="s">
        <v>432</v>
      </c>
      <c r="G1520" s="23" t="s">
        <v>521</v>
      </c>
      <c r="H1520" s="23" t="s">
        <v>330</v>
      </c>
      <c r="I1520" s="32"/>
      <c r="J1520" s="23" t="s">
        <v>6</v>
      </c>
      <c r="K1520" s="23" t="str">
        <f t="shared" si="1"/>
        <v>682709</v>
      </c>
      <c r="L1520" s="23"/>
      <c r="M1520" s="26"/>
      <c r="N1520" s="26"/>
      <c r="O1520" s="26"/>
      <c r="P1520" s="26"/>
      <c r="Q1520" s="26"/>
      <c r="R1520" s="26"/>
      <c r="S1520" s="26"/>
      <c r="T1520" s="26"/>
      <c r="U1520" s="26"/>
      <c r="V1520" s="26"/>
      <c r="W1520" s="26"/>
      <c r="X1520" s="26"/>
    </row>
    <row r="1521" hidden="1">
      <c r="A1521" s="10" t="s">
        <v>427</v>
      </c>
      <c r="B1521" s="10" t="s">
        <v>4796</v>
      </c>
      <c r="C1521" s="27" t="s">
        <v>4797</v>
      </c>
      <c r="D1521" s="10" t="s">
        <v>4798</v>
      </c>
      <c r="E1521" s="28" t="s">
        <v>431</v>
      </c>
      <c r="F1521" s="23" t="s">
        <v>950</v>
      </c>
      <c r="G1521" s="23" t="s">
        <v>521</v>
      </c>
      <c r="H1521" s="23" t="s">
        <v>330</v>
      </c>
      <c r="I1521" s="32"/>
      <c r="J1521" s="23" t="s">
        <v>6</v>
      </c>
      <c r="K1521" s="23" t="str">
        <f t="shared" si="1"/>
        <v>659688</v>
      </c>
      <c r="L1521" s="23"/>
      <c r="M1521" s="26"/>
      <c r="N1521" s="26"/>
      <c r="O1521" s="26"/>
      <c r="P1521" s="26"/>
      <c r="Q1521" s="26"/>
      <c r="R1521" s="26"/>
      <c r="S1521" s="26"/>
      <c r="T1521" s="26"/>
      <c r="U1521" s="26"/>
      <c r="V1521" s="26"/>
      <c r="W1521" s="26"/>
      <c r="X1521" s="26"/>
    </row>
    <row r="1522" hidden="1">
      <c r="A1522" s="10" t="s">
        <v>427</v>
      </c>
      <c r="B1522" s="10" t="s">
        <v>4799</v>
      </c>
      <c r="C1522" s="27" t="s">
        <v>4800</v>
      </c>
      <c r="D1522" s="10" t="s">
        <v>4801</v>
      </c>
      <c r="E1522" s="28" t="s">
        <v>431</v>
      </c>
      <c r="F1522" s="23" t="s">
        <v>950</v>
      </c>
      <c r="G1522" s="23" t="s">
        <v>521</v>
      </c>
      <c r="H1522" s="23" t="s">
        <v>330</v>
      </c>
      <c r="I1522" s="32"/>
      <c r="J1522" s="23" t="s">
        <v>6</v>
      </c>
      <c r="K1522" s="23" t="str">
        <f t="shared" si="1"/>
        <v>660189</v>
      </c>
      <c r="L1522" s="23"/>
      <c r="M1522" s="26"/>
      <c r="N1522" s="26"/>
      <c r="O1522" s="26"/>
      <c r="P1522" s="26"/>
      <c r="Q1522" s="26"/>
      <c r="R1522" s="26"/>
      <c r="S1522" s="26"/>
      <c r="T1522" s="26"/>
      <c r="U1522" s="26"/>
      <c r="V1522" s="26"/>
      <c r="W1522" s="26"/>
      <c r="X1522" s="26"/>
    </row>
    <row r="1523" hidden="1">
      <c r="A1523" s="10" t="s">
        <v>427</v>
      </c>
      <c r="B1523" s="10" t="s">
        <v>4802</v>
      </c>
      <c r="C1523" s="27" t="s">
        <v>4803</v>
      </c>
      <c r="D1523" s="10" t="s">
        <v>4804</v>
      </c>
      <c r="E1523" s="28" t="s">
        <v>534</v>
      </c>
      <c r="F1523" s="23" t="s">
        <v>1238</v>
      </c>
      <c r="G1523" s="23" t="s">
        <v>521</v>
      </c>
      <c r="H1523" s="23" t="s">
        <v>330</v>
      </c>
      <c r="I1523" s="32"/>
      <c r="J1523" s="23" t="s">
        <v>6</v>
      </c>
      <c r="K1523" s="23" t="str">
        <f t="shared" si="1"/>
        <v>658797</v>
      </c>
      <c r="L1523" s="23"/>
      <c r="M1523" s="26"/>
      <c r="N1523" s="26"/>
      <c r="O1523" s="26"/>
      <c r="P1523" s="26"/>
      <c r="Q1523" s="26"/>
      <c r="R1523" s="26"/>
      <c r="S1523" s="26"/>
      <c r="T1523" s="26"/>
      <c r="U1523" s="26"/>
      <c r="V1523" s="26"/>
      <c r="W1523" s="26"/>
      <c r="X1523" s="26"/>
    </row>
    <row r="1524" hidden="1">
      <c r="A1524" s="10" t="s">
        <v>427</v>
      </c>
      <c r="B1524" s="10" t="s">
        <v>4805</v>
      </c>
      <c r="C1524" s="27" t="s">
        <v>4806</v>
      </c>
      <c r="D1524" s="10" t="s">
        <v>4807</v>
      </c>
      <c r="E1524" s="28" t="s">
        <v>534</v>
      </c>
      <c r="F1524" s="23" t="s">
        <v>954</v>
      </c>
      <c r="G1524" s="23" t="s">
        <v>521</v>
      </c>
      <c r="H1524" s="23" t="s">
        <v>330</v>
      </c>
      <c r="I1524" s="32"/>
      <c r="J1524" s="23" t="s">
        <v>6</v>
      </c>
      <c r="K1524" s="23" t="str">
        <f t="shared" si="1"/>
        <v>650258</v>
      </c>
      <c r="L1524" s="23"/>
      <c r="M1524" s="26"/>
      <c r="N1524" s="26"/>
      <c r="O1524" s="26"/>
      <c r="P1524" s="26"/>
      <c r="Q1524" s="26"/>
      <c r="R1524" s="26"/>
      <c r="S1524" s="26"/>
      <c r="T1524" s="26"/>
      <c r="U1524" s="26"/>
      <c r="V1524" s="26"/>
      <c r="W1524" s="26"/>
      <c r="X1524" s="26"/>
    </row>
    <row r="1525" hidden="1">
      <c r="A1525" s="10" t="s">
        <v>427</v>
      </c>
      <c r="B1525" s="10" t="s">
        <v>4808</v>
      </c>
      <c r="C1525" s="27" t="s">
        <v>4809</v>
      </c>
      <c r="D1525" s="10" t="s">
        <v>4810</v>
      </c>
      <c r="E1525" s="28" t="s">
        <v>431</v>
      </c>
      <c r="F1525" s="23" t="s">
        <v>933</v>
      </c>
      <c r="G1525" s="23" t="s">
        <v>521</v>
      </c>
      <c r="H1525" s="23" t="s">
        <v>330</v>
      </c>
      <c r="I1525" s="32"/>
      <c r="J1525" s="23" t="s">
        <v>6</v>
      </c>
      <c r="K1525" s="23" t="str">
        <f t="shared" si="1"/>
        <v>673226</v>
      </c>
      <c r="L1525" s="23"/>
      <c r="M1525" s="26"/>
      <c r="N1525" s="26"/>
      <c r="O1525" s="26"/>
      <c r="P1525" s="26"/>
      <c r="Q1525" s="26"/>
      <c r="R1525" s="26"/>
      <c r="S1525" s="26"/>
      <c r="T1525" s="26"/>
      <c r="U1525" s="26"/>
      <c r="V1525" s="26"/>
      <c r="W1525" s="26"/>
      <c r="X1525" s="26"/>
    </row>
    <row r="1526" hidden="1">
      <c r="A1526" s="10" t="s">
        <v>427</v>
      </c>
      <c r="B1526" s="10" t="s">
        <v>4811</v>
      </c>
      <c r="C1526" s="27" t="s">
        <v>4812</v>
      </c>
      <c r="D1526" s="10" t="s">
        <v>4813</v>
      </c>
      <c r="E1526" s="28" t="s">
        <v>418</v>
      </c>
      <c r="F1526" s="23" t="s">
        <v>977</v>
      </c>
      <c r="G1526" s="23" t="s">
        <v>521</v>
      </c>
      <c r="H1526" s="23" t="s">
        <v>330</v>
      </c>
      <c r="I1526" s="32"/>
      <c r="J1526" s="23" t="s">
        <v>6</v>
      </c>
      <c r="K1526" s="23" t="str">
        <f t="shared" si="1"/>
        <v>671345</v>
      </c>
      <c r="L1526" s="23"/>
      <c r="M1526" s="26"/>
      <c r="N1526" s="26"/>
      <c r="O1526" s="26"/>
      <c r="P1526" s="26"/>
      <c r="Q1526" s="26"/>
      <c r="R1526" s="26"/>
      <c r="S1526" s="26"/>
      <c r="T1526" s="26"/>
      <c r="U1526" s="26"/>
      <c r="V1526" s="26"/>
      <c r="W1526" s="26"/>
      <c r="X1526" s="26"/>
    </row>
    <row r="1527" hidden="1">
      <c r="A1527" s="10" t="s">
        <v>427</v>
      </c>
      <c r="B1527" s="10" t="s">
        <v>4814</v>
      </c>
      <c r="C1527" s="27" t="s">
        <v>4815</v>
      </c>
      <c r="D1527" s="10" t="s">
        <v>4816</v>
      </c>
      <c r="E1527" s="28" t="s">
        <v>580</v>
      </c>
      <c r="F1527" s="23" t="s">
        <v>581</v>
      </c>
      <c r="G1527" s="23" t="s">
        <v>521</v>
      </c>
      <c r="H1527" s="23" t="s">
        <v>330</v>
      </c>
      <c r="I1527" s="32"/>
      <c r="J1527" s="23" t="s">
        <v>6</v>
      </c>
      <c r="K1527" s="23" t="str">
        <f t="shared" si="1"/>
        <v>673233</v>
      </c>
      <c r="L1527" s="23"/>
      <c r="M1527" s="26"/>
      <c r="N1527" s="26"/>
      <c r="O1527" s="26"/>
      <c r="P1527" s="26"/>
      <c r="Q1527" s="26"/>
      <c r="R1527" s="26"/>
      <c r="S1527" s="26"/>
      <c r="T1527" s="26"/>
      <c r="U1527" s="26"/>
      <c r="V1527" s="26"/>
      <c r="W1527" s="26"/>
      <c r="X1527" s="26"/>
    </row>
    <row r="1528" hidden="1">
      <c r="A1528" s="10" t="s">
        <v>427</v>
      </c>
      <c r="B1528" s="10" t="s">
        <v>4817</v>
      </c>
      <c r="C1528" s="27" t="s">
        <v>4818</v>
      </c>
      <c r="D1528" s="10" t="s">
        <v>4819</v>
      </c>
      <c r="E1528" s="28" t="s">
        <v>529</v>
      </c>
      <c r="F1528" s="23" t="s">
        <v>530</v>
      </c>
      <c r="G1528" s="23" t="s">
        <v>521</v>
      </c>
      <c r="H1528" s="23" t="s">
        <v>330</v>
      </c>
      <c r="I1528" s="32"/>
      <c r="J1528" s="23" t="s">
        <v>6</v>
      </c>
      <c r="K1528" s="23" t="str">
        <f t="shared" si="1"/>
        <v>674148</v>
      </c>
      <c r="L1528" s="23"/>
      <c r="M1528" s="26"/>
      <c r="N1528" s="26"/>
      <c r="O1528" s="26"/>
      <c r="P1528" s="26"/>
      <c r="Q1528" s="26"/>
      <c r="R1528" s="26"/>
      <c r="S1528" s="26"/>
      <c r="T1528" s="26"/>
      <c r="U1528" s="26"/>
      <c r="V1528" s="26"/>
      <c r="W1528" s="26"/>
      <c r="X1528" s="26"/>
    </row>
    <row r="1529" hidden="1">
      <c r="A1529" s="10" t="s">
        <v>427</v>
      </c>
      <c r="B1529" s="10" t="s">
        <v>4820</v>
      </c>
      <c r="C1529" s="27" t="s">
        <v>4821</v>
      </c>
      <c r="D1529" s="10" t="s">
        <v>4822</v>
      </c>
      <c r="E1529" s="28" t="s">
        <v>431</v>
      </c>
      <c r="F1529" s="23" t="s">
        <v>946</v>
      </c>
      <c r="G1529" s="23" t="s">
        <v>521</v>
      </c>
      <c r="H1529" s="23" t="s">
        <v>330</v>
      </c>
      <c r="I1529" s="32"/>
      <c r="J1529" s="23" t="s">
        <v>6</v>
      </c>
      <c r="K1529" s="23" t="str">
        <f t="shared" si="1"/>
        <v>667126</v>
      </c>
      <c r="L1529" s="23"/>
      <c r="M1529" s="26"/>
      <c r="N1529" s="26"/>
      <c r="O1529" s="26"/>
      <c r="P1529" s="26"/>
      <c r="Q1529" s="26"/>
      <c r="R1529" s="26"/>
      <c r="S1529" s="26"/>
      <c r="T1529" s="26"/>
      <c r="U1529" s="26"/>
      <c r="V1529" s="26"/>
      <c r="W1529" s="26"/>
      <c r="X1529" s="26"/>
    </row>
    <row r="1530" hidden="1">
      <c r="A1530" s="10" t="s">
        <v>427</v>
      </c>
      <c r="B1530" s="10" t="s">
        <v>4823</v>
      </c>
      <c r="C1530" s="27" t="s">
        <v>4824</v>
      </c>
      <c r="D1530" s="10" t="s">
        <v>4825</v>
      </c>
      <c r="E1530" s="28" t="s">
        <v>534</v>
      </c>
      <c r="F1530" s="23" t="s">
        <v>757</v>
      </c>
      <c r="G1530" s="23" t="s">
        <v>521</v>
      </c>
      <c r="H1530" s="23" t="s">
        <v>330</v>
      </c>
      <c r="I1530" s="32"/>
      <c r="J1530" s="23" t="s">
        <v>6</v>
      </c>
      <c r="K1530" s="23" t="str">
        <f t="shared" si="1"/>
        <v>653716</v>
      </c>
      <c r="L1530" s="23"/>
      <c r="M1530" s="26"/>
      <c r="N1530" s="26"/>
      <c r="O1530" s="26"/>
      <c r="P1530" s="26"/>
      <c r="Q1530" s="26"/>
      <c r="R1530" s="26"/>
      <c r="S1530" s="26"/>
      <c r="T1530" s="26"/>
      <c r="U1530" s="26"/>
      <c r="V1530" s="26"/>
      <c r="W1530" s="26"/>
      <c r="X1530" s="26"/>
    </row>
    <row r="1531" hidden="1">
      <c r="A1531" s="10" t="s">
        <v>427</v>
      </c>
      <c r="B1531" s="10" t="s">
        <v>4826</v>
      </c>
      <c r="C1531" s="27" t="s">
        <v>4827</v>
      </c>
      <c r="D1531" s="10" t="s">
        <v>4828</v>
      </c>
      <c r="E1531" s="28" t="s">
        <v>431</v>
      </c>
      <c r="F1531" s="23" t="s">
        <v>946</v>
      </c>
      <c r="G1531" s="23" t="s">
        <v>521</v>
      </c>
      <c r="H1531" s="23" t="s">
        <v>330</v>
      </c>
      <c r="I1531" s="32"/>
      <c r="J1531" s="23" t="s">
        <v>6</v>
      </c>
      <c r="K1531" s="23" t="str">
        <f t="shared" si="1"/>
        <v>667140</v>
      </c>
      <c r="L1531" s="23"/>
      <c r="M1531" s="26"/>
      <c r="N1531" s="26"/>
      <c r="O1531" s="26"/>
      <c r="P1531" s="26"/>
      <c r="Q1531" s="26"/>
      <c r="R1531" s="26"/>
      <c r="S1531" s="26"/>
      <c r="T1531" s="26"/>
      <c r="U1531" s="26"/>
      <c r="V1531" s="26"/>
      <c r="W1531" s="26"/>
      <c r="X1531" s="26"/>
    </row>
    <row r="1532" hidden="1">
      <c r="A1532" s="10" t="s">
        <v>427</v>
      </c>
      <c r="B1532" s="10" t="s">
        <v>4829</v>
      </c>
      <c r="C1532" s="27" t="s">
        <v>4830</v>
      </c>
      <c r="D1532" s="10" t="s">
        <v>4831</v>
      </c>
      <c r="E1532" s="28" t="s">
        <v>604</v>
      </c>
      <c r="F1532" s="23" t="s">
        <v>605</v>
      </c>
      <c r="G1532" s="23" t="s">
        <v>521</v>
      </c>
      <c r="H1532" s="23" t="s">
        <v>330</v>
      </c>
      <c r="I1532" s="32"/>
      <c r="J1532" s="23" t="s">
        <v>6</v>
      </c>
      <c r="K1532" s="23" t="str">
        <f t="shared" si="1"/>
        <v>682662</v>
      </c>
      <c r="L1532" s="23"/>
      <c r="M1532" s="26"/>
      <c r="N1532" s="26"/>
      <c r="O1532" s="26"/>
      <c r="P1532" s="26"/>
      <c r="Q1532" s="26"/>
      <c r="R1532" s="26"/>
      <c r="S1532" s="26"/>
      <c r="T1532" s="26"/>
      <c r="U1532" s="26"/>
      <c r="V1532" s="26"/>
      <c r="W1532" s="26"/>
      <c r="X1532" s="26"/>
    </row>
    <row r="1533" hidden="1">
      <c r="A1533" s="10" t="s">
        <v>427</v>
      </c>
      <c r="B1533" s="10" t="s">
        <v>4832</v>
      </c>
      <c r="C1533" s="27" t="s">
        <v>4833</v>
      </c>
      <c r="D1533" s="10" t="s">
        <v>4831</v>
      </c>
      <c r="E1533" s="28" t="s">
        <v>604</v>
      </c>
      <c r="F1533" s="23" t="s">
        <v>605</v>
      </c>
      <c r="G1533" s="23" t="s">
        <v>521</v>
      </c>
      <c r="H1533" s="23" t="s">
        <v>330</v>
      </c>
      <c r="I1533" s="32"/>
      <c r="J1533" s="23" t="s">
        <v>6</v>
      </c>
      <c r="K1533" s="23" t="str">
        <f t="shared" si="1"/>
        <v>682669</v>
      </c>
      <c r="L1533" s="23"/>
      <c r="M1533" s="26"/>
      <c r="N1533" s="26"/>
      <c r="O1533" s="26"/>
      <c r="P1533" s="26"/>
      <c r="Q1533" s="26"/>
      <c r="R1533" s="26"/>
      <c r="S1533" s="26"/>
      <c r="T1533" s="26"/>
      <c r="U1533" s="26"/>
      <c r="V1533" s="26"/>
      <c r="W1533" s="26"/>
      <c r="X1533" s="26"/>
    </row>
    <row r="1534" hidden="1">
      <c r="A1534" s="10" t="s">
        <v>427</v>
      </c>
      <c r="B1534" s="10" t="s">
        <v>4834</v>
      </c>
      <c r="C1534" s="27" t="s">
        <v>4835</v>
      </c>
      <c r="D1534" s="10" t="s">
        <v>4836</v>
      </c>
      <c r="E1534" s="28" t="s">
        <v>431</v>
      </c>
      <c r="F1534" s="23" t="s">
        <v>432</v>
      </c>
      <c r="G1534" s="23" t="s">
        <v>521</v>
      </c>
      <c r="H1534" s="23" t="s">
        <v>330</v>
      </c>
      <c r="I1534" s="32"/>
      <c r="J1534" s="23" t="s">
        <v>6</v>
      </c>
      <c r="K1534" s="23" t="str">
        <f t="shared" si="1"/>
        <v>678894</v>
      </c>
      <c r="L1534" s="23"/>
      <c r="M1534" s="26"/>
      <c r="N1534" s="26"/>
      <c r="O1534" s="26"/>
      <c r="P1534" s="26"/>
      <c r="Q1534" s="26"/>
      <c r="R1534" s="26"/>
      <c r="S1534" s="26"/>
      <c r="T1534" s="26"/>
      <c r="U1534" s="26"/>
      <c r="V1534" s="26"/>
      <c r="W1534" s="26"/>
      <c r="X1534" s="26"/>
    </row>
    <row r="1535" hidden="1">
      <c r="A1535" s="10" t="s">
        <v>427</v>
      </c>
      <c r="B1535" s="10" t="s">
        <v>4837</v>
      </c>
      <c r="C1535" s="27" t="s">
        <v>4838</v>
      </c>
      <c r="D1535" s="10" t="s">
        <v>4839</v>
      </c>
      <c r="E1535" s="28" t="s">
        <v>431</v>
      </c>
      <c r="F1535" s="23" t="s">
        <v>946</v>
      </c>
      <c r="G1535" s="23" t="s">
        <v>521</v>
      </c>
      <c r="H1535" s="23" t="s">
        <v>330</v>
      </c>
      <c r="I1535" s="32"/>
      <c r="J1535" s="23" t="s">
        <v>6</v>
      </c>
      <c r="K1535" s="23" t="str">
        <f t="shared" si="1"/>
        <v>636689</v>
      </c>
      <c r="L1535" s="23"/>
      <c r="M1535" s="26"/>
      <c r="N1535" s="26"/>
      <c r="O1535" s="26"/>
      <c r="P1535" s="26"/>
      <c r="Q1535" s="26"/>
      <c r="R1535" s="26"/>
      <c r="S1535" s="26"/>
      <c r="T1535" s="26"/>
      <c r="U1535" s="26"/>
      <c r="V1535" s="26"/>
      <c r="W1535" s="26"/>
      <c r="X1535" s="26"/>
    </row>
    <row r="1536" hidden="1">
      <c r="A1536" s="10" t="s">
        <v>427</v>
      </c>
      <c r="B1536" s="10" t="s">
        <v>4840</v>
      </c>
      <c r="C1536" s="27" t="s">
        <v>4841</v>
      </c>
      <c r="D1536" s="10" t="s">
        <v>4842</v>
      </c>
      <c r="E1536" s="28" t="s">
        <v>534</v>
      </c>
      <c r="F1536" s="23" t="s">
        <v>757</v>
      </c>
      <c r="G1536" s="23" t="s">
        <v>521</v>
      </c>
      <c r="H1536" s="23" t="s">
        <v>330</v>
      </c>
      <c r="I1536" s="32"/>
      <c r="J1536" s="23" t="s">
        <v>6</v>
      </c>
      <c r="K1536" s="23" t="str">
        <f t="shared" si="1"/>
        <v>674940</v>
      </c>
      <c r="L1536" s="23"/>
      <c r="M1536" s="26"/>
      <c r="N1536" s="26"/>
      <c r="O1536" s="26"/>
      <c r="P1536" s="26"/>
      <c r="Q1536" s="26"/>
      <c r="R1536" s="26"/>
      <c r="S1536" s="26"/>
      <c r="T1536" s="26"/>
      <c r="U1536" s="26"/>
      <c r="V1536" s="26"/>
      <c r="W1536" s="26"/>
      <c r="X1536" s="26"/>
    </row>
    <row r="1537" hidden="1">
      <c r="A1537" s="10" t="s">
        <v>427</v>
      </c>
      <c r="B1537" s="10" t="s">
        <v>4843</v>
      </c>
      <c r="C1537" s="27" t="s">
        <v>4844</v>
      </c>
      <c r="D1537" s="10" t="s">
        <v>4845</v>
      </c>
      <c r="E1537" s="28" t="s">
        <v>534</v>
      </c>
      <c r="F1537" s="23" t="s">
        <v>1238</v>
      </c>
      <c r="G1537" s="23" t="s">
        <v>521</v>
      </c>
      <c r="H1537" s="23" t="s">
        <v>330</v>
      </c>
      <c r="I1537" s="32"/>
      <c r="J1537" s="23" t="s">
        <v>6</v>
      </c>
      <c r="K1537" s="23" t="str">
        <f t="shared" si="1"/>
        <v>673103</v>
      </c>
      <c r="L1537" s="23"/>
      <c r="M1537" s="26"/>
      <c r="N1537" s="26"/>
      <c r="O1537" s="26"/>
      <c r="P1537" s="26"/>
      <c r="Q1537" s="26"/>
      <c r="R1537" s="26"/>
      <c r="S1537" s="26"/>
      <c r="T1537" s="26"/>
      <c r="U1537" s="26"/>
      <c r="V1537" s="26"/>
      <c r="W1537" s="26"/>
      <c r="X1537" s="26"/>
    </row>
    <row r="1538" hidden="1">
      <c r="A1538" s="10" t="s">
        <v>427</v>
      </c>
      <c r="B1538" s="10" t="s">
        <v>4846</v>
      </c>
      <c r="C1538" s="27" t="s">
        <v>4847</v>
      </c>
      <c r="D1538" s="10" t="s">
        <v>4848</v>
      </c>
      <c r="E1538" s="28" t="s">
        <v>534</v>
      </c>
      <c r="F1538" s="23" t="s">
        <v>757</v>
      </c>
      <c r="G1538" s="23" t="s">
        <v>521</v>
      </c>
      <c r="H1538" s="23" t="s">
        <v>330</v>
      </c>
      <c r="I1538" s="32"/>
      <c r="J1538" s="23" t="s">
        <v>6</v>
      </c>
      <c r="K1538" s="23" t="str">
        <f t="shared" si="1"/>
        <v>653679</v>
      </c>
      <c r="L1538" s="23"/>
      <c r="M1538" s="26"/>
      <c r="N1538" s="26"/>
      <c r="O1538" s="26"/>
      <c r="P1538" s="26"/>
      <c r="Q1538" s="26"/>
      <c r="R1538" s="26"/>
      <c r="S1538" s="26"/>
      <c r="T1538" s="26"/>
      <c r="U1538" s="26"/>
      <c r="V1538" s="26"/>
      <c r="W1538" s="26"/>
      <c r="X1538" s="26"/>
    </row>
    <row r="1539" hidden="1">
      <c r="A1539" s="10" t="s">
        <v>427</v>
      </c>
      <c r="B1539" s="10" t="s">
        <v>4849</v>
      </c>
      <c r="C1539" s="27" t="s">
        <v>4850</v>
      </c>
      <c r="D1539" s="10" t="s">
        <v>4851</v>
      </c>
      <c r="E1539" s="28" t="s">
        <v>534</v>
      </c>
      <c r="F1539" s="23" t="s">
        <v>954</v>
      </c>
      <c r="G1539" s="23" t="s">
        <v>521</v>
      </c>
      <c r="H1539" s="23" t="s">
        <v>330</v>
      </c>
      <c r="I1539" s="32"/>
      <c r="J1539" s="23" t="s">
        <v>6</v>
      </c>
      <c r="K1539" s="23" t="str">
        <f t="shared" si="1"/>
        <v>670263</v>
      </c>
      <c r="L1539" s="23"/>
      <c r="M1539" s="26"/>
      <c r="N1539" s="26"/>
      <c r="O1539" s="26"/>
      <c r="P1539" s="26"/>
      <c r="Q1539" s="26"/>
      <c r="R1539" s="26"/>
      <c r="S1539" s="26"/>
      <c r="T1539" s="26"/>
      <c r="U1539" s="26"/>
      <c r="V1539" s="26"/>
      <c r="W1539" s="26"/>
      <c r="X1539" s="26"/>
    </row>
    <row r="1540" hidden="1">
      <c r="A1540" s="10" t="s">
        <v>427</v>
      </c>
      <c r="B1540" s="10" t="s">
        <v>4852</v>
      </c>
      <c r="C1540" s="27" t="s">
        <v>4853</v>
      </c>
      <c r="D1540" s="10" t="s">
        <v>4854</v>
      </c>
      <c r="E1540" s="28" t="s">
        <v>534</v>
      </c>
      <c r="F1540" s="23" t="s">
        <v>757</v>
      </c>
      <c r="G1540" s="23" t="s">
        <v>521</v>
      </c>
      <c r="H1540" s="23" t="s">
        <v>330</v>
      </c>
      <c r="I1540" s="32"/>
      <c r="J1540" s="23" t="s">
        <v>6</v>
      </c>
      <c r="K1540" s="23" t="str">
        <f t="shared" si="1"/>
        <v>653730</v>
      </c>
      <c r="L1540" s="23"/>
      <c r="M1540" s="26"/>
      <c r="N1540" s="26"/>
      <c r="O1540" s="26"/>
      <c r="P1540" s="26"/>
      <c r="Q1540" s="26"/>
      <c r="R1540" s="26"/>
      <c r="S1540" s="26"/>
      <c r="T1540" s="26"/>
      <c r="U1540" s="26"/>
      <c r="V1540" s="26"/>
      <c r="W1540" s="26"/>
      <c r="X1540" s="26"/>
    </row>
    <row r="1541" hidden="1">
      <c r="A1541" s="10" t="s">
        <v>427</v>
      </c>
      <c r="B1541" s="10" t="s">
        <v>4855</v>
      </c>
      <c r="C1541" s="27" t="s">
        <v>4856</v>
      </c>
      <c r="D1541" s="10" t="s">
        <v>4857</v>
      </c>
      <c r="E1541" s="28" t="s">
        <v>534</v>
      </c>
      <c r="F1541" s="23" t="s">
        <v>757</v>
      </c>
      <c r="G1541" s="23" t="s">
        <v>521</v>
      </c>
      <c r="H1541" s="23" t="s">
        <v>330</v>
      </c>
      <c r="I1541" s="32"/>
      <c r="J1541" s="23" t="s">
        <v>6</v>
      </c>
      <c r="K1541" s="23" t="str">
        <f t="shared" si="1"/>
        <v>653877</v>
      </c>
      <c r="L1541" s="23"/>
      <c r="M1541" s="26"/>
      <c r="N1541" s="26"/>
      <c r="O1541" s="26"/>
      <c r="P1541" s="26"/>
      <c r="Q1541" s="26"/>
      <c r="R1541" s="26"/>
      <c r="S1541" s="26"/>
      <c r="T1541" s="26"/>
      <c r="U1541" s="26"/>
      <c r="V1541" s="26"/>
      <c r="W1541" s="26"/>
      <c r="X1541" s="26"/>
    </row>
    <row r="1542" hidden="1">
      <c r="A1542" s="10" t="s">
        <v>427</v>
      </c>
      <c r="B1542" s="10" t="s">
        <v>4858</v>
      </c>
      <c r="C1542" s="27" t="s">
        <v>4859</v>
      </c>
      <c r="D1542" s="10" t="s">
        <v>4860</v>
      </c>
      <c r="E1542" s="28" t="s">
        <v>604</v>
      </c>
      <c r="F1542" s="23" t="s">
        <v>605</v>
      </c>
      <c r="G1542" s="23" t="s">
        <v>521</v>
      </c>
      <c r="H1542" s="23" t="s">
        <v>330</v>
      </c>
      <c r="I1542" s="32"/>
      <c r="J1542" s="23" t="s">
        <v>6</v>
      </c>
      <c r="K1542" s="23" t="str">
        <f t="shared" si="1"/>
        <v>682652</v>
      </c>
      <c r="L1542" s="23"/>
      <c r="M1542" s="26"/>
      <c r="N1542" s="26"/>
      <c r="O1542" s="26"/>
      <c r="P1542" s="26"/>
      <c r="Q1542" s="26"/>
      <c r="R1542" s="26"/>
      <c r="S1542" s="26"/>
      <c r="T1542" s="26"/>
      <c r="U1542" s="26"/>
      <c r="V1542" s="26"/>
      <c r="W1542" s="26"/>
      <c r="X1542" s="26"/>
    </row>
    <row r="1543" hidden="1">
      <c r="A1543" s="10" t="s">
        <v>427</v>
      </c>
      <c r="B1543" s="10" t="s">
        <v>4861</v>
      </c>
      <c r="C1543" s="27" t="s">
        <v>4862</v>
      </c>
      <c r="D1543" s="10" t="s">
        <v>4860</v>
      </c>
      <c r="E1543" s="28" t="s">
        <v>604</v>
      </c>
      <c r="F1543" s="23" t="s">
        <v>605</v>
      </c>
      <c r="G1543" s="23" t="s">
        <v>521</v>
      </c>
      <c r="H1543" s="23" t="s">
        <v>330</v>
      </c>
      <c r="I1543" s="32"/>
      <c r="J1543" s="23" t="s">
        <v>6</v>
      </c>
      <c r="K1543" s="23" t="str">
        <f t="shared" si="1"/>
        <v>682655</v>
      </c>
      <c r="L1543" s="23"/>
      <c r="M1543" s="26"/>
      <c r="N1543" s="26"/>
      <c r="O1543" s="26"/>
      <c r="P1543" s="26"/>
      <c r="Q1543" s="26"/>
      <c r="R1543" s="26"/>
      <c r="S1543" s="26"/>
      <c r="T1543" s="26"/>
      <c r="U1543" s="26"/>
      <c r="V1543" s="26"/>
      <c r="W1543" s="26"/>
      <c r="X1543" s="26"/>
    </row>
    <row r="1544" hidden="1">
      <c r="A1544" s="10" t="s">
        <v>427</v>
      </c>
      <c r="B1544" s="10" t="s">
        <v>4863</v>
      </c>
      <c r="C1544" s="27" t="s">
        <v>4864</v>
      </c>
      <c r="D1544" s="10" t="s">
        <v>4865</v>
      </c>
      <c r="E1544" s="28" t="s">
        <v>431</v>
      </c>
      <c r="F1544" s="23" t="s">
        <v>933</v>
      </c>
      <c r="G1544" s="23" t="s">
        <v>521</v>
      </c>
      <c r="H1544" s="23" t="s">
        <v>330</v>
      </c>
      <c r="I1544" s="32"/>
      <c r="J1544" s="23" t="s">
        <v>6</v>
      </c>
      <c r="K1544" s="23" t="str">
        <f t="shared" si="1"/>
        <v>673196</v>
      </c>
      <c r="L1544" s="23"/>
      <c r="M1544" s="26"/>
      <c r="N1544" s="26"/>
      <c r="O1544" s="26"/>
      <c r="P1544" s="26"/>
      <c r="Q1544" s="26"/>
      <c r="R1544" s="26"/>
      <c r="S1544" s="26"/>
      <c r="T1544" s="26"/>
      <c r="U1544" s="26"/>
      <c r="V1544" s="26"/>
      <c r="W1544" s="26"/>
      <c r="X1544" s="26"/>
    </row>
    <row r="1545" hidden="1">
      <c r="A1545" s="10" t="s">
        <v>427</v>
      </c>
      <c r="B1545" s="10" t="s">
        <v>4866</v>
      </c>
      <c r="C1545" s="27" t="s">
        <v>4867</v>
      </c>
      <c r="D1545" s="10" t="s">
        <v>4868</v>
      </c>
      <c r="E1545" s="28" t="s">
        <v>534</v>
      </c>
      <c r="F1545" s="23" t="s">
        <v>1238</v>
      </c>
      <c r="G1545" s="23" t="s">
        <v>521</v>
      </c>
      <c r="H1545" s="23" t="s">
        <v>330</v>
      </c>
      <c r="I1545" s="32"/>
      <c r="J1545" s="23" t="s">
        <v>6</v>
      </c>
      <c r="K1545" s="23" t="str">
        <f t="shared" si="1"/>
        <v>653839</v>
      </c>
      <c r="L1545" s="23"/>
      <c r="M1545" s="26"/>
      <c r="N1545" s="26"/>
      <c r="O1545" s="26"/>
      <c r="P1545" s="26"/>
      <c r="Q1545" s="26"/>
      <c r="R1545" s="26"/>
      <c r="S1545" s="26"/>
      <c r="T1545" s="26"/>
      <c r="U1545" s="26"/>
      <c r="V1545" s="26"/>
      <c r="W1545" s="26"/>
      <c r="X1545" s="26"/>
    </row>
    <row r="1546" hidden="1">
      <c r="A1546" s="10" t="s">
        <v>427</v>
      </c>
      <c r="B1546" s="10" t="s">
        <v>4869</v>
      </c>
      <c r="C1546" s="27" t="s">
        <v>4870</v>
      </c>
      <c r="D1546" s="10" t="s">
        <v>4871</v>
      </c>
      <c r="E1546" s="28" t="s">
        <v>534</v>
      </c>
      <c r="F1546" s="23" t="s">
        <v>1242</v>
      </c>
      <c r="G1546" s="23" t="s">
        <v>521</v>
      </c>
      <c r="H1546" s="23" t="s">
        <v>330</v>
      </c>
      <c r="I1546" s="32"/>
      <c r="J1546" s="23" t="s">
        <v>6</v>
      </c>
      <c r="K1546" s="23" t="str">
        <f t="shared" si="1"/>
        <v>638485</v>
      </c>
      <c r="L1546" s="23"/>
      <c r="M1546" s="26"/>
      <c r="N1546" s="26"/>
      <c r="O1546" s="26"/>
      <c r="P1546" s="26"/>
      <c r="Q1546" s="26"/>
      <c r="R1546" s="26"/>
      <c r="S1546" s="26"/>
      <c r="T1546" s="26"/>
      <c r="U1546" s="26"/>
      <c r="V1546" s="26"/>
      <c r="W1546" s="26"/>
      <c r="X1546" s="26"/>
    </row>
    <row r="1547" hidden="1">
      <c r="A1547" s="10" t="s">
        <v>427</v>
      </c>
      <c r="B1547" s="10" t="s">
        <v>4872</v>
      </c>
      <c r="C1547" s="27" t="s">
        <v>4873</v>
      </c>
      <c r="D1547" s="10" t="s">
        <v>4874</v>
      </c>
      <c r="E1547" s="28" t="s">
        <v>418</v>
      </c>
      <c r="F1547" s="23" t="s">
        <v>419</v>
      </c>
      <c r="G1547" s="23" t="s">
        <v>521</v>
      </c>
      <c r="H1547" s="23" t="s">
        <v>330</v>
      </c>
      <c r="I1547" s="32"/>
      <c r="J1547" s="23" t="s">
        <v>6</v>
      </c>
      <c r="K1547" s="23" t="str">
        <f t="shared" si="1"/>
        <v>644509</v>
      </c>
      <c r="L1547" s="23"/>
      <c r="M1547" s="26"/>
      <c r="N1547" s="26"/>
      <c r="O1547" s="26"/>
      <c r="P1547" s="26"/>
      <c r="Q1547" s="26"/>
      <c r="R1547" s="26"/>
      <c r="S1547" s="26"/>
      <c r="T1547" s="26"/>
      <c r="U1547" s="26"/>
      <c r="V1547" s="26"/>
      <c r="W1547" s="26"/>
      <c r="X1547" s="26"/>
    </row>
    <row r="1548" hidden="1">
      <c r="A1548" s="10" t="s">
        <v>427</v>
      </c>
      <c r="B1548" s="10" t="s">
        <v>4875</v>
      </c>
      <c r="C1548" s="27" t="s">
        <v>4876</v>
      </c>
      <c r="D1548" s="10" t="s">
        <v>4877</v>
      </c>
      <c r="E1548" s="28" t="s">
        <v>534</v>
      </c>
      <c r="F1548" s="23" t="s">
        <v>757</v>
      </c>
      <c r="G1548" s="23" t="s">
        <v>521</v>
      </c>
      <c r="H1548" s="23" t="s">
        <v>330</v>
      </c>
      <c r="I1548" s="32"/>
      <c r="J1548" s="23" t="s">
        <v>6</v>
      </c>
      <c r="K1548" s="23" t="str">
        <f t="shared" si="1"/>
        <v>653945</v>
      </c>
      <c r="L1548" s="23"/>
      <c r="M1548" s="26"/>
      <c r="N1548" s="26"/>
      <c r="O1548" s="26"/>
      <c r="P1548" s="26"/>
      <c r="Q1548" s="26"/>
      <c r="R1548" s="26"/>
      <c r="S1548" s="26"/>
      <c r="T1548" s="26"/>
      <c r="U1548" s="26"/>
      <c r="V1548" s="26"/>
      <c r="W1548" s="26"/>
      <c r="X1548" s="26"/>
    </row>
    <row r="1549" hidden="1">
      <c r="A1549" s="10" t="s">
        <v>427</v>
      </c>
      <c r="B1549" s="10" t="s">
        <v>4878</v>
      </c>
      <c r="C1549" s="27" t="s">
        <v>4879</v>
      </c>
      <c r="D1549" s="10" t="s">
        <v>4880</v>
      </c>
      <c r="E1549" s="28" t="s">
        <v>431</v>
      </c>
      <c r="F1549" s="23" t="s">
        <v>1788</v>
      </c>
      <c r="G1549" s="23" t="s">
        <v>521</v>
      </c>
      <c r="H1549" s="23" t="s">
        <v>330</v>
      </c>
      <c r="I1549" s="32"/>
      <c r="J1549" s="23" t="s">
        <v>6</v>
      </c>
      <c r="K1549" s="23" t="str">
        <f t="shared" si="1"/>
        <v>637242</v>
      </c>
      <c r="L1549" s="23"/>
      <c r="M1549" s="26"/>
      <c r="N1549" s="26"/>
      <c r="O1549" s="26"/>
      <c r="P1549" s="26"/>
      <c r="Q1549" s="26"/>
      <c r="R1549" s="26"/>
      <c r="S1549" s="26"/>
      <c r="T1549" s="26"/>
      <c r="U1549" s="26"/>
      <c r="V1549" s="26"/>
      <c r="W1549" s="26"/>
      <c r="X1549" s="26"/>
    </row>
    <row r="1550" hidden="1">
      <c r="A1550" s="10" t="s">
        <v>427</v>
      </c>
      <c r="B1550" s="10" t="s">
        <v>4881</v>
      </c>
      <c r="C1550" s="27" t="s">
        <v>4882</v>
      </c>
      <c r="D1550" s="10" t="s">
        <v>4883</v>
      </c>
      <c r="E1550" s="28" t="s">
        <v>534</v>
      </c>
      <c r="F1550" s="23" t="s">
        <v>1238</v>
      </c>
      <c r="G1550" s="23" t="s">
        <v>521</v>
      </c>
      <c r="H1550" s="23" t="s">
        <v>330</v>
      </c>
      <c r="I1550" s="32"/>
      <c r="J1550" s="23" t="s">
        <v>6</v>
      </c>
      <c r="K1550" s="23" t="str">
        <f t="shared" si="1"/>
        <v>653969</v>
      </c>
      <c r="L1550" s="23"/>
      <c r="M1550" s="26"/>
      <c r="N1550" s="26"/>
      <c r="O1550" s="26"/>
      <c r="P1550" s="26"/>
      <c r="Q1550" s="26"/>
      <c r="R1550" s="26"/>
      <c r="S1550" s="26"/>
      <c r="T1550" s="26"/>
      <c r="U1550" s="26"/>
      <c r="V1550" s="26"/>
      <c r="W1550" s="26"/>
      <c r="X1550" s="26"/>
    </row>
    <row r="1551" hidden="1">
      <c r="A1551" s="10" t="s">
        <v>427</v>
      </c>
      <c r="B1551" s="10" t="s">
        <v>4884</v>
      </c>
      <c r="C1551" s="27" t="s">
        <v>4885</v>
      </c>
      <c r="D1551" s="10" t="s">
        <v>4886</v>
      </c>
      <c r="E1551" s="28" t="s">
        <v>431</v>
      </c>
      <c r="F1551" s="23" t="s">
        <v>946</v>
      </c>
      <c r="G1551" s="23" t="s">
        <v>521</v>
      </c>
      <c r="H1551" s="23" t="s">
        <v>330</v>
      </c>
      <c r="I1551" s="32"/>
      <c r="J1551" s="23" t="s">
        <v>6</v>
      </c>
      <c r="K1551" s="23" t="str">
        <f t="shared" si="1"/>
        <v>636696</v>
      </c>
      <c r="L1551" s="23"/>
      <c r="M1551" s="26"/>
      <c r="N1551" s="26"/>
      <c r="O1551" s="26"/>
      <c r="P1551" s="26"/>
      <c r="Q1551" s="26"/>
      <c r="R1551" s="26"/>
      <c r="S1551" s="26"/>
      <c r="T1551" s="26"/>
      <c r="U1551" s="26"/>
      <c r="V1551" s="26"/>
      <c r="W1551" s="26"/>
      <c r="X1551" s="26"/>
    </row>
    <row r="1552" hidden="1">
      <c r="A1552" s="10" t="s">
        <v>427</v>
      </c>
      <c r="B1552" s="10" t="s">
        <v>4887</v>
      </c>
      <c r="C1552" s="27" t="s">
        <v>4888</v>
      </c>
      <c r="D1552" s="10" t="s">
        <v>4889</v>
      </c>
      <c r="E1552" s="28" t="s">
        <v>431</v>
      </c>
      <c r="F1552" s="23" t="s">
        <v>933</v>
      </c>
      <c r="G1552" s="23" t="s">
        <v>521</v>
      </c>
      <c r="H1552" s="23" t="s">
        <v>330</v>
      </c>
      <c r="I1552" s="32"/>
      <c r="J1552" s="23" t="s">
        <v>6</v>
      </c>
      <c r="K1552" s="23" t="str">
        <f t="shared" si="1"/>
        <v>650319</v>
      </c>
      <c r="L1552" s="23"/>
      <c r="M1552" s="26"/>
      <c r="N1552" s="26"/>
      <c r="O1552" s="26"/>
      <c r="P1552" s="26"/>
      <c r="Q1552" s="26"/>
      <c r="R1552" s="26"/>
      <c r="S1552" s="26"/>
      <c r="T1552" s="26"/>
      <c r="U1552" s="26"/>
      <c r="V1552" s="26"/>
      <c r="W1552" s="26"/>
      <c r="X1552" s="26"/>
    </row>
    <row r="1553" hidden="1">
      <c r="A1553" s="10" t="s">
        <v>427</v>
      </c>
      <c r="B1553" s="10" t="s">
        <v>4890</v>
      </c>
      <c r="C1553" s="27" t="s">
        <v>4891</v>
      </c>
      <c r="D1553" s="10" t="s">
        <v>4892</v>
      </c>
      <c r="E1553" s="28" t="s">
        <v>431</v>
      </c>
      <c r="F1553" s="23" t="s">
        <v>1053</v>
      </c>
      <c r="G1553" s="23" t="s">
        <v>521</v>
      </c>
      <c r="H1553" s="23" t="s">
        <v>330</v>
      </c>
      <c r="I1553" s="32"/>
      <c r="J1553" s="23" t="s">
        <v>6</v>
      </c>
      <c r="K1553" s="23" t="str">
        <f t="shared" si="1"/>
        <v>673134</v>
      </c>
      <c r="L1553" s="23"/>
      <c r="M1553" s="26"/>
      <c r="N1553" s="26"/>
      <c r="O1553" s="26"/>
      <c r="P1553" s="26"/>
      <c r="Q1553" s="26"/>
      <c r="R1553" s="26"/>
      <c r="S1553" s="26"/>
      <c r="T1553" s="26"/>
      <c r="U1553" s="26"/>
      <c r="V1553" s="26"/>
      <c r="W1553" s="26"/>
      <c r="X1553" s="26"/>
    </row>
    <row r="1554" hidden="1">
      <c r="A1554" s="10" t="s">
        <v>427</v>
      </c>
      <c r="B1554" s="10" t="s">
        <v>4893</v>
      </c>
      <c r="C1554" s="27" t="s">
        <v>4894</v>
      </c>
      <c r="D1554" s="10" t="s">
        <v>4895</v>
      </c>
      <c r="E1554" s="28" t="s">
        <v>534</v>
      </c>
      <c r="F1554" s="23" t="s">
        <v>757</v>
      </c>
      <c r="G1554" s="23" t="s">
        <v>521</v>
      </c>
      <c r="H1554" s="23" t="s">
        <v>330</v>
      </c>
      <c r="I1554" s="32"/>
      <c r="J1554" s="23" t="s">
        <v>6</v>
      </c>
      <c r="K1554" s="23" t="str">
        <f t="shared" si="1"/>
        <v>690780</v>
      </c>
      <c r="L1554" s="23"/>
      <c r="M1554" s="26"/>
      <c r="N1554" s="26"/>
      <c r="O1554" s="26"/>
      <c r="P1554" s="26"/>
      <c r="Q1554" s="26"/>
      <c r="R1554" s="26"/>
      <c r="S1554" s="26"/>
      <c r="T1554" s="26"/>
      <c r="U1554" s="26"/>
      <c r="V1554" s="26"/>
      <c r="W1554" s="26"/>
      <c r="X1554" s="26"/>
    </row>
    <row r="1555" hidden="1">
      <c r="A1555" s="10" t="s">
        <v>427</v>
      </c>
      <c r="B1555" s="10" t="s">
        <v>4896</v>
      </c>
      <c r="C1555" s="27" t="s">
        <v>4897</v>
      </c>
      <c r="D1555" s="10" t="s">
        <v>4898</v>
      </c>
      <c r="E1555" s="28" t="s">
        <v>534</v>
      </c>
      <c r="F1555" s="23" t="s">
        <v>4735</v>
      </c>
      <c r="G1555" s="23" t="s">
        <v>521</v>
      </c>
      <c r="H1555" s="23" t="s">
        <v>330</v>
      </c>
      <c r="I1555" s="32"/>
      <c r="J1555" s="23" t="s">
        <v>6</v>
      </c>
      <c r="K1555" s="23" t="str">
        <f t="shared" si="1"/>
        <v>672908</v>
      </c>
      <c r="L1555" s="23"/>
      <c r="M1555" s="26"/>
      <c r="N1555" s="26"/>
      <c r="O1555" s="26"/>
      <c r="P1555" s="26"/>
      <c r="Q1555" s="26"/>
      <c r="R1555" s="26"/>
      <c r="S1555" s="26"/>
      <c r="T1555" s="26"/>
      <c r="U1555" s="26"/>
      <c r="V1555" s="26"/>
      <c r="W1555" s="26"/>
      <c r="X1555" s="26"/>
    </row>
    <row r="1556" hidden="1">
      <c r="A1556" s="10" t="s">
        <v>427</v>
      </c>
      <c r="B1556" s="10" t="s">
        <v>4899</v>
      </c>
      <c r="C1556" s="27" t="s">
        <v>4900</v>
      </c>
      <c r="D1556" s="10" t="s">
        <v>4901</v>
      </c>
      <c r="E1556" s="28" t="s">
        <v>534</v>
      </c>
      <c r="F1556" s="23" t="s">
        <v>535</v>
      </c>
      <c r="G1556" s="23" t="s">
        <v>521</v>
      </c>
      <c r="H1556" s="23" t="s">
        <v>330</v>
      </c>
      <c r="I1556" s="32"/>
      <c r="J1556" s="23" t="s">
        <v>6</v>
      </c>
      <c r="K1556" s="23" t="str">
        <f t="shared" si="1"/>
        <v>674858</v>
      </c>
      <c r="L1556" s="23"/>
      <c r="M1556" s="26"/>
      <c r="N1556" s="26"/>
      <c r="O1556" s="26"/>
      <c r="P1556" s="26"/>
      <c r="Q1556" s="26"/>
      <c r="R1556" s="26"/>
      <c r="S1556" s="26"/>
      <c r="T1556" s="26"/>
      <c r="U1556" s="26"/>
      <c r="V1556" s="26"/>
      <c r="W1556" s="26"/>
      <c r="X1556" s="26"/>
    </row>
    <row r="1557" hidden="1">
      <c r="A1557" s="10" t="s">
        <v>427</v>
      </c>
      <c r="B1557" s="10" t="s">
        <v>4902</v>
      </c>
      <c r="C1557" s="27" t="s">
        <v>4903</v>
      </c>
      <c r="D1557" s="10" t="s">
        <v>4904</v>
      </c>
      <c r="E1557" s="28" t="s">
        <v>534</v>
      </c>
      <c r="F1557" s="23" t="s">
        <v>535</v>
      </c>
      <c r="G1557" s="23" t="s">
        <v>521</v>
      </c>
      <c r="H1557" s="23" t="s">
        <v>330</v>
      </c>
      <c r="I1557" s="32"/>
      <c r="J1557" s="23" t="s">
        <v>6</v>
      </c>
      <c r="K1557" s="23" t="str">
        <f t="shared" si="1"/>
        <v>674841</v>
      </c>
      <c r="L1557" s="23"/>
      <c r="M1557" s="26"/>
      <c r="N1557" s="26"/>
      <c r="O1557" s="26"/>
      <c r="P1557" s="26"/>
      <c r="Q1557" s="26"/>
      <c r="R1557" s="26"/>
      <c r="S1557" s="26"/>
      <c r="T1557" s="26"/>
      <c r="U1557" s="26"/>
      <c r="V1557" s="26"/>
      <c r="W1557" s="26"/>
      <c r="X1557" s="26"/>
    </row>
    <row r="1558" hidden="1">
      <c r="A1558" s="10" t="s">
        <v>427</v>
      </c>
      <c r="B1558" s="10" t="s">
        <v>4905</v>
      </c>
      <c r="C1558" s="27" t="s">
        <v>4906</v>
      </c>
      <c r="D1558" s="10" t="s">
        <v>4907</v>
      </c>
      <c r="E1558" s="28" t="s">
        <v>431</v>
      </c>
      <c r="F1558" s="23" t="s">
        <v>946</v>
      </c>
      <c r="G1558" s="23" t="s">
        <v>521</v>
      </c>
      <c r="H1558" s="23" t="s">
        <v>330</v>
      </c>
      <c r="I1558" s="32"/>
      <c r="J1558" s="23" t="s">
        <v>6</v>
      </c>
      <c r="K1558" s="23" t="str">
        <f t="shared" si="1"/>
        <v>636658</v>
      </c>
      <c r="L1558" s="23"/>
      <c r="M1558" s="26"/>
      <c r="N1558" s="26"/>
      <c r="O1558" s="26"/>
      <c r="P1558" s="26"/>
      <c r="Q1558" s="26"/>
      <c r="R1558" s="26"/>
      <c r="S1558" s="26"/>
      <c r="T1558" s="26"/>
      <c r="U1558" s="26"/>
      <c r="V1558" s="26"/>
      <c r="W1558" s="26"/>
      <c r="X1558" s="26"/>
    </row>
    <row r="1559" hidden="1">
      <c r="A1559" s="10" t="s">
        <v>427</v>
      </c>
      <c r="B1559" s="10" t="s">
        <v>4908</v>
      </c>
      <c r="C1559" s="27" t="s">
        <v>4909</v>
      </c>
      <c r="D1559" s="10" t="s">
        <v>4910</v>
      </c>
      <c r="E1559" s="28" t="s">
        <v>418</v>
      </c>
      <c r="F1559" s="23" t="s">
        <v>977</v>
      </c>
      <c r="G1559" s="23" t="s">
        <v>521</v>
      </c>
      <c r="H1559" s="23" t="s">
        <v>330</v>
      </c>
      <c r="I1559" s="32"/>
      <c r="J1559" s="23" t="s">
        <v>6</v>
      </c>
      <c r="K1559" s="23" t="str">
        <f t="shared" si="1"/>
        <v>671369</v>
      </c>
      <c r="L1559" s="23"/>
      <c r="M1559" s="26"/>
      <c r="N1559" s="26"/>
      <c r="O1559" s="26"/>
      <c r="P1559" s="26"/>
      <c r="Q1559" s="26"/>
      <c r="R1559" s="26"/>
      <c r="S1559" s="26"/>
      <c r="T1559" s="26"/>
      <c r="U1559" s="26"/>
      <c r="V1559" s="26"/>
      <c r="W1559" s="26"/>
      <c r="X1559" s="26"/>
    </row>
    <row r="1560" hidden="1">
      <c r="A1560" s="10" t="s">
        <v>427</v>
      </c>
      <c r="B1560" s="10" t="s">
        <v>4911</v>
      </c>
      <c r="C1560" s="27" t="s">
        <v>4912</v>
      </c>
      <c r="D1560" s="10" t="s">
        <v>4913</v>
      </c>
      <c r="E1560" s="28" t="s">
        <v>529</v>
      </c>
      <c r="F1560" s="23" t="s">
        <v>530</v>
      </c>
      <c r="G1560" s="23" t="s">
        <v>521</v>
      </c>
      <c r="H1560" s="23" t="s">
        <v>330</v>
      </c>
      <c r="I1560" s="32"/>
      <c r="J1560" s="23" t="s">
        <v>6</v>
      </c>
      <c r="K1560" s="23" t="str">
        <f t="shared" si="1"/>
        <v>671246</v>
      </c>
      <c r="L1560" s="23"/>
      <c r="M1560" s="26"/>
      <c r="N1560" s="26"/>
      <c r="O1560" s="26"/>
      <c r="P1560" s="26"/>
      <c r="Q1560" s="26"/>
      <c r="R1560" s="26"/>
      <c r="S1560" s="26"/>
      <c r="T1560" s="26"/>
      <c r="U1560" s="26"/>
      <c r="V1560" s="26"/>
      <c r="W1560" s="26"/>
      <c r="X1560" s="26"/>
    </row>
    <row r="1561" hidden="1">
      <c r="A1561" s="10" t="s">
        <v>427</v>
      </c>
      <c r="B1561" s="10" t="s">
        <v>4914</v>
      </c>
      <c r="C1561" s="27" t="s">
        <v>4915</v>
      </c>
      <c r="D1561" s="10" t="s">
        <v>4916</v>
      </c>
      <c r="E1561" s="28" t="s">
        <v>534</v>
      </c>
      <c r="F1561" s="23" t="s">
        <v>757</v>
      </c>
      <c r="G1561" s="23" t="s">
        <v>521</v>
      </c>
      <c r="H1561" s="23" t="s">
        <v>330</v>
      </c>
      <c r="I1561" s="32"/>
      <c r="J1561" s="23" t="s">
        <v>6</v>
      </c>
      <c r="K1561" s="23" t="str">
        <f t="shared" si="1"/>
        <v>653792</v>
      </c>
      <c r="L1561" s="23"/>
      <c r="M1561" s="26"/>
      <c r="N1561" s="26"/>
      <c r="O1561" s="26"/>
      <c r="P1561" s="26"/>
      <c r="Q1561" s="26"/>
      <c r="R1561" s="26"/>
      <c r="S1561" s="26"/>
      <c r="T1561" s="26"/>
      <c r="U1561" s="26"/>
      <c r="V1561" s="26"/>
      <c r="W1561" s="26"/>
      <c r="X1561" s="26"/>
    </row>
    <row r="1562" hidden="1">
      <c r="A1562" s="10" t="s">
        <v>427</v>
      </c>
      <c r="B1562" s="10" t="s">
        <v>4917</v>
      </c>
      <c r="C1562" s="27" t="s">
        <v>4918</v>
      </c>
      <c r="D1562" s="10" t="s">
        <v>4919</v>
      </c>
      <c r="E1562" s="28" t="s">
        <v>534</v>
      </c>
      <c r="F1562" s="23" t="s">
        <v>954</v>
      </c>
      <c r="G1562" s="23" t="s">
        <v>521</v>
      </c>
      <c r="H1562" s="23" t="s">
        <v>330</v>
      </c>
      <c r="I1562" s="32"/>
      <c r="J1562" s="23" t="s">
        <v>6</v>
      </c>
      <c r="K1562" s="23" t="str">
        <f t="shared" si="1"/>
        <v>642109</v>
      </c>
      <c r="L1562" s="23"/>
      <c r="M1562" s="26"/>
      <c r="N1562" s="26"/>
      <c r="O1562" s="26"/>
      <c r="P1562" s="26"/>
      <c r="Q1562" s="26"/>
      <c r="R1562" s="26"/>
      <c r="S1562" s="26"/>
      <c r="T1562" s="26"/>
      <c r="U1562" s="26"/>
      <c r="V1562" s="26"/>
      <c r="W1562" s="26"/>
      <c r="X1562" s="26"/>
    </row>
    <row r="1563" hidden="1">
      <c r="A1563" s="10" t="s">
        <v>427</v>
      </c>
      <c r="B1563" s="10" t="s">
        <v>4920</v>
      </c>
      <c r="C1563" s="27" t="s">
        <v>4921</v>
      </c>
      <c r="D1563" s="10" t="s">
        <v>4922</v>
      </c>
      <c r="E1563" s="28" t="s">
        <v>534</v>
      </c>
      <c r="F1563" s="23" t="s">
        <v>757</v>
      </c>
      <c r="G1563" s="23" t="s">
        <v>521</v>
      </c>
      <c r="H1563" s="23" t="s">
        <v>330</v>
      </c>
      <c r="I1563" s="32"/>
      <c r="J1563" s="23" t="s">
        <v>6</v>
      </c>
      <c r="K1563" s="23" t="str">
        <f t="shared" si="1"/>
        <v>666501</v>
      </c>
      <c r="L1563" s="23"/>
      <c r="M1563" s="26"/>
      <c r="N1563" s="26"/>
      <c r="O1563" s="26"/>
      <c r="P1563" s="26"/>
      <c r="Q1563" s="26"/>
      <c r="R1563" s="26"/>
      <c r="S1563" s="26"/>
      <c r="T1563" s="26"/>
      <c r="U1563" s="26"/>
      <c r="V1563" s="26"/>
      <c r="W1563" s="26"/>
      <c r="X1563" s="26"/>
    </row>
    <row r="1564" hidden="1">
      <c r="A1564" s="10" t="s">
        <v>427</v>
      </c>
      <c r="B1564" s="10" t="s">
        <v>4923</v>
      </c>
      <c r="C1564" s="27" t="s">
        <v>4924</v>
      </c>
      <c r="D1564" s="10" t="s">
        <v>4925</v>
      </c>
      <c r="E1564" s="28" t="s">
        <v>431</v>
      </c>
      <c r="F1564" s="23" t="s">
        <v>946</v>
      </c>
      <c r="G1564" s="23" t="s">
        <v>521</v>
      </c>
      <c r="H1564" s="23" t="s">
        <v>330</v>
      </c>
      <c r="I1564" s="32"/>
      <c r="J1564" s="23" t="s">
        <v>6</v>
      </c>
      <c r="K1564" s="23" t="str">
        <f t="shared" si="1"/>
        <v>667188</v>
      </c>
      <c r="L1564" s="23"/>
      <c r="M1564" s="26"/>
      <c r="N1564" s="26"/>
      <c r="O1564" s="26"/>
      <c r="P1564" s="26"/>
      <c r="Q1564" s="26"/>
      <c r="R1564" s="26"/>
      <c r="S1564" s="26"/>
      <c r="T1564" s="26"/>
      <c r="U1564" s="26"/>
      <c r="V1564" s="26"/>
      <c r="W1564" s="26"/>
      <c r="X1564" s="26"/>
    </row>
    <row r="1565" hidden="1">
      <c r="A1565" s="10" t="s">
        <v>427</v>
      </c>
      <c r="B1565" s="10" t="s">
        <v>4926</v>
      </c>
      <c r="C1565" s="27" t="s">
        <v>4927</v>
      </c>
      <c r="D1565" s="10" t="s">
        <v>4928</v>
      </c>
      <c r="E1565" s="28" t="s">
        <v>534</v>
      </c>
      <c r="F1565" s="23" t="s">
        <v>1238</v>
      </c>
      <c r="G1565" s="23" t="s">
        <v>521</v>
      </c>
      <c r="H1565" s="23" t="s">
        <v>330</v>
      </c>
      <c r="I1565" s="32"/>
      <c r="J1565" s="23" t="s">
        <v>6</v>
      </c>
      <c r="K1565" s="23" t="str">
        <f t="shared" si="1"/>
        <v>690797</v>
      </c>
      <c r="L1565" s="23"/>
      <c r="M1565" s="26"/>
      <c r="N1565" s="26"/>
      <c r="O1565" s="26"/>
      <c r="P1565" s="26"/>
      <c r="Q1565" s="26"/>
      <c r="R1565" s="26"/>
      <c r="S1565" s="26"/>
      <c r="T1565" s="26"/>
      <c r="U1565" s="26"/>
      <c r="V1565" s="26"/>
      <c r="W1565" s="26"/>
      <c r="X1565" s="26"/>
    </row>
    <row r="1566" hidden="1">
      <c r="A1566" s="10" t="s">
        <v>427</v>
      </c>
      <c r="B1566" s="10" t="s">
        <v>4929</v>
      </c>
      <c r="C1566" s="27" t="s">
        <v>4930</v>
      </c>
      <c r="D1566" s="10" t="s">
        <v>4931</v>
      </c>
      <c r="E1566" s="28" t="s">
        <v>529</v>
      </c>
      <c r="F1566" s="23" t="s">
        <v>530</v>
      </c>
      <c r="G1566" s="23" t="s">
        <v>521</v>
      </c>
      <c r="H1566" s="23" t="s">
        <v>330</v>
      </c>
      <c r="I1566" s="32"/>
      <c r="J1566" s="23" t="s">
        <v>6</v>
      </c>
      <c r="K1566" s="23" t="str">
        <f t="shared" si="1"/>
        <v>671253</v>
      </c>
      <c r="L1566" s="23"/>
      <c r="M1566" s="26"/>
      <c r="N1566" s="26"/>
      <c r="O1566" s="26"/>
      <c r="P1566" s="26"/>
      <c r="Q1566" s="26"/>
      <c r="R1566" s="26"/>
      <c r="S1566" s="26"/>
      <c r="T1566" s="26"/>
      <c r="U1566" s="26"/>
      <c r="V1566" s="26"/>
      <c r="W1566" s="26"/>
      <c r="X1566" s="26"/>
    </row>
    <row r="1567" hidden="1">
      <c r="A1567" s="10" t="s">
        <v>427</v>
      </c>
      <c r="B1567" s="10" t="s">
        <v>4932</v>
      </c>
      <c r="C1567" s="27" t="s">
        <v>4933</v>
      </c>
      <c r="D1567" s="10" t="s">
        <v>4934</v>
      </c>
      <c r="E1567" s="28" t="s">
        <v>431</v>
      </c>
      <c r="F1567" s="23" t="s">
        <v>946</v>
      </c>
      <c r="G1567" s="23" t="s">
        <v>521</v>
      </c>
      <c r="H1567" s="23" t="s">
        <v>330</v>
      </c>
      <c r="I1567" s="32"/>
      <c r="J1567" s="23" t="s">
        <v>6</v>
      </c>
      <c r="K1567" s="23" t="str">
        <f t="shared" si="1"/>
        <v>667201</v>
      </c>
      <c r="L1567" s="23"/>
      <c r="M1567" s="26"/>
      <c r="N1567" s="26"/>
      <c r="O1567" s="26"/>
      <c r="P1567" s="26"/>
      <c r="Q1567" s="26"/>
      <c r="R1567" s="26"/>
      <c r="S1567" s="26"/>
      <c r="T1567" s="26"/>
      <c r="U1567" s="26"/>
      <c r="V1567" s="26"/>
      <c r="W1567" s="26"/>
      <c r="X1567" s="26"/>
    </row>
    <row r="1568" hidden="1">
      <c r="A1568" s="10" t="s">
        <v>427</v>
      </c>
      <c r="B1568" s="10" t="s">
        <v>4935</v>
      </c>
      <c r="C1568" s="27" t="s">
        <v>4936</v>
      </c>
      <c r="D1568" s="10" t="s">
        <v>4937</v>
      </c>
      <c r="E1568" s="28" t="s">
        <v>534</v>
      </c>
      <c r="F1568" s="23" t="s">
        <v>535</v>
      </c>
      <c r="G1568" s="23" t="s">
        <v>521</v>
      </c>
      <c r="H1568" s="23" t="s">
        <v>330</v>
      </c>
      <c r="I1568" s="32"/>
      <c r="J1568" s="23" t="s">
        <v>6</v>
      </c>
      <c r="K1568" s="23" t="str">
        <f t="shared" si="1"/>
        <v>674872</v>
      </c>
      <c r="L1568" s="23"/>
      <c r="M1568" s="26"/>
      <c r="N1568" s="26"/>
      <c r="O1568" s="26"/>
      <c r="P1568" s="26"/>
      <c r="Q1568" s="26"/>
      <c r="R1568" s="26"/>
      <c r="S1568" s="26"/>
      <c r="T1568" s="26"/>
      <c r="U1568" s="26"/>
      <c r="V1568" s="26"/>
      <c r="W1568" s="26"/>
      <c r="X1568" s="26"/>
    </row>
    <row r="1569" hidden="1">
      <c r="A1569" s="10" t="s">
        <v>427</v>
      </c>
      <c r="B1569" s="10" t="s">
        <v>4938</v>
      </c>
      <c r="C1569" s="27" t="s">
        <v>4939</v>
      </c>
      <c r="D1569" s="10" t="s">
        <v>4940</v>
      </c>
      <c r="E1569" s="28" t="s">
        <v>431</v>
      </c>
      <c r="F1569" s="23" t="s">
        <v>432</v>
      </c>
      <c r="G1569" s="23" t="s">
        <v>521</v>
      </c>
      <c r="H1569" s="23" t="s">
        <v>330</v>
      </c>
      <c r="I1569" s="32"/>
      <c r="J1569" s="23" t="s">
        <v>6</v>
      </c>
      <c r="K1569" s="23" t="str">
        <f t="shared" si="1"/>
        <v>682716</v>
      </c>
      <c r="L1569" s="23"/>
      <c r="M1569" s="26"/>
      <c r="N1569" s="26"/>
      <c r="O1569" s="26"/>
      <c r="P1569" s="26"/>
      <c r="Q1569" s="26"/>
      <c r="R1569" s="26"/>
      <c r="S1569" s="26"/>
      <c r="T1569" s="26"/>
      <c r="U1569" s="26"/>
      <c r="V1569" s="26"/>
      <c r="W1569" s="26"/>
      <c r="X1569" s="26"/>
    </row>
    <row r="1570" hidden="1">
      <c r="A1570" s="10" t="s">
        <v>427</v>
      </c>
      <c r="B1570" s="10" t="s">
        <v>4941</v>
      </c>
      <c r="C1570" s="27" t="s">
        <v>4942</v>
      </c>
      <c r="D1570" s="10" t="s">
        <v>4943</v>
      </c>
      <c r="E1570" s="28" t="s">
        <v>431</v>
      </c>
      <c r="F1570" s="23" t="s">
        <v>933</v>
      </c>
      <c r="G1570" s="23" t="s">
        <v>521</v>
      </c>
      <c r="H1570" s="23" t="s">
        <v>330</v>
      </c>
      <c r="I1570" s="32"/>
      <c r="J1570" s="23" t="s">
        <v>6</v>
      </c>
      <c r="K1570" s="23" t="str">
        <f t="shared" si="1"/>
        <v>682723</v>
      </c>
      <c r="L1570" s="23"/>
      <c r="M1570" s="26"/>
      <c r="N1570" s="26"/>
      <c r="O1570" s="26"/>
      <c r="P1570" s="26"/>
      <c r="Q1570" s="26"/>
      <c r="R1570" s="26"/>
      <c r="S1570" s="26"/>
      <c r="T1570" s="26"/>
      <c r="U1570" s="26"/>
      <c r="V1570" s="26"/>
      <c r="W1570" s="26"/>
      <c r="X1570" s="26"/>
    </row>
    <row r="1571" hidden="1">
      <c r="A1571" s="10" t="s">
        <v>427</v>
      </c>
      <c r="B1571" s="10" t="s">
        <v>4944</v>
      </c>
      <c r="C1571" s="27" t="s">
        <v>4945</v>
      </c>
      <c r="D1571" s="10" t="s">
        <v>4946</v>
      </c>
      <c r="E1571" s="28" t="s">
        <v>534</v>
      </c>
      <c r="F1571" s="23" t="s">
        <v>757</v>
      </c>
      <c r="G1571" s="23" t="s">
        <v>521</v>
      </c>
      <c r="H1571" s="23" t="s">
        <v>330</v>
      </c>
      <c r="I1571" s="32"/>
      <c r="J1571" s="23" t="s">
        <v>6</v>
      </c>
      <c r="K1571" s="23" t="str">
        <f t="shared" si="1"/>
        <v>690230</v>
      </c>
      <c r="L1571" s="23"/>
      <c r="M1571" s="26"/>
      <c r="N1571" s="26"/>
      <c r="O1571" s="26"/>
      <c r="P1571" s="26"/>
      <c r="Q1571" s="26"/>
      <c r="R1571" s="26"/>
      <c r="S1571" s="26"/>
      <c r="T1571" s="26"/>
      <c r="U1571" s="26"/>
      <c r="V1571" s="26"/>
      <c r="W1571" s="26"/>
      <c r="X1571" s="26"/>
    </row>
    <row r="1572" hidden="1">
      <c r="A1572" s="10" t="s">
        <v>427</v>
      </c>
      <c r="B1572" s="10" t="s">
        <v>4947</v>
      </c>
      <c r="C1572" s="27" t="s">
        <v>4948</v>
      </c>
      <c r="D1572" s="10" t="s">
        <v>4949</v>
      </c>
      <c r="E1572" s="28" t="s">
        <v>534</v>
      </c>
      <c r="F1572" s="23" t="s">
        <v>535</v>
      </c>
      <c r="G1572" s="23" t="s">
        <v>521</v>
      </c>
      <c r="H1572" s="23" t="s">
        <v>330</v>
      </c>
      <c r="I1572" s="32"/>
      <c r="J1572" s="23" t="s">
        <v>6</v>
      </c>
      <c r="K1572" s="23" t="str">
        <f t="shared" si="1"/>
        <v>666969</v>
      </c>
      <c r="L1572" s="23"/>
      <c r="M1572" s="26"/>
      <c r="N1572" s="26"/>
      <c r="O1572" s="26"/>
      <c r="P1572" s="26"/>
      <c r="Q1572" s="26"/>
      <c r="R1572" s="26"/>
      <c r="S1572" s="26"/>
      <c r="T1572" s="26"/>
      <c r="U1572" s="26"/>
      <c r="V1572" s="26"/>
      <c r="W1572" s="26"/>
      <c r="X1572" s="26"/>
    </row>
    <row r="1573" hidden="1">
      <c r="A1573" s="10" t="s">
        <v>427</v>
      </c>
      <c r="B1573" s="10" t="s">
        <v>4950</v>
      </c>
      <c r="C1573" s="27" t="s">
        <v>4951</v>
      </c>
      <c r="D1573" s="10" t="s">
        <v>4952</v>
      </c>
      <c r="E1573" s="28" t="s">
        <v>534</v>
      </c>
      <c r="F1573" s="23" t="s">
        <v>535</v>
      </c>
      <c r="G1573" s="23" t="s">
        <v>521</v>
      </c>
      <c r="H1573" s="23" t="s">
        <v>330</v>
      </c>
      <c r="I1573" s="32"/>
      <c r="J1573" s="23" t="s">
        <v>6</v>
      </c>
      <c r="K1573" s="23" t="str">
        <f t="shared" si="1"/>
        <v>666983</v>
      </c>
      <c r="L1573" s="23"/>
      <c r="M1573" s="26"/>
      <c r="N1573" s="26"/>
      <c r="O1573" s="26"/>
      <c r="P1573" s="26"/>
      <c r="Q1573" s="26"/>
      <c r="R1573" s="26"/>
      <c r="S1573" s="26"/>
      <c r="T1573" s="26"/>
      <c r="U1573" s="26"/>
      <c r="V1573" s="26"/>
      <c r="W1573" s="26"/>
      <c r="X1573" s="26"/>
    </row>
    <row r="1574" hidden="1">
      <c r="A1574" s="10" t="s">
        <v>427</v>
      </c>
      <c r="B1574" s="10" t="s">
        <v>4953</v>
      </c>
      <c r="C1574" s="27" t="s">
        <v>4954</v>
      </c>
      <c r="D1574" s="10" t="s">
        <v>4955</v>
      </c>
      <c r="E1574" s="28" t="s">
        <v>418</v>
      </c>
      <c r="F1574" s="23" t="s">
        <v>977</v>
      </c>
      <c r="G1574" s="23" t="s">
        <v>521</v>
      </c>
      <c r="H1574" s="23" t="s">
        <v>330</v>
      </c>
      <c r="I1574" s="32"/>
      <c r="J1574" s="23" t="s">
        <v>6</v>
      </c>
      <c r="K1574" s="23" t="str">
        <f t="shared" si="1"/>
        <v>668284</v>
      </c>
      <c r="L1574" s="23"/>
      <c r="M1574" s="26"/>
      <c r="N1574" s="26"/>
      <c r="O1574" s="26"/>
      <c r="P1574" s="26"/>
      <c r="Q1574" s="26"/>
      <c r="R1574" s="26"/>
      <c r="S1574" s="26"/>
      <c r="T1574" s="26"/>
      <c r="U1574" s="26"/>
      <c r="V1574" s="26"/>
      <c r="W1574" s="26"/>
      <c r="X1574" s="26"/>
    </row>
    <row r="1575" hidden="1">
      <c r="A1575" s="10" t="s">
        <v>427</v>
      </c>
      <c r="B1575" s="10" t="s">
        <v>4956</v>
      </c>
      <c r="C1575" s="27" t="s">
        <v>4957</v>
      </c>
      <c r="D1575" s="10" t="s">
        <v>4958</v>
      </c>
      <c r="E1575" s="28" t="s">
        <v>1047</v>
      </c>
      <c r="F1575" s="23" t="s">
        <v>1048</v>
      </c>
      <c r="G1575" s="23" t="s">
        <v>521</v>
      </c>
      <c r="H1575" s="23" t="s">
        <v>330</v>
      </c>
      <c r="I1575" s="32"/>
      <c r="J1575" s="23" t="s">
        <v>6</v>
      </c>
      <c r="K1575" s="23" t="str">
        <f t="shared" si="1"/>
        <v>667386</v>
      </c>
      <c r="L1575" s="23"/>
      <c r="M1575" s="26"/>
      <c r="N1575" s="26"/>
      <c r="O1575" s="26"/>
      <c r="P1575" s="26"/>
      <c r="Q1575" s="26"/>
      <c r="R1575" s="26"/>
      <c r="S1575" s="26"/>
      <c r="T1575" s="26"/>
      <c r="U1575" s="26"/>
      <c r="V1575" s="26"/>
      <c r="W1575" s="26"/>
      <c r="X1575" s="26"/>
    </row>
    <row r="1576" hidden="1">
      <c r="A1576" s="10" t="s">
        <v>427</v>
      </c>
      <c r="B1576" s="10" t="s">
        <v>4959</v>
      </c>
      <c r="C1576" s="27" t="s">
        <v>4960</v>
      </c>
      <c r="D1576" s="10" t="s">
        <v>4961</v>
      </c>
      <c r="E1576" s="28" t="s">
        <v>418</v>
      </c>
      <c r="F1576" s="23" t="s">
        <v>419</v>
      </c>
      <c r="G1576" s="23" t="s">
        <v>521</v>
      </c>
      <c r="H1576" s="23" t="s">
        <v>330</v>
      </c>
      <c r="I1576" s="32"/>
      <c r="J1576" s="23" t="s">
        <v>6</v>
      </c>
      <c r="K1576" s="23" t="str">
        <f t="shared" si="1"/>
        <v>672939</v>
      </c>
      <c r="L1576" s="23"/>
      <c r="M1576" s="26"/>
      <c r="N1576" s="26"/>
      <c r="O1576" s="26"/>
      <c r="P1576" s="26"/>
      <c r="Q1576" s="26"/>
      <c r="R1576" s="26"/>
      <c r="S1576" s="26"/>
      <c r="T1576" s="26"/>
      <c r="U1576" s="26"/>
      <c r="V1576" s="26"/>
      <c r="W1576" s="26"/>
      <c r="X1576" s="26"/>
    </row>
    <row r="1577" hidden="1">
      <c r="A1577" s="10" t="s">
        <v>427</v>
      </c>
      <c r="B1577" s="10" t="s">
        <v>4962</v>
      </c>
      <c r="C1577" s="27" t="s">
        <v>4963</v>
      </c>
      <c r="D1577" s="10" t="s">
        <v>4964</v>
      </c>
      <c r="E1577" s="28" t="s">
        <v>418</v>
      </c>
      <c r="F1577" s="23" t="s">
        <v>977</v>
      </c>
      <c r="G1577" s="23" t="s">
        <v>521</v>
      </c>
      <c r="H1577" s="23" t="s">
        <v>330</v>
      </c>
      <c r="I1577" s="32"/>
      <c r="J1577" s="23" t="s">
        <v>6</v>
      </c>
      <c r="K1577" s="23" t="str">
        <f t="shared" si="1"/>
        <v>673639</v>
      </c>
      <c r="L1577" s="23"/>
      <c r="M1577" s="26"/>
      <c r="N1577" s="26"/>
      <c r="O1577" s="26"/>
      <c r="P1577" s="26"/>
      <c r="Q1577" s="26"/>
      <c r="R1577" s="26"/>
      <c r="S1577" s="26"/>
      <c r="T1577" s="26"/>
      <c r="U1577" s="26"/>
      <c r="V1577" s="26"/>
      <c r="W1577" s="26"/>
      <c r="X1577" s="26"/>
    </row>
    <row r="1578" hidden="1">
      <c r="A1578" s="10" t="s">
        <v>427</v>
      </c>
      <c r="B1578" s="10" t="s">
        <v>4965</v>
      </c>
      <c r="C1578" s="27" t="s">
        <v>4966</v>
      </c>
      <c r="D1578" s="10" t="s">
        <v>4967</v>
      </c>
      <c r="E1578" s="28" t="s">
        <v>534</v>
      </c>
      <c r="F1578" s="23" t="s">
        <v>757</v>
      </c>
      <c r="G1578" s="23" t="s">
        <v>521</v>
      </c>
      <c r="H1578" s="23" t="s">
        <v>330</v>
      </c>
      <c r="I1578" s="32"/>
      <c r="J1578" s="23" t="s">
        <v>6</v>
      </c>
      <c r="K1578" s="23" t="str">
        <f t="shared" si="1"/>
        <v>682891</v>
      </c>
      <c r="L1578" s="23"/>
      <c r="M1578" s="26"/>
      <c r="N1578" s="26"/>
      <c r="O1578" s="26"/>
      <c r="P1578" s="26"/>
      <c r="Q1578" s="26"/>
      <c r="R1578" s="26"/>
      <c r="S1578" s="26"/>
      <c r="T1578" s="26"/>
      <c r="U1578" s="26"/>
      <c r="V1578" s="26"/>
      <c r="W1578" s="26"/>
      <c r="X1578" s="26"/>
    </row>
    <row r="1579" hidden="1">
      <c r="A1579" s="10" t="s">
        <v>427</v>
      </c>
      <c r="B1579" s="10" t="s">
        <v>4968</v>
      </c>
      <c r="C1579" s="27" t="s">
        <v>4969</v>
      </c>
      <c r="D1579" s="10" t="s">
        <v>4970</v>
      </c>
      <c r="E1579" s="28" t="s">
        <v>1047</v>
      </c>
      <c r="F1579" s="23" t="s">
        <v>1048</v>
      </c>
      <c r="G1579" s="23" t="s">
        <v>521</v>
      </c>
      <c r="H1579" s="23" t="s">
        <v>330</v>
      </c>
      <c r="I1579" s="32"/>
      <c r="J1579" s="23" t="s">
        <v>6</v>
      </c>
      <c r="K1579" s="23" t="str">
        <f t="shared" si="1"/>
        <v>667065</v>
      </c>
      <c r="L1579" s="23"/>
      <c r="M1579" s="26"/>
      <c r="N1579" s="26"/>
      <c r="O1579" s="26"/>
      <c r="P1579" s="26"/>
      <c r="Q1579" s="26"/>
      <c r="R1579" s="26"/>
      <c r="S1579" s="26"/>
      <c r="T1579" s="26"/>
      <c r="U1579" s="26"/>
      <c r="V1579" s="26"/>
      <c r="W1579" s="26"/>
      <c r="X1579" s="26"/>
    </row>
    <row r="1580" hidden="1">
      <c r="A1580" s="10" t="s">
        <v>427</v>
      </c>
      <c r="B1580" s="10" t="s">
        <v>4971</v>
      </c>
      <c r="C1580" s="27" t="s">
        <v>4972</v>
      </c>
      <c r="D1580" s="10" t="s">
        <v>4973</v>
      </c>
      <c r="E1580" s="28" t="s">
        <v>534</v>
      </c>
      <c r="F1580" s="23" t="s">
        <v>757</v>
      </c>
      <c r="G1580" s="23" t="s">
        <v>521</v>
      </c>
      <c r="H1580" s="23" t="s">
        <v>330</v>
      </c>
      <c r="I1580" s="32"/>
      <c r="J1580" s="23" t="s">
        <v>6</v>
      </c>
      <c r="K1580" s="23" t="str">
        <f t="shared" si="1"/>
        <v>674018</v>
      </c>
      <c r="L1580" s="23"/>
      <c r="M1580" s="26"/>
      <c r="N1580" s="26"/>
      <c r="O1580" s="26"/>
      <c r="P1580" s="26"/>
      <c r="Q1580" s="26"/>
      <c r="R1580" s="26"/>
      <c r="S1580" s="26"/>
      <c r="T1580" s="26"/>
      <c r="U1580" s="26"/>
      <c r="V1580" s="26"/>
      <c r="W1580" s="26"/>
      <c r="X1580" s="26"/>
    </row>
    <row r="1581" hidden="1">
      <c r="A1581" s="10" t="s">
        <v>427</v>
      </c>
      <c r="B1581" s="10" t="s">
        <v>4974</v>
      </c>
      <c r="C1581" s="27" t="s">
        <v>4975</v>
      </c>
      <c r="D1581" s="10" t="s">
        <v>4976</v>
      </c>
      <c r="E1581" s="28" t="s">
        <v>431</v>
      </c>
      <c r="F1581" s="23" t="s">
        <v>946</v>
      </c>
      <c r="G1581" s="23" t="s">
        <v>521</v>
      </c>
      <c r="H1581" s="23" t="s">
        <v>330</v>
      </c>
      <c r="I1581" s="32"/>
      <c r="J1581" s="23" t="s">
        <v>6</v>
      </c>
      <c r="K1581" s="23" t="str">
        <f t="shared" si="1"/>
        <v>667225</v>
      </c>
      <c r="L1581" s="23"/>
      <c r="M1581" s="26"/>
      <c r="N1581" s="26"/>
      <c r="O1581" s="26"/>
      <c r="P1581" s="26"/>
      <c r="Q1581" s="26"/>
      <c r="R1581" s="26"/>
      <c r="S1581" s="26"/>
      <c r="T1581" s="26"/>
      <c r="U1581" s="26"/>
      <c r="V1581" s="26"/>
      <c r="W1581" s="26"/>
      <c r="X1581" s="26"/>
    </row>
    <row r="1582" hidden="1">
      <c r="A1582" s="10" t="s">
        <v>427</v>
      </c>
      <c r="B1582" s="10" t="s">
        <v>4977</v>
      </c>
      <c r="C1582" s="27" t="s">
        <v>4978</v>
      </c>
      <c r="D1582" s="10" t="s">
        <v>4979</v>
      </c>
      <c r="E1582" s="28" t="s">
        <v>431</v>
      </c>
      <c r="F1582" s="23" t="s">
        <v>946</v>
      </c>
      <c r="G1582" s="23" t="s">
        <v>521</v>
      </c>
      <c r="H1582" s="23" t="s">
        <v>330</v>
      </c>
      <c r="I1582" s="32"/>
      <c r="J1582" s="23" t="s">
        <v>6</v>
      </c>
      <c r="K1582" s="23" t="str">
        <f t="shared" si="1"/>
        <v>667263</v>
      </c>
      <c r="L1582" s="23"/>
      <c r="M1582" s="26"/>
      <c r="N1582" s="26"/>
      <c r="O1582" s="26"/>
      <c r="P1582" s="26"/>
      <c r="Q1582" s="26"/>
      <c r="R1582" s="26"/>
      <c r="S1582" s="26"/>
      <c r="T1582" s="26"/>
      <c r="U1582" s="26"/>
      <c r="V1582" s="26"/>
      <c r="W1582" s="26"/>
      <c r="X1582" s="26"/>
    </row>
    <row r="1583" hidden="1">
      <c r="A1583" s="10" t="s">
        <v>427</v>
      </c>
      <c r="B1583" s="10" t="s">
        <v>4980</v>
      </c>
      <c r="C1583" s="27" t="s">
        <v>4981</v>
      </c>
      <c r="D1583" s="10" t="s">
        <v>4982</v>
      </c>
      <c r="E1583" s="28" t="s">
        <v>431</v>
      </c>
      <c r="F1583" s="23" t="s">
        <v>946</v>
      </c>
      <c r="G1583" s="23" t="s">
        <v>521</v>
      </c>
      <c r="H1583" s="23" t="s">
        <v>330</v>
      </c>
      <c r="I1583" s="32"/>
      <c r="J1583" s="23" t="s">
        <v>6</v>
      </c>
      <c r="K1583" s="23" t="str">
        <f t="shared" si="1"/>
        <v>667249</v>
      </c>
      <c r="L1583" s="23"/>
      <c r="M1583" s="26"/>
      <c r="N1583" s="26"/>
      <c r="O1583" s="26"/>
      <c r="P1583" s="26"/>
      <c r="Q1583" s="26"/>
      <c r="R1583" s="26"/>
      <c r="S1583" s="26"/>
      <c r="T1583" s="26"/>
      <c r="U1583" s="26"/>
      <c r="V1583" s="26"/>
      <c r="W1583" s="26"/>
      <c r="X1583" s="26"/>
    </row>
    <row r="1584" hidden="1">
      <c r="A1584" s="10" t="s">
        <v>427</v>
      </c>
      <c r="B1584" s="10" t="s">
        <v>4983</v>
      </c>
      <c r="C1584" s="27" t="s">
        <v>4984</v>
      </c>
      <c r="D1584" s="10" t="s">
        <v>4985</v>
      </c>
      <c r="E1584" s="28" t="s">
        <v>529</v>
      </c>
      <c r="F1584" s="23" t="s">
        <v>530</v>
      </c>
      <c r="G1584" s="23" t="s">
        <v>521</v>
      </c>
      <c r="H1584" s="23" t="s">
        <v>330</v>
      </c>
      <c r="I1584" s="32"/>
      <c r="J1584" s="23" t="s">
        <v>6</v>
      </c>
      <c r="K1584" s="23" t="str">
        <f t="shared" si="1"/>
        <v>671260</v>
      </c>
      <c r="L1584" s="23"/>
      <c r="M1584" s="26"/>
      <c r="N1584" s="26"/>
      <c r="O1584" s="26"/>
      <c r="P1584" s="26"/>
      <c r="Q1584" s="26"/>
      <c r="R1584" s="26"/>
      <c r="S1584" s="26"/>
      <c r="T1584" s="26"/>
      <c r="U1584" s="26"/>
      <c r="V1584" s="26"/>
      <c r="W1584" s="26"/>
      <c r="X1584" s="26"/>
    </row>
    <row r="1585" hidden="1">
      <c r="A1585" s="10" t="s">
        <v>427</v>
      </c>
      <c r="B1585" s="10" t="s">
        <v>4986</v>
      </c>
      <c r="C1585" s="27" t="s">
        <v>4987</v>
      </c>
      <c r="D1585" s="10" t="s">
        <v>4988</v>
      </c>
      <c r="E1585" s="28" t="s">
        <v>534</v>
      </c>
      <c r="F1585" s="23" t="s">
        <v>1238</v>
      </c>
      <c r="G1585" s="23" t="s">
        <v>521</v>
      </c>
      <c r="H1585" s="23" t="s">
        <v>330</v>
      </c>
      <c r="I1585" s="32"/>
      <c r="J1585" s="23" t="s">
        <v>6</v>
      </c>
      <c r="K1585" s="23" t="str">
        <f t="shared" si="1"/>
        <v>653754</v>
      </c>
      <c r="L1585" s="23"/>
      <c r="M1585" s="26"/>
      <c r="N1585" s="26"/>
      <c r="O1585" s="26"/>
      <c r="P1585" s="26"/>
      <c r="Q1585" s="26"/>
      <c r="R1585" s="26"/>
      <c r="S1585" s="26"/>
      <c r="T1585" s="26"/>
      <c r="U1585" s="26"/>
      <c r="V1585" s="26"/>
      <c r="W1585" s="26"/>
      <c r="X1585" s="26"/>
    </row>
    <row r="1586" hidden="1">
      <c r="A1586" s="10" t="s">
        <v>427</v>
      </c>
      <c r="B1586" s="10" t="s">
        <v>4989</v>
      </c>
      <c r="C1586" s="27" t="s">
        <v>4990</v>
      </c>
      <c r="D1586" s="10" t="s">
        <v>4991</v>
      </c>
      <c r="E1586" s="28" t="s">
        <v>431</v>
      </c>
      <c r="F1586" s="23" t="s">
        <v>946</v>
      </c>
      <c r="G1586" s="23" t="s">
        <v>521</v>
      </c>
      <c r="H1586" s="23" t="s">
        <v>330</v>
      </c>
      <c r="I1586" s="32"/>
      <c r="J1586" s="23" t="s">
        <v>6</v>
      </c>
      <c r="K1586" s="23" t="str">
        <f t="shared" si="1"/>
        <v>631950</v>
      </c>
      <c r="L1586" s="23"/>
      <c r="M1586" s="26"/>
      <c r="N1586" s="26"/>
      <c r="O1586" s="26"/>
      <c r="P1586" s="26"/>
      <c r="Q1586" s="26"/>
      <c r="R1586" s="26"/>
      <c r="S1586" s="26"/>
      <c r="T1586" s="26"/>
      <c r="U1586" s="26"/>
      <c r="V1586" s="26"/>
      <c r="W1586" s="26"/>
      <c r="X1586" s="26"/>
    </row>
    <row r="1587" hidden="1">
      <c r="A1587" s="10" t="s">
        <v>427</v>
      </c>
      <c r="B1587" s="10" t="s">
        <v>4992</v>
      </c>
      <c r="C1587" s="27" t="s">
        <v>4993</v>
      </c>
      <c r="D1587" s="10" t="s">
        <v>4994</v>
      </c>
      <c r="E1587" s="28" t="s">
        <v>534</v>
      </c>
      <c r="F1587" s="23" t="s">
        <v>1242</v>
      </c>
      <c r="G1587" s="23" t="s">
        <v>521</v>
      </c>
      <c r="H1587" s="23" t="s">
        <v>330</v>
      </c>
      <c r="I1587" s="32"/>
      <c r="J1587" s="23" t="s">
        <v>6</v>
      </c>
      <c r="K1587" s="23" t="str">
        <f t="shared" si="1"/>
        <v>650197</v>
      </c>
      <c r="L1587" s="23"/>
      <c r="M1587" s="26"/>
      <c r="N1587" s="26"/>
      <c r="O1587" s="26"/>
      <c r="P1587" s="26"/>
      <c r="Q1587" s="26"/>
      <c r="R1587" s="26"/>
      <c r="S1587" s="26"/>
      <c r="T1587" s="26"/>
      <c r="U1587" s="26"/>
      <c r="V1587" s="26"/>
      <c r="W1587" s="26"/>
      <c r="X1587" s="26"/>
    </row>
    <row r="1588" hidden="1">
      <c r="A1588" s="10" t="s">
        <v>427</v>
      </c>
      <c r="B1588" s="10" t="s">
        <v>4995</v>
      </c>
      <c r="C1588" s="27" t="s">
        <v>4996</v>
      </c>
      <c r="D1588" s="10" t="s">
        <v>4997</v>
      </c>
      <c r="E1588" s="28" t="s">
        <v>534</v>
      </c>
      <c r="F1588" s="23" t="s">
        <v>1242</v>
      </c>
      <c r="G1588" s="23" t="s">
        <v>521</v>
      </c>
      <c r="H1588" s="23" t="s">
        <v>330</v>
      </c>
      <c r="I1588" s="32"/>
      <c r="J1588" s="23" t="s">
        <v>6</v>
      </c>
      <c r="K1588" s="23" t="str">
        <f t="shared" si="1"/>
        <v>660240</v>
      </c>
      <c r="L1588" s="23"/>
      <c r="M1588" s="26"/>
      <c r="N1588" s="26"/>
      <c r="O1588" s="26"/>
      <c r="P1588" s="26"/>
      <c r="Q1588" s="26"/>
      <c r="R1588" s="26"/>
      <c r="S1588" s="26"/>
      <c r="T1588" s="26"/>
      <c r="U1588" s="26"/>
      <c r="V1588" s="26"/>
      <c r="W1588" s="26"/>
      <c r="X1588" s="26"/>
    </row>
    <row r="1589" hidden="1">
      <c r="A1589" s="10" t="s">
        <v>427</v>
      </c>
      <c r="B1589" s="10" t="s">
        <v>4998</v>
      </c>
      <c r="C1589" s="27" t="s">
        <v>4999</v>
      </c>
      <c r="D1589" s="10" t="s">
        <v>5000</v>
      </c>
      <c r="E1589" s="28" t="s">
        <v>418</v>
      </c>
      <c r="F1589" s="23" t="s">
        <v>419</v>
      </c>
      <c r="G1589" s="23" t="s">
        <v>521</v>
      </c>
      <c r="H1589" s="23" t="s">
        <v>330</v>
      </c>
      <c r="I1589" s="32"/>
      <c r="J1589" s="23" t="s">
        <v>6</v>
      </c>
      <c r="K1589" s="23" t="str">
        <f t="shared" si="1"/>
        <v>660936</v>
      </c>
      <c r="L1589" s="23"/>
      <c r="M1589" s="26"/>
      <c r="N1589" s="26"/>
      <c r="O1589" s="26"/>
      <c r="P1589" s="26"/>
      <c r="Q1589" s="26"/>
      <c r="R1589" s="26"/>
      <c r="S1589" s="26"/>
      <c r="T1589" s="26"/>
      <c r="U1589" s="26"/>
      <c r="V1589" s="26"/>
      <c r="W1589" s="26"/>
      <c r="X1589" s="26"/>
    </row>
    <row r="1590" hidden="1">
      <c r="A1590" s="10" t="s">
        <v>427</v>
      </c>
      <c r="B1590" s="10" t="s">
        <v>5001</v>
      </c>
      <c r="C1590" s="27" t="s">
        <v>5002</v>
      </c>
      <c r="D1590" s="10" t="s">
        <v>5003</v>
      </c>
      <c r="E1590" s="28" t="s">
        <v>534</v>
      </c>
      <c r="F1590" s="23" t="s">
        <v>535</v>
      </c>
      <c r="G1590" s="23" t="s">
        <v>521</v>
      </c>
      <c r="H1590" s="23" t="s">
        <v>330</v>
      </c>
      <c r="I1590" s="32"/>
      <c r="J1590" s="23" t="s">
        <v>6</v>
      </c>
      <c r="K1590" s="23" t="str">
        <f t="shared" si="1"/>
        <v>667003</v>
      </c>
      <c r="L1590" s="23"/>
      <c r="M1590" s="26"/>
      <c r="N1590" s="26"/>
      <c r="O1590" s="26"/>
      <c r="P1590" s="26"/>
      <c r="Q1590" s="26"/>
      <c r="R1590" s="26"/>
      <c r="S1590" s="26"/>
      <c r="T1590" s="26"/>
      <c r="U1590" s="26"/>
      <c r="V1590" s="26"/>
      <c r="W1590" s="26"/>
      <c r="X1590" s="26"/>
    </row>
    <row r="1591" hidden="1">
      <c r="A1591" s="10" t="s">
        <v>427</v>
      </c>
      <c r="B1591" s="10" t="s">
        <v>5004</v>
      </c>
      <c r="C1591" s="27" t="s">
        <v>5005</v>
      </c>
      <c r="D1591" s="10" t="s">
        <v>5006</v>
      </c>
      <c r="E1591" s="28" t="s">
        <v>431</v>
      </c>
      <c r="F1591" s="23" t="s">
        <v>946</v>
      </c>
      <c r="G1591" s="23" t="s">
        <v>521</v>
      </c>
      <c r="H1591" s="23" t="s">
        <v>330</v>
      </c>
      <c r="I1591" s="32"/>
      <c r="J1591" s="23" t="s">
        <v>6</v>
      </c>
      <c r="K1591" s="23" t="str">
        <f t="shared" si="1"/>
        <v>650067</v>
      </c>
      <c r="L1591" s="23"/>
      <c r="M1591" s="26"/>
      <c r="N1591" s="26"/>
      <c r="O1591" s="26"/>
      <c r="P1591" s="26"/>
      <c r="Q1591" s="26"/>
      <c r="R1591" s="26"/>
      <c r="S1591" s="26"/>
      <c r="T1591" s="26"/>
      <c r="U1591" s="26"/>
      <c r="V1591" s="26"/>
      <c r="W1591" s="26"/>
      <c r="X1591" s="26"/>
    </row>
    <row r="1592" hidden="1">
      <c r="A1592" s="10" t="s">
        <v>427</v>
      </c>
      <c r="B1592" s="10" t="s">
        <v>5007</v>
      </c>
      <c r="C1592" s="27" t="s">
        <v>5008</v>
      </c>
      <c r="D1592" s="10" t="s">
        <v>5009</v>
      </c>
      <c r="E1592" s="28" t="s">
        <v>431</v>
      </c>
      <c r="F1592" s="23" t="s">
        <v>946</v>
      </c>
      <c r="G1592" s="23" t="s">
        <v>521</v>
      </c>
      <c r="H1592" s="23" t="s">
        <v>330</v>
      </c>
      <c r="I1592" s="32"/>
      <c r="J1592" s="23" t="s">
        <v>6</v>
      </c>
      <c r="K1592" s="23" t="str">
        <f t="shared" si="1"/>
        <v>673912</v>
      </c>
      <c r="L1592" s="23"/>
      <c r="M1592" s="26"/>
      <c r="N1592" s="26"/>
      <c r="O1592" s="26"/>
      <c r="P1592" s="26"/>
      <c r="Q1592" s="26"/>
      <c r="R1592" s="26"/>
      <c r="S1592" s="26"/>
      <c r="T1592" s="26"/>
      <c r="U1592" s="26"/>
      <c r="V1592" s="26"/>
      <c r="W1592" s="26"/>
      <c r="X1592" s="26"/>
    </row>
    <row r="1593" hidden="1">
      <c r="A1593" s="10" t="s">
        <v>499</v>
      </c>
      <c r="B1593" s="10" t="s">
        <v>5010</v>
      </c>
      <c r="C1593" s="27" t="s">
        <v>5011</v>
      </c>
      <c r="D1593" s="10" t="s">
        <v>5012</v>
      </c>
      <c r="E1593" s="28" t="s">
        <v>194</v>
      </c>
      <c r="F1593" s="23" t="s">
        <v>195</v>
      </c>
      <c r="G1593" s="23" t="s">
        <v>196</v>
      </c>
      <c r="H1593" s="23" t="s">
        <v>5013</v>
      </c>
      <c r="I1593" s="32"/>
      <c r="J1593" s="23" t="s">
        <v>6</v>
      </c>
      <c r="K1593" s="23" t="str">
        <f t="shared" si="1"/>
        <v>664637</v>
      </c>
      <c r="L1593" s="23"/>
      <c r="M1593" s="26"/>
      <c r="N1593" s="26"/>
      <c r="O1593" s="26"/>
      <c r="P1593" s="26"/>
      <c r="Q1593" s="26"/>
      <c r="R1593" s="26"/>
      <c r="S1593" s="26"/>
      <c r="T1593" s="26"/>
      <c r="U1593" s="26"/>
      <c r="V1593" s="26"/>
      <c r="W1593" s="26"/>
      <c r="X1593" s="26"/>
    </row>
    <row r="1594" hidden="1">
      <c r="A1594" s="10" t="s">
        <v>427</v>
      </c>
      <c r="B1594" s="10" t="s">
        <v>5014</v>
      </c>
      <c r="C1594" s="27" t="s">
        <v>5015</v>
      </c>
      <c r="D1594" s="10" t="s">
        <v>5016</v>
      </c>
      <c r="E1594" s="28" t="s">
        <v>431</v>
      </c>
      <c r="F1594" s="23" t="s">
        <v>432</v>
      </c>
      <c r="G1594" s="23" t="s">
        <v>203</v>
      </c>
      <c r="H1594" s="23" t="s">
        <v>5017</v>
      </c>
      <c r="I1594" s="32"/>
      <c r="J1594" s="23" t="s">
        <v>6</v>
      </c>
      <c r="K1594" s="23" t="str">
        <f t="shared" si="1"/>
        <v>678092</v>
      </c>
      <c r="L1594" s="23"/>
      <c r="M1594" s="26"/>
      <c r="N1594" s="26"/>
      <c r="O1594" s="26"/>
      <c r="P1594" s="26"/>
      <c r="Q1594" s="26"/>
      <c r="R1594" s="26"/>
      <c r="S1594" s="26"/>
      <c r="T1594" s="26"/>
      <c r="U1594" s="26"/>
      <c r="V1594" s="26"/>
      <c r="W1594" s="26"/>
      <c r="X1594" s="26"/>
    </row>
    <row r="1595" hidden="1">
      <c r="A1595" s="10" t="s">
        <v>427</v>
      </c>
      <c r="B1595" s="10" t="s">
        <v>5018</v>
      </c>
      <c r="C1595" s="27" t="s">
        <v>5019</v>
      </c>
      <c r="D1595" s="10" t="s">
        <v>5020</v>
      </c>
      <c r="E1595" s="28" t="s">
        <v>534</v>
      </c>
      <c r="F1595" s="23" t="s">
        <v>535</v>
      </c>
      <c r="G1595" s="23" t="s">
        <v>203</v>
      </c>
      <c r="H1595" s="23" t="s">
        <v>5017</v>
      </c>
      <c r="I1595" s="32"/>
      <c r="J1595" s="23" t="s">
        <v>6</v>
      </c>
      <c r="K1595" s="23" t="str">
        <f t="shared" si="1"/>
        <v>673042</v>
      </c>
      <c r="L1595" s="23"/>
      <c r="M1595" s="26"/>
      <c r="N1595" s="26"/>
      <c r="O1595" s="26"/>
      <c r="P1595" s="26"/>
      <c r="Q1595" s="26"/>
      <c r="R1595" s="26"/>
      <c r="S1595" s="26"/>
      <c r="T1595" s="26"/>
      <c r="U1595" s="26"/>
      <c r="V1595" s="26"/>
      <c r="W1595" s="26"/>
      <c r="X1595" s="26"/>
    </row>
    <row r="1596" hidden="1">
      <c r="A1596" s="10" t="s">
        <v>427</v>
      </c>
      <c r="B1596" s="10" t="s">
        <v>5021</v>
      </c>
      <c r="C1596" s="27" t="s">
        <v>5022</v>
      </c>
      <c r="D1596" s="10" t="s">
        <v>5023</v>
      </c>
      <c r="E1596" s="28" t="s">
        <v>431</v>
      </c>
      <c r="F1596" s="23" t="s">
        <v>933</v>
      </c>
      <c r="G1596" s="23" t="s">
        <v>203</v>
      </c>
      <c r="H1596" s="23" t="s">
        <v>5017</v>
      </c>
      <c r="I1596" s="32"/>
      <c r="J1596" s="23" t="s">
        <v>6</v>
      </c>
      <c r="K1596" s="23" t="str">
        <f t="shared" si="1"/>
        <v>690209</v>
      </c>
      <c r="L1596" s="23"/>
      <c r="M1596" s="26"/>
      <c r="N1596" s="26"/>
      <c r="O1596" s="26"/>
      <c r="P1596" s="26"/>
      <c r="Q1596" s="26"/>
      <c r="R1596" s="26"/>
      <c r="S1596" s="26"/>
      <c r="T1596" s="26"/>
      <c r="U1596" s="26"/>
      <c r="V1596" s="26"/>
      <c r="W1596" s="26"/>
      <c r="X1596" s="26"/>
    </row>
    <row r="1597" hidden="1">
      <c r="A1597" s="10" t="s">
        <v>190</v>
      </c>
      <c r="B1597" s="10" t="s">
        <v>5024</v>
      </c>
      <c r="C1597" s="27" t="s">
        <v>5025</v>
      </c>
      <c r="D1597" s="10" t="s">
        <v>5026</v>
      </c>
      <c r="E1597" s="28" t="s">
        <v>194</v>
      </c>
      <c r="F1597" s="23" t="s">
        <v>195</v>
      </c>
      <c r="G1597" s="23" t="s">
        <v>196</v>
      </c>
      <c r="H1597" s="23" t="s">
        <v>216</v>
      </c>
      <c r="I1597" s="23" t="s">
        <v>216</v>
      </c>
      <c r="J1597" s="23" t="s">
        <v>198</v>
      </c>
      <c r="K1597" s="23" t="str">
        <f t="shared" si="1"/>
        <v>667546</v>
      </c>
      <c r="L1597" s="23"/>
      <c r="M1597" s="26"/>
      <c r="N1597" s="26"/>
      <c r="O1597" s="26"/>
      <c r="P1597" s="26"/>
      <c r="Q1597" s="26"/>
      <c r="R1597" s="26"/>
      <c r="S1597" s="26"/>
      <c r="T1597" s="26"/>
      <c r="U1597" s="26"/>
      <c r="V1597" s="26"/>
      <c r="W1597" s="26"/>
      <c r="X1597" s="26"/>
    </row>
    <row r="1598" hidden="1">
      <c r="A1598" s="10" t="s">
        <v>190</v>
      </c>
      <c r="B1598" s="10" t="s">
        <v>5027</v>
      </c>
      <c r="C1598" s="27" t="s">
        <v>5028</v>
      </c>
      <c r="D1598" s="10" t="s">
        <v>5029</v>
      </c>
      <c r="E1598" s="28" t="s">
        <v>194</v>
      </c>
      <c r="F1598" s="23" t="s">
        <v>195</v>
      </c>
      <c r="G1598" s="23" t="s">
        <v>203</v>
      </c>
      <c r="H1598" s="23" t="s">
        <v>216</v>
      </c>
      <c r="I1598" s="23" t="s">
        <v>338</v>
      </c>
      <c r="J1598" s="23" t="s">
        <v>198</v>
      </c>
      <c r="K1598" s="23" t="str">
        <f t="shared" si="1"/>
        <v>601571</v>
      </c>
      <c r="L1598" s="23"/>
      <c r="M1598" s="26"/>
      <c r="N1598" s="26"/>
      <c r="O1598" s="26"/>
      <c r="P1598" s="26"/>
      <c r="Q1598" s="26"/>
      <c r="R1598" s="26"/>
      <c r="S1598" s="26"/>
      <c r="T1598" s="26"/>
      <c r="U1598" s="26"/>
      <c r="V1598" s="26"/>
      <c r="W1598" s="26"/>
      <c r="X1598" s="26"/>
    </row>
    <row r="1599" hidden="1">
      <c r="A1599" s="10" t="s">
        <v>190</v>
      </c>
      <c r="B1599" s="10" t="s">
        <v>5030</v>
      </c>
      <c r="C1599" s="27" t="s">
        <v>5031</v>
      </c>
      <c r="D1599" s="10" t="s">
        <v>5032</v>
      </c>
      <c r="E1599" s="28" t="s">
        <v>194</v>
      </c>
      <c r="F1599" s="23" t="s">
        <v>195</v>
      </c>
      <c r="G1599" s="23" t="s">
        <v>196</v>
      </c>
      <c r="H1599" s="23" t="s">
        <v>216</v>
      </c>
      <c r="I1599" s="23" t="s">
        <v>216</v>
      </c>
      <c r="J1599" s="23" t="s">
        <v>238</v>
      </c>
      <c r="K1599" s="23" t="str">
        <f t="shared" si="1"/>
        <v>667522</v>
      </c>
      <c r="L1599" s="23"/>
      <c r="M1599" s="26"/>
      <c r="N1599" s="26"/>
      <c r="O1599" s="26"/>
      <c r="P1599" s="26"/>
      <c r="Q1599" s="26"/>
      <c r="R1599" s="26"/>
      <c r="S1599" s="26"/>
      <c r="T1599" s="26"/>
      <c r="U1599" s="26"/>
      <c r="V1599" s="26"/>
      <c r="W1599" s="26"/>
      <c r="X1599" s="26"/>
    </row>
    <row r="1600" hidden="1">
      <c r="A1600" s="10" t="s">
        <v>190</v>
      </c>
      <c r="B1600" s="10" t="s">
        <v>5033</v>
      </c>
      <c r="C1600" s="27" t="s">
        <v>5034</v>
      </c>
      <c r="D1600" s="10" t="s">
        <v>5035</v>
      </c>
      <c r="E1600" s="28" t="s">
        <v>194</v>
      </c>
      <c r="F1600" s="23" t="s">
        <v>195</v>
      </c>
      <c r="G1600" s="23" t="s">
        <v>196</v>
      </c>
      <c r="H1600" s="23" t="s">
        <v>216</v>
      </c>
      <c r="I1600" s="23" t="s">
        <v>216</v>
      </c>
      <c r="J1600" s="23" t="s">
        <v>198</v>
      </c>
      <c r="K1600" s="23" t="str">
        <f t="shared" si="1"/>
        <v>665467</v>
      </c>
      <c r="L1600" s="23"/>
      <c r="M1600" s="26"/>
      <c r="N1600" s="26"/>
      <c r="O1600" s="26"/>
      <c r="P1600" s="26"/>
      <c r="Q1600" s="26"/>
      <c r="R1600" s="26"/>
      <c r="S1600" s="26"/>
      <c r="T1600" s="26"/>
      <c r="U1600" s="26"/>
      <c r="V1600" s="26"/>
      <c r="W1600" s="26"/>
      <c r="X1600" s="26"/>
    </row>
    <row r="1601" hidden="1">
      <c r="A1601" s="10" t="s">
        <v>190</v>
      </c>
      <c r="B1601" s="10" t="s">
        <v>5036</v>
      </c>
      <c r="C1601" s="27" t="s">
        <v>5037</v>
      </c>
      <c r="D1601" s="10" t="s">
        <v>5038</v>
      </c>
      <c r="E1601" s="28" t="s">
        <v>194</v>
      </c>
      <c r="F1601" s="23" t="s">
        <v>195</v>
      </c>
      <c r="G1601" s="23" t="s">
        <v>196</v>
      </c>
      <c r="H1601" s="23" t="s">
        <v>216</v>
      </c>
      <c r="I1601" s="23" t="s">
        <v>216</v>
      </c>
      <c r="J1601" s="23" t="s">
        <v>198</v>
      </c>
      <c r="K1601" s="23" t="str">
        <f t="shared" si="1"/>
        <v>667508</v>
      </c>
      <c r="L1601" s="23"/>
      <c r="M1601" s="26"/>
      <c r="N1601" s="26"/>
      <c r="O1601" s="26"/>
      <c r="P1601" s="26"/>
      <c r="Q1601" s="26"/>
      <c r="R1601" s="26"/>
      <c r="S1601" s="26"/>
      <c r="T1601" s="26"/>
      <c r="U1601" s="26"/>
      <c r="V1601" s="26"/>
      <c r="W1601" s="26"/>
      <c r="X1601" s="26"/>
    </row>
    <row r="1602" hidden="1">
      <c r="A1602" s="10" t="s">
        <v>190</v>
      </c>
      <c r="B1602" s="10" t="s">
        <v>5039</v>
      </c>
      <c r="C1602" s="27" t="s">
        <v>5040</v>
      </c>
      <c r="D1602" s="10" t="s">
        <v>5041</v>
      </c>
      <c r="E1602" s="28" t="s">
        <v>194</v>
      </c>
      <c r="F1602" s="23" t="s">
        <v>195</v>
      </c>
      <c r="G1602" s="23" t="s">
        <v>196</v>
      </c>
      <c r="H1602" s="23" t="s">
        <v>216</v>
      </c>
      <c r="I1602" s="23" t="s">
        <v>216</v>
      </c>
      <c r="J1602" s="23" t="s">
        <v>198</v>
      </c>
      <c r="K1602" s="23" t="str">
        <f t="shared" si="1"/>
        <v>667560</v>
      </c>
      <c r="L1602" s="23"/>
      <c r="M1602" s="26"/>
      <c r="N1602" s="26"/>
      <c r="O1602" s="26"/>
      <c r="P1602" s="26"/>
      <c r="Q1602" s="26"/>
      <c r="R1602" s="26"/>
      <c r="S1602" s="26"/>
      <c r="T1602" s="26"/>
      <c r="U1602" s="26"/>
      <c r="V1602" s="26"/>
      <c r="W1602" s="26"/>
      <c r="X1602" s="26"/>
    </row>
    <row r="1603" hidden="1">
      <c r="A1603" s="10" t="s">
        <v>190</v>
      </c>
      <c r="B1603" s="10" t="s">
        <v>5042</v>
      </c>
      <c r="C1603" s="27" t="s">
        <v>5043</v>
      </c>
      <c r="D1603" s="10" t="s">
        <v>5044</v>
      </c>
      <c r="E1603" s="28" t="s">
        <v>194</v>
      </c>
      <c r="F1603" s="23" t="s">
        <v>195</v>
      </c>
      <c r="G1603" s="23" t="s">
        <v>203</v>
      </c>
      <c r="H1603" s="23" t="s">
        <v>216</v>
      </c>
      <c r="I1603" s="23" t="s">
        <v>203</v>
      </c>
      <c r="J1603" s="23" t="s">
        <v>229</v>
      </c>
      <c r="K1603" s="23" t="str">
        <f t="shared" si="1"/>
        <v>619996</v>
      </c>
      <c r="L1603" s="23"/>
      <c r="M1603" s="26"/>
      <c r="N1603" s="26"/>
      <c r="O1603" s="26"/>
      <c r="P1603" s="26"/>
      <c r="Q1603" s="26"/>
      <c r="R1603" s="26"/>
      <c r="S1603" s="26"/>
      <c r="T1603" s="26"/>
      <c r="U1603" s="26"/>
      <c r="V1603" s="26"/>
      <c r="W1603" s="26"/>
      <c r="X1603" s="26"/>
    </row>
    <row r="1604" hidden="1">
      <c r="A1604" s="10" t="s">
        <v>499</v>
      </c>
      <c r="B1604" s="10" t="s">
        <v>5045</v>
      </c>
      <c r="C1604" s="27" t="s">
        <v>5046</v>
      </c>
      <c r="D1604" s="10" t="s">
        <v>5047</v>
      </c>
      <c r="E1604" s="28" t="s">
        <v>194</v>
      </c>
      <c r="F1604" s="23" t="s">
        <v>195</v>
      </c>
      <c r="G1604" s="23" t="s">
        <v>203</v>
      </c>
      <c r="H1604" s="23" t="s">
        <v>216</v>
      </c>
      <c r="I1604" s="32"/>
      <c r="J1604" s="23" t="s">
        <v>6</v>
      </c>
      <c r="K1604" s="23" t="str">
        <f t="shared" si="1"/>
        <v>650517</v>
      </c>
      <c r="L1604" s="23"/>
      <c r="M1604" s="26"/>
      <c r="N1604" s="26"/>
      <c r="O1604" s="26"/>
      <c r="P1604" s="26"/>
      <c r="Q1604" s="26"/>
      <c r="R1604" s="26"/>
      <c r="S1604" s="26"/>
      <c r="T1604" s="26"/>
      <c r="U1604" s="26"/>
      <c r="V1604" s="26"/>
      <c r="W1604" s="26"/>
      <c r="X1604" s="26"/>
    </row>
    <row r="1605" hidden="1">
      <c r="A1605" s="10" t="s">
        <v>499</v>
      </c>
      <c r="B1605" s="10" t="s">
        <v>5048</v>
      </c>
      <c r="C1605" s="27" t="s">
        <v>5049</v>
      </c>
      <c r="D1605" s="10" t="s">
        <v>5050</v>
      </c>
      <c r="E1605" s="28" t="s">
        <v>194</v>
      </c>
      <c r="F1605" s="23" t="s">
        <v>195</v>
      </c>
      <c r="G1605" s="23" t="s">
        <v>203</v>
      </c>
      <c r="H1605" s="23" t="s">
        <v>216</v>
      </c>
      <c r="I1605" s="32"/>
      <c r="J1605" s="23" t="s">
        <v>6</v>
      </c>
      <c r="K1605" s="23" t="str">
        <f t="shared" si="1"/>
        <v>664538</v>
      </c>
      <c r="L1605" s="23"/>
      <c r="M1605" s="26"/>
      <c r="N1605" s="26"/>
      <c r="O1605" s="26"/>
      <c r="P1605" s="26"/>
      <c r="Q1605" s="26"/>
      <c r="R1605" s="26"/>
      <c r="S1605" s="26"/>
      <c r="T1605" s="26"/>
      <c r="U1605" s="26"/>
      <c r="V1605" s="26"/>
      <c r="W1605" s="26"/>
      <c r="X1605" s="26"/>
    </row>
    <row r="1606" hidden="1">
      <c r="A1606" s="10" t="s">
        <v>499</v>
      </c>
      <c r="B1606" s="10" t="s">
        <v>5051</v>
      </c>
      <c r="C1606" s="27" t="s">
        <v>5052</v>
      </c>
      <c r="D1606" s="10" t="s">
        <v>5053</v>
      </c>
      <c r="E1606" s="28" t="s">
        <v>194</v>
      </c>
      <c r="F1606" s="23" t="s">
        <v>2498</v>
      </c>
      <c r="G1606" s="23" t="s">
        <v>203</v>
      </c>
      <c r="H1606" s="23" t="s">
        <v>216</v>
      </c>
      <c r="I1606" s="32"/>
      <c r="J1606" s="23" t="s">
        <v>6</v>
      </c>
      <c r="K1606" s="23" t="str">
        <f t="shared" si="1"/>
        <v>659824</v>
      </c>
      <c r="L1606" s="23"/>
      <c r="M1606" s="26"/>
      <c r="N1606" s="26"/>
      <c r="O1606" s="26"/>
      <c r="P1606" s="26"/>
      <c r="Q1606" s="26"/>
      <c r="R1606" s="26"/>
      <c r="S1606" s="26"/>
      <c r="T1606" s="26"/>
      <c r="U1606" s="26"/>
      <c r="V1606" s="26"/>
      <c r="W1606" s="26"/>
      <c r="X1606" s="26"/>
    </row>
    <row r="1607" hidden="1">
      <c r="A1607" s="10" t="s">
        <v>499</v>
      </c>
      <c r="B1607" s="10" t="s">
        <v>5054</v>
      </c>
      <c r="C1607" s="27" t="s">
        <v>5055</v>
      </c>
      <c r="D1607" s="10" t="s">
        <v>5056</v>
      </c>
      <c r="E1607" s="28" t="s">
        <v>194</v>
      </c>
      <c r="F1607" s="23" t="s">
        <v>195</v>
      </c>
      <c r="G1607" s="23" t="s">
        <v>196</v>
      </c>
      <c r="H1607" s="23" t="s">
        <v>216</v>
      </c>
      <c r="I1607" s="32"/>
      <c r="J1607" s="23" t="s">
        <v>6</v>
      </c>
      <c r="K1607" s="23" t="str">
        <f t="shared" si="1"/>
        <v>667461</v>
      </c>
      <c r="L1607" s="23"/>
      <c r="M1607" s="26"/>
      <c r="N1607" s="26"/>
      <c r="O1607" s="26"/>
      <c r="P1607" s="26"/>
      <c r="Q1607" s="26"/>
      <c r="R1607" s="26"/>
      <c r="S1607" s="26"/>
      <c r="T1607" s="26"/>
      <c r="U1607" s="26"/>
      <c r="V1607" s="26"/>
      <c r="W1607" s="26"/>
      <c r="X1607" s="26"/>
    </row>
    <row r="1608" hidden="1">
      <c r="A1608" s="10" t="s">
        <v>499</v>
      </c>
      <c r="B1608" s="10" t="s">
        <v>5057</v>
      </c>
      <c r="C1608" s="27" t="s">
        <v>5058</v>
      </c>
      <c r="D1608" s="10" t="s">
        <v>5059</v>
      </c>
      <c r="E1608" s="28" t="s">
        <v>194</v>
      </c>
      <c r="F1608" s="23" t="s">
        <v>1037</v>
      </c>
      <c r="G1608" s="23" t="s">
        <v>196</v>
      </c>
      <c r="H1608" s="23" t="s">
        <v>216</v>
      </c>
      <c r="I1608" s="32"/>
      <c r="J1608" s="23" t="s">
        <v>6</v>
      </c>
      <c r="K1608" s="23" t="str">
        <f t="shared" si="1"/>
        <v>622170</v>
      </c>
      <c r="L1608" s="23"/>
      <c r="M1608" s="26"/>
      <c r="N1608" s="26"/>
      <c r="O1608" s="26"/>
      <c r="P1608" s="26"/>
      <c r="Q1608" s="26"/>
      <c r="R1608" s="26"/>
      <c r="S1608" s="26"/>
      <c r="T1608" s="26"/>
      <c r="U1608" s="26"/>
      <c r="V1608" s="26"/>
      <c r="W1608" s="26"/>
      <c r="X1608" s="26"/>
    </row>
    <row r="1609" hidden="1">
      <c r="A1609" s="10" t="s">
        <v>499</v>
      </c>
      <c r="B1609" s="10" t="s">
        <v>5060</v>
      </c>
      <c r="C1609" s="27" t="s">
        <v>5061</v>
      </c>
      <c r="D1609" s="10" t="s">
        <v>5062</v>
      </c>
      <c r="E1609" s="28" t="s">
        <v>194</v>
      </c>
      <c r="F1609" s="23" t="s">
        <v>1037</v>
      </c>
      <c r="G1609" s="23" t="s">
        <v>196</v>
      </c>
      <c r="H1609" s="23" t="s">
        <v>216</v>
      </c>
      <c r="I1609" s="32"/>
      <c r="J1609" s="23" t="s">
        <v>6</v>
      </c>
      <c r="K1609" s="23" t="str">
        <f t="shared" si="1"/>
        <v>622194</v>
      </c>
      <c r="L1609" s="23"/>
      <c r="M1609" s="26"/>
      <c r="N1609" s="26"/>
      <c r="O1609" s="26"/>
      <c r="P1609" s="26"/>
      <c r="Q1609" s="26"/>
      <c r="R1609" s="26"/>
      <c r="S1609" s="26"/>
      <c r="T1609" s="26"/>
      <c r="U1609" s="26"/>
      <c r="V1609" s="26"/>
      <c r="W1609" s="26"/>
      <c r="X1609" s="26"/>
    </row>
    <row r="1610" hidden="1">
      <c r="A1610" s="10" t="s">
        <v>427</v>
      </c>
      <c r="B1610" s="10" t="s">
        <v>5063</v>
      </c>
      <c r="C1610" s="27" t="s">
        <v>5064</v>
      </c>
      <c r="D1610" s="10" t="s">
        <v>5065</v>
      </c>
      <c r="E1610" s="28" t="s">
        <v>431</v>
      </c>
      <c r="F1610" s="23" t="s">
        <v>933</v>
      </c>
      <c r="G1610" s="23" t="s">
        <v>203</v>
      </c>
      <c r="H1610" s="23" t="s">
        <v>216</v>
      </c>
      <c r="I1610" s="32"/>
      <c r="J1610" s="23" t="s">
        <v>6</v>
      </c>
      <c r="K1610" s="23" t="str">
        <f t="shared" si="1"/>
        <v>649009</v>
      </c>
      <c r="L1610" s="23"/>
      <c r="M1610" s="26"/>
      <c r="N1610" s="26"/>
      <c r="O1610" s="26"/>
      <c r="P1610" s="26"/>
      <c r="Q1610" s="26"/>
      <c r="R1610" s="26"/>
      <c r="S1610" s="26"/>
      <c r="T1610" s="26"/>
      <c r="U1610" s="26"/>
      <c r="V1610" s="26"/>
      <c r="W1610" s="26"/>
      <c r="X1610" s="26"/>
    </row>
    <row r="1611" hidden="1">
      <c r="A1611" s="10" t="s">
        <v>427</v>
      </c>
      <c r="B1611" s="10" t="s">
        <v>5066</v>
      </c>
      <c r="C1611" s="27" t="s">
        <v>5067</v>
      </c>
      <c r="D1611" s="10" t="s">
        <v>5068</v>
      </c>
      <c r="E1611" s="28" t="s">
        <v>418</v>
      </c>
      <c r="F1611" s="23" t="s">
        <v>977</v>
      </c>
      <c r="G1611" s="23" t="s">
        <v>203</v>
      </c>
      <c r="H1611" s="23" t="s">
        <v>216</v>
      </c>
      <c r="I1611" s="32"/>
      <c r="J1611" s="23" t="s">
        <v>6</v>
      </c>
      <c r="K1611" s="23" t="str">
        <f t="shared" si="1"/>
        <v>675442</v>
      </c>
      <c r="L1611" s="23"/>
      <c r="M1611" s="26"/>
      <c r="N1611" s="26"/>
      <c r="O1611" s="26"/>
      <c r="P1611" s="26"/>
      <c r="Q1611" s="26"/>
      <c r="R1611" s="26"/>
      <c r="S1611" s="26"/>
      <c r="T1611" s="26"/>
      <c r="U1611" s="26"/>
      <c r="V1611" s="26"/>
      <c r="W1611" s="26"/>
      <c r="X1611" s="26"/>
    </row>
    <row r="1612" hidden="1">
      <c r="A1612" s="10" t="s">
        <v>427</v>
      </c>
      <c r="B1612" s="10" t="s">
        <v>5069</v>
      </c>
      <c r="C1612" s="27" t="s">
        <v>5070</v>
      </c>
      <c r="D1612" s="10" t="s">
        <v>5071</v>
      </c>
      <c r="E1612" s="28" t="s">
        <v>534</v>
      </c>
      <c r="F1612" s="23" t="s">
        <v>757</v>
      </c>
      <c r="G1612" s="23" t="s">
        <v>203</v>
      </c>
      <c r="H1612" s="23" t="s">
        <v>216</v>
      </c>
      <c r="I1612" s="32"/>
      <c r="J1612" s="23" t="s">
        <v>6</v>
      </c>
      <c r="K1612" s="23" t="str">
        <f t="shared" si="1"/>
        <v>675800</v>
      </c>
      <c r="L1612" s="23"/>
      <c r="M1612" s="26"/>
      <c r="N1612" s="26"/>
      <c r="O1612" s="26"/>
      <c r="P1612" s="26"/>
      <c r="Q1612" s="26"/>
      <c r="R1612" s="26"/>
      <c r="S1612" s="26"/>
      <c r="T1612" s="26"/>
      <c r="U1612" s="26"/>
      <c r="V1612" s="26"/>
      <c r="W1612" s="26"/>
      <c r="X1612" s="26"/>
    </row>
    <row r="1613" hidden="1">
      <c r="A1613" s="10" t="s">
        <v>427</v>
      </c>
      <c r="B1613" s="10" t="s">
        <v>5072</v>
      </c>
      <c r="C1613" s="27" t="s">
        <v>5073</v>
      </c>
      <c r="D1613" s="10" t="s">
        <v>5074</v>
      </c>
      <c r="E1613" s="28" t="s">
        <v>534</v>
      </c>
      <c r="F1613" s="23" t="s">
        <v>757</v>
      </c>
      <c r="G1613" s="23" t="s">
        <v>203</v>
      </c>
      <c r="H1613" s="23" t="s">
        <v>216</v>
      </c>
      <c r="I1613" s="32"/>
      <c r="J1613" s="23" t="s">
        <v>6</v>
      </c>
      <c r="K1613" s="23" t="str">
        <f t="shared" si="1"/>
        <v>654256</v>
      </c>
      <c r="L1613" s="23"/>
      <c r="M1613" s="26"/>
      <c r="N1613" s="26"/>
      <c r="O1613" s="26"/>
      <c r="P1613" s="26"/>
      <c r="Q1613" s="26"/>
      <c r="R1613" s="26"/>
      <c r="S1613" s="26"/>
      <c r="T1613" s="26"/>
      <c r="U1613" s="26"/>
      <c r="V1613" s="26"/>
      <c r="W1613" s="26"/>
      <c r="X1613" s="26"/>
    </row>
    <row r="1614" hidden="1">
      <c r="A1614" s="10" t="s">
        <v>427</v>
      </c>
      <c r="B1614" s="10" t="s">
        <v>5075</v>
      </c>
      <c r="C1614" s="27" t="s">
        <v>5076</v>
      </c>
      <c r="D1614" s="10" t="s">
        <v>5077</v>
      </c>
      <c r="E1614" s="28" t="s">
        <v>431</v>
      </c>
      <c r="F1614" s="23" t="s">
        <v>946</v>
      </c>
      <c r="G1614" s="23" t="s">
        <v>203</v>
      </c>
      <c r="H1614" s="23" t="s">
        <v>216</v>
      </c>
      <c r="I1614" s="32"/>
      <c r="J1614" s="23" t="s">
        <v>6</v>
      </c>
      <c r="K1614" s="23" t="str">
        <f t="shared" si="1"/>
        <v>648965</v>
      </c>
      <c r="L1614" s="23"/>
      <c r="M1614" s="26"/>
      <c r="N1614" s="26"/>
      <c r="O1614" s="26"/>
      <c r="P1614" s="26"/>
      <c r="Q1614" s="26"/>
      <c r="R1614" s="26"/>
      <c r="S1614" s="26"/>
      <c r="T1614" s="26"/>
      <c r="U1614" s="26"/>
      <c r="V1614" s="26"/>
      <c r="W1614" s="26"/>
      <c r="X1614" s="26"/>
    </row>
    <row r="1615" hidden="1">
      <c r="A1615" s="10" t="s">
        <v>427</v>
      </c>
      <c r="B1615" s="10" t="s">
        <v>5078</v>
      </c>
      <c r="C1615" s="27" t="s">
        <v>5079</v>
      </c>
      <c r="D1615" s="10" t="s">
        <v>5080</v>
      </c>
      <c r="E1615" s="28" t="s">
        <v>431</v>
      </c>
      <c r="F1615" s="23" t="s">
        <v>933</v>
      </c>
      <c r="G1615" s="23" t="s">
        <v>203</v>
      </c>
      <c r="H1615" s="23" t="s">
        <v>216</v>
      </c>
      <c r="I1615" s="32"/>
      <c r="J1615" s="23" t="s">
        <v>6</v>
      </c>
      <c r="K1615" s="23" t="str">
        <f t="shared" si="1"/>
        <v>648996</v>
      </c>
      <c r="L1615" s="23"/>
      <c r="M1615" s="26"/>
      <c r="N1615" s="26"/>
      <c r="O1615" s="26"/>
      <c r="P1615" s="26"/>
      <c r="Q1615" s="26"/>
      <c r="R1615" s="26"/>
      <c r="S1615" s="26"/>
      <c r="T1615" s="26"/>
      <c r="U1615" s="26"/>
      <c r="V1615" s="26"/>
      <c r="W1615" s="26"/>
      <c r="X1615" s="26"/>
    </row>
    <row r="1616" hidden="1">
      <c r="A1616" s="10" t="s">
        <v>427</v>
      </c>
      <c r="B1616" s="10" t="s">
        <v>5081</v>
      </c>
      <c r="C1616" s="27" t="s">
        <v>5082</v>
      </c>
      <c r="D1616" s="10" t="s">
        <v>5083</v>
      </c>
      <c r="E1616" s="28" t="s">
        <v>431</v>
      </c>
      <c r="F1616" s="23" t="s">
        <v>1231</v>
      </c>
      <c r="G1616" s="23" t="s">
        <v>203</v>
      </c>
      <c r="H1616" s="23" t="s">
        <v>216</v>
      </c>
      <c r="I1616" s="32"/>
      <c r="J1616" s="23" t="s">
        <v>6</v>
      </c>
      <c r="K1616" s="23" t="str">
        <f t="shared" si="1"/>
        <v>662725</v>
      </c>
      <c r="L1616" s="23"/>
      <c r="M1616" s="26"/>
      <c r="N1616" s="26"/>
      <c r="O1616" s="26"/>
      <c r="P1616" s="26"/>
      <c r="Q1616" s="26"/>
      <c r="R1616" s="26"/>
      <c r="S1616" s="26"/>
      <c r="T1616" s="26"/>
      <c r="U1616" s="26"/>
      <c r="V1616" s="26"/>
      <c r="W1616" s="26"/>
      <c r="X1616" s="26"/>
    </row>
    <row r="1617" hidden="1">
      <c r="A1617" s="10" t="s">
        <v>427</v>
      </c>
      <c r="B1617" s="10" t="s">
        <v>5084</v>
      </c>
      <c r="C1617" s="27" t="s">
        <v>5085</v>
      </c>
      <c r="D1617" s="10" t="s">
        <v>5086</v>
      </c>
      <c r="E1617" s="28" t="s">
        <v>431</v>
      </c>
      <c r="F1617" s="23" t="s">
        <v>1231</v>
      </c>
      <c r="G1617" s="23" t="s">
        <v>203</v>
      </c>
      <c r="H1617" s="23" t="s">
        <v>216</v>
      </c>
      <c r="I1617" s="32"/>
      <c r="J1617" s="23" t="s">
        <v>6</v>
      </c>
      <c r="K1617" s="23" t="str">
        <f t="shared" si="1"/>
        <v>632643</v>
      </c>
      <c r="L1617" s="23"/>
      <c r="M1617" s="26"/>
      <c r="N1617" s="26"/>
      <c r="O1617" s="26"/>
      <c r="P1617" s="26"/>
      <c r="Q1617" s="26"/>
      <c r="R1617" s="26"/>
      <c r="S1617" s="26"/>
      <c r="T1617" s="26"/>
      <c r="U1617" s="26"/>
      <c r="V1617" s="26"/>
      <c r="W1617" s="26"/>
      <c r="X1617" s="26"/>
    </row>
    <row r="1618" hidden="1">
      <c r="A1618" s="10" t="s">
        <v>427</v>
      </c>
      <c r="B1618" s="10" t="s">
        <v>5087</v>
      </c>
      <c r="C1618" s="27" t="s">
        <v>5088</v>
      </c>
      <c r="D1618" s="10" t="s">
        <v>5089</v>
      </c>
      <c r="E1618" s="28" t="s">
        <v>431</v>
      </c>
      <c r="F1618" s="23" t="s">
        <v>1788</v>
      </c>
      <c r="G1618" s="23" t="s">
        <v>203</v>
      </c>
      <c r="H1618" s="23" t="s">
        <v>216</v>
      </c>
      <c r="I1618" s="32"/>
      <c r="J1618" s="23" t="s">
        <v>6</v>
      </c>
      <c r="K1618" s="23" t="str">
        <f t="shared" si="1"/>
        <v>627717</v>
      </c>
      <c r="L1618" s="23"/>
      <c r="M1618" s="26"/>
      <c r="N1618" s="26"/>
      <c r="O1618" s="26"/>
      <c r="P1618" s="26"/>
      <c r="Q1618" s="26"/>
      <c r="R1618" s="26"/>
      <c r="S1618" s="26"/>
      <c r="T1618" s="26"/>
      <c r="U1618" s="26"/>
      <c r="V1618" s="26"/>
      <c r="W1618" s="26"/>
      <c r="X1618" s="26"/>
    </row>
    <row r="1619" hidden="1">
      <c r="A1619" s="10" t="s">
        <v>427</v>
      </c>
      <c r="B1619" s="10" t="s">
        <v>5090</v>
      </c>
      <c r="C1619" s="27" t="s">
        <v>5091</v>
      </c>
      <c r="D1619" s="10" t="s">
        <v>5092</v>
      </c>
      <c r="E1619" s="28" t="s">
        <v>431</v>
      </c>
      <c r="F1619" s="23" t="s">
        <v>950</v>
      </c>
      <c r="G1619" s="23" t="s">
        <v>203</v>
      </c>
      <c r="H1619" s="23" t="s">
        <v>216</v>
      </c>
      <c r="I1619" s="32"/>
      <c r="J1619" s="23" t="s">
        <v>6</v>
      </c>
      <c r="K1619" s="23" t="str">
        <f t="shared" si="1"/>
        <v>627977</v>
      </c>
      <c r="L1619" s="23"/>
      <c r="M1619" s="26"/>
      <c r="N1619" s="26"/>
      <c r="O1619" s="26"/>
      <c r="P1619" s="26"/>
      <c r="Q1619" s="26"/>
      <c r="R1619" s="26"/>
      <c r="S1619" s="26"/>
      <c r="T1619" s="26"/>
      <c r="U1619" s="26"/>
      <c r="V1619" s="26"/>
      <c r="W1619" s="26"/>
      <c r="X1619" s="26"/>
    </row>
    <row r="1620" hidden="1">
      <c r="A1620" s="10" t="s">
        <v>427</v>
      </c>
      <c r="B1620" s="10" t="s">
        <v>5093</v>
      </c>
      <c r="C1620" s="27" t="s">
        <v>5094</v>
      </c>
      <c r="D1620" s="10" t="s">
        <v>5095</v>
      </c>
      <c r="E1620" s="28" t="s">
        <v>534</v>
      </c>
      <c r="F1620" s="23" t="s">
        <v>1238</v>
      </c>
      <c r="G1620" s="23" t="s">
        <v>203</v>
      </c>
      <c r="H1620" s="23" t="s">
        <v>216</v>
      </c>
      <c r="I1620" s="32"/>
      <c r="J1620" s="23" t="s">
        <v>6</v>
      </c>
      <c r="K1620" s="23" t="str">
        <f t="shared" si="1"/>
        <v>643977</v>
      </c>
      <c r="L1620" s="23"/>
      <c r="M1620" s="26"/>
      <c r="N1620" s="26"/>
      <c r="O1620" s="26"/>
      <c r="P1620" s="26"/>
      <c r="Q1620" s="26"/>
      <c r="R1620" s="26"/>
      <c r="S1620" s="26"/>
      <c r="T1620" s="26"/>
      <c r="U1620" s="26"/>
      <c r="V1620" s="26"/>
      <c r="W1620" s="26"/>
      <c r="X1620" s="26"/>
    </row>
    <row r="1621" hidden="1">
      <c r="A1621" s="10" t="s">
        <v>427</v>
      </c>
      <c r="B1621" s="10" t="s">
        <v>5096</v>
      </c>
      <c r="C1621" s="27" t="s">
        <v>5097</v>
      </c>
      <c r="D1621" s="10" t="s">
        <v>5098</v>
      </c>
      <c r="E1621" s="28" t="s">
        <v>431</v>
      </c>
      <c r="F1621" s="23" t="s">
        <v>946</v>
      </c>
      <c r="G1621" s="23" t="s">
        <v>203</v>
      </c>
      <c r="H1621" s="23" t="s">
        <v>216</v>
      </c>
      <c r="I1621" s="32"/>
      <c r="J1621" s="23" t="s">
        <v>6</v>
      </c>
      <c r="K1621" s="23" t="str">
        <f t="shared" si="1"/>
        <v>623641</v>
      </c>
      <c r="L1621" s="23"/>
      <c r="M1621" s="26"/>
      <c r="N1621" s="26"/>
      <c r="O1621" s="26"/>
      <c r="P1621" s="26"/>
      <c r="Q1621" s="26"/>
      <c r="R1621" s="26"/>
      <c r="S1621" s="26"/>
      <c r="T1621" s="26"/>
      <c r="U1621" s="26"/>
      <c r="V1621" s="26"/>
      <c r="W1621" s="26"/>
      <c r="X1621" s="26"/>
    </row>
    <row r="1622" hidden="1">
      <c r="A1622" s="10" t="s">
        <v>427</v>
      </c>
      <c r="B1622" s="10" t="s">
        <v>5099</v>
      </c>
      <c r="C1622" s="27" t="s">
        <v>5100</v>
      </c>
      <c r="D1622" s="10" t="s">
        <v>5101</v>
      </c>
      <c r="E1622" s="28" t="s">
        <v>534</v>
      </c>
      <c r="F1622" s="23" t="s">
        <v>1242</v>
      </c>
      <c r="G1622" s="23" t="s">
        <v>203</v>
      </c>
      <c r="H1622" s="23" t="s">
        <v>216</v>
      </c>
      <c r="I1622" s="32"/>
      <c r="J1622" s="23" t="s">
        <v>6</v>
      </c>
      <c r="K1622" s="23" t="str">
        <f t="shared" si="1"/>
        <v>638300</v>
      </c>
      <c r="L1622" s="23"/>
      <c r="M1622" s="26"/>
      <c r="N1622" s="26"/>
      <c r="O1622" s="26"/>
      <c r="P1622" s="26"/>
      <c r="Q1622" s="26"/>
      <c r="R1622" s="26"/>
      <c r="S1622" s="26"/>
      <c r="T1622" s="26"/>
      <c r="U1622" s="26"/>
      <c r="V1622" s="26"/>
      <c r="W1622" s="26"/>
      <c r="X1622" s="26"/>
    </row>
    <row r="1623" hidden="1">
      <c r="A1623" s="10" t="s">
        <v>427</v>
      </c>
      <c r="B1623" s="10" t="s">
        <v>5102</v>
      </c>
      <c r="C1623" s="27" t="s">
        <v>5103</v>
      </c>
      <c r="D1623" s="10" t="s">
        <v>5104</v>
      </c>
      <c r="E1623" s="28" t="s">
        <v>534</v>
      </c>
      <c r="F1623" s="23" t="s">
        <v>954</v>
      </c>
      <c r="G1623" s="23" t="s">
        <v>203</v>
      </c>
      <c r="H1623" s="23" t="s">
        <v>216</v>
      </c>
      <c r="I1623" s="32"/>
      <c r="J1623" s="23" t="s">
        <v>6</v>
      </c>
      <c r="K1623" s="23" t="str">
        <f t="shared" si="1"/>
        <v>645209</v>
      </c>
      <c r="L1623" s="23"/>
      <c r="M1623" s="26"/>
      <c r="N1623" s="26"/>
      <c r="O1623" s="26"/>
      <c r="P1623" s="26"/>
      <c r="Q1623" s="26"/>
      <c r="R1623" s="26"/>
      <c r="S1623" s="26"/>
      <c r="T1623" s="26"/>
      <c r="U1623" s="26"/>
      <c r="V1623" s="26"/>
      <c r="W1623" s="26"/>
      <c r="X1623" s="26"/>
    </row>
    <row r="1624" hidden="1">
      <c r="A1624" s="10" t="s">
        <v>427</v>
      </c>
      <c r="B1624" s="10" t="s">
        <v>5105</v>
      </c>
      <c r="C1624" s="27" t="s">
        <v>5106</v>
      </c>
      <c r="D1624" s="10" t="s">
        <v>5107</v>
      </c>
      <c r="E1624" s="28" t="s">
        <v>604</v>
      </c>
      <c r="F1624" s="23" t="s">
        <v>605</v>
      </c>
      <c r="G1624" s="23" t="s">
        <v>203</v>
      </c>
      <c r="H1624" s="23" t="s">
        <v>216</v>
      </c>
      <c r="I1624" s="32"/>
      <c r="J1624" s="23" t="s">
        <v>6</v>
      </c>
      <c r="K1624" s="23" t="str">
        <f t="shared" si="1"/>
        <v>677941</v>
      </c>
      <c r="L1624" s="23"/>
      <c r="M1624" s="26"/>
      <c r="N1624" s="26"/>
      <c r="O1624" s="26"/>
      <c r="P1624" s="26"/>
      <c r="Q1624" s="26"/>
      <c r="R1624" s="26"/>
      <c r="S1624" s="26"/>
      <c r="T1624" s="26"/>
      <c r="U1624" s="26"/>
      <c r="V1624" s="26"/>
      <c r="W1624" s="26"/>
      <c r="X1624" s="26"/>
    </row>
    <row r="1625" hidden="1">
      <c r="A1625" s="10" t="s">
        <v>427</v>
      </c>
      <c r="B1625" s="10" t="s">
        <v>5108</v>
      </c>
      <c r="C1625" s="27" t="s">
        <v>5109</v>
      </c>
      <c r="D1625" s="10" t="s">
        <v>5110</v>
      </c>
      <c r="E1625" s="28" t="s">
        <v>431</v>
      </c>
      <c r="F1625" s="23" t="s">
        <v>1867</v>
      </c>
      <c r="G1625" s="23" t="s">
        <v>203</v>
      </c>
      <c r="H1625" s="23" t="s">
        <v>216</v>
      </c>
      <c r="I1625" s="32"/>
      <c r="J1625" s="23" t="s">
        <v>6</v>
      </c>
      <c r="K1625" s="23" t="str">
        <f t="shared" si="1"/>
        <v>637679</v>
      </c>
      <c r="L1625" s="23"/>
      <c r="M1625" s="26"/>
      <c r="N1625" s="26"/>
      <c r="O1625" s="26"/>
      <c r="P1625" s="26"/>
      <c r="Q1625" s="26"/>
      <c r="R1625" s="26"/>
      <c r="S1625" s="26"/>
      <c r="T1625" s="26"/>
      <c r="U1625" s="26"/>
      <c r="V1625" s="26"/>
      <c r="W1625" s="26"/>
      <c r="X1625" s="26"/>
    </row>
    <row r="1626" hidden="1">
      <c r="A1626" s="10" t="s">
        <v>427</v>
      </c>
      <c r="B1626" s="10" t="s">
        <v>5111</v>
      </c>
      <c r="C1626" s="27" t="s">
        <v>5112</v>
      </c>
      <c r="D1626" s="10" t="s">
        <v>5113</v>
      </c>
      <c r="E1626" s="28" t="s">
        <v>534</v>
      </c>
      <c r="F1626" s="23" t="s">
        <v>757</v>
      </c>
      <c r="G1626" s="23" t="s">
        <v>203</v>
      </c>
      <c r="H1626" s="23" t="s">
        <v>216</v>
      </c>
      <c r="I1626" s="32"/>
      <c r="J1626" s="23" t="s">
        <v>6</v>
      </c>
      <c r="K1626" s="23" t="str">
        <f t="shared" si="1"/>
        <v>643618</v>
      </c>
      <c r="L1626" s="23"/>
      <c r="M1626" s="26"/>
      <c r="N1626" s="26"/>
      <c r="O1626" s="26"/>
      <c r="P1626" s="26"/>
      <c r="Q1626" s="26"/>
      <c r="R1626" s="26"/>
      <c r="S1626" s="26"/>
      <c r="T1626" s="26"/>
      <c r="U1626" s="26"/>
      <c r="V1626" s="26"/>
      <c r="W1626" s="26"/>
      <c r="X1626" s="26"/>
    </row>
    <row r="1627" hidden="1">
      <c r="A1627" s="10" t="s">
        <v>427</v>
      </c>
      <c r="B1627" s="10" t="s">
        <v>5114</v>
      </c>
      <c r="C1627" s="27" t="s">
        <v>5115</v>
      </c>
      <c r="D1627" s="10" t="s">
        <v>5116</v>
      </c>
      <c r="E1627" s="28" t="s">
        <v>431</v>
      </c>
      <c r="F1627" s="23" t="s">
        <v>933</v>
      </c>
      <c r="G1627" s="23" t="s">
        <v>203</v>
      </c>
      <c r="H1627" s="23" t="s">
        <v>216</v>
      </c>
      <c r="I1627" s="32"/>
      <c r="J1627" s="23" t="s">
        <v>6</v>
      </c>
      <c r="K1627" s="23" t="str">
        <f t="shared" si="1"/>
        <v>623627</v>
      </c>
      <c r="L1627" s="23"/>
      <c r="M1627" s="26"/>
      <c r="N1627" s="26"/>
      <c r="O1627" s="26"/>
      <c r="P1627" s="26"/>
      <c r="Q1627" s="26"/>
      <c r="R1627" s="26"/>
      <c r="S1627" s="26"/>
      <c r="T1627" s="26"/>
      <c r="U1627" s="26"/>
      <c r="V1627" s="26"/>
      <c r="W1627" s="26"/>
      <c r="X1627" s="26"/>
    </row>
    <row r="1628" hidden="1">
      <c r="A1628" s="10" t="s">
        <v>427</v>
      </c>
      <c r="B1628" s="10" t="s">
        <v>5117</v>
      </c>
      <c r="C1628" s="27" t="s">
        <v>5118</v>
      </c>
      <c r="D1628" s="10" t="s">
        <v>5119</v>
      </c>
      <c r="E1628" s="28" t="s">
        <v>1047</v>
      </c>
      <c r="F1628" s="23" t="s">
        <v>1848</v>
      </c>
      <c r="G1628" s="23" t="s">
        <v>203</v>
      </c>
      <c r="H1628" s="23" t="s">
        <v>216</v>
      </c>
      <c r="I1628" s="32"/>
      <c r="J1628" s="23" t="s">
        <v>6</v>
      </c>
      <c r="K1628" s="23" t="str">
        <f t="shared" si="1"/>
        <v>673035</v>
      </c>
      <c r="L1628" s="23"/>
      <c r="M1628" s="26"/>
      <c r="N1628" s="26"/>
      <c r="O1628" s="26"/>
      <c r="P1628" s="26"/>
      <c r="Q1628" s="26"/>
      <c r="R1628" s="26"/>
      <c r="S1628" s="26"/>
      <c r="T1628" s="26"/>
      <c r="U1628" s="26"/>
      <c r="V1628" s="26"/>
      <c r="W1628" s="26"/>
      <c r="X1628" s="26"/>
    </row>
    <row r="1629" hidden="1">
      <c r="A1629" s="10" t="s">
        <v>427</v>
      </c>
      <c r="B1629" s="10" t="s">
        <v>5120</v>
      </c>
      <c r="C1629" s="27" t="s">
        <v>5121</v>
      </c>
      <c r="D1629" s="10" t="s">
        <v>5122</v>
      </c>
      <c r="E1629" s="28" t="s">
        <v>529</v>
      </c>
      <c r="F1629" s="23" t="s">
        <v>530</v>
      </c>
      <c r="G1629" s="23" t="s">
        <v>203</v>
      </c>
      <c r="H1629" s="23" t="s">
        <v>216</v>
      </c>
      <c r="I1629" s="32"/>
      <c r="J1629" s="23" t="s">
        <v>6</v>
      </c>
      <c r="K1629" s="23" t="str">
        <f t="shared" si="1"/>
        <v>670904</v>
      </c>
      <c r="L1629" s="23"/>
      <c r="M1629" s="26"/>
      <c r="N1629" s="26"/>
      <c r="O1629" s="26"/>
      <c r="P1629" s="26"/>
      <c r="Q1629" s="26"/>
      <c r="R1629" s="26"/>
      <c r="S1629" s="26"/>
      <c r="T1629" s="26"/>
      <c r="U1629" s="26"/>
      <c r="V1629" s="26"/>
      <c r="W1629" s="26"/>
      <c r="X1629" s="26"/>
    </row>
    <row r="1630" hidden="1">
      <c r="A1630" s="10" t="s">
        <v>427</v>
      </c>
      <c r="B1630" s="10" t="s">
        <v>5123</v>
      </c>
      <c r="C1630" s="27" t="s">
        <v>5124</v>
      </c>
      <c r="D1630" s="10" t="s">
        <v>5125</v>
      </c>
      <c r="E1630" s="28" t="s">
        <v>431</v>
      </c>
      <c r="F1630" s="23" t="s">
        <v>1788</v>
      </c>
      <c r="G1630" s="23" t="s">
        <v>203</v>
      </c>
      <c r="H1630" s="23" t="s">
        <v>216</v>
      </c>
      <c r="I1630" s="32"/>
      <c r="J1630" s="23" t="s">
        <v>6</v>
      </c>
      <c r="K1630" s="23" t="str">
        <f t="shared" si="1"/>
        <v>657363</v>
      </c>
      <c r="L1630" s="23"/>
      <c r="M1630" s="26"/>
      <c r="N1630" s="26"/>
      <c r="O1630" s="26"/>
      <c r="P1630" s="26"/>
      <c r="Q1630" s="26"/>
      <c r="R1630" s="26"/>
      <c r="S1630" s="26"/>
      <c r="T1630" s="26"/>
      <c r="U1630" s="26"/>
      <c r="V1630" s="26"/>
      <c r="W1630" s="26"/>
      <c r="X1630" s="26"/>
    </row>
    <row r="1631" hidden="1">
      <c r="A1631" s="10" t="s">
        <v>427</v>
      </c>
      <c r="B1631" s="10" t="s">
        <v>5126</v>
      </c>
      <c r="C1631" s="27" t="s">
        <v>5127</v>
      </c>
      <c r="D1631" s="10" t="s">
        <v>5128</v>
      </c>
      <c r="E1631" s="28" t="s">
        <v>580</v>
      </c>
      <c r="F1631" s="23" t="s">
        <v>581</v>
      </c>
      <c r="G1631" s="23" t="s">
        <v>203</v>
      </c>
      <c r="H1631" s="23" t="s">
        <v>216</v>
      </c>
      <c r="I1631" s="32"/>
      <c r="J1631" s="23" t="s">
        <v>6</v>
      </c>
      <c r="K1631" s="23" t="str">
        <f t="shared" si="1"/>
        <v>673400</v>
      </c>
      <c r="L1631" s="23"/>
      <c r="M1631" s="26"/>
      <c r="N1631" s="26"/>
      <c r="O1631" s="26"/>
      <c r="P1631" s="26"/>
      <c r="Q1631" s="26"/>
      <c r="R1631" s="26"/>
      <c r="S1631" s="26"/>
      <c r="T1631" s="26"/>
      <c r="U1631" s="26"/>
      <c r="V1631" s="26"/>
      <c r="W1631" s="26"/>
      <c r="X1631" s="26"/>
    </row>
    <row r="1632" hidden="1">
      <c r="A1632" s="10" t="s">
        <v>427</v>
      </c>
      <c r="B1632" s="10" t="s">
        <v>5129</v>
      </c>
      <c r="C1632" s="27" t="s">
        <v>5130</v>
      </c>
      <c r="D1632" s="10" t="s">
        <v>5131</v>
      </c>
      <c r="E1632" s="28" t="s">
        <v>431</v>
      </c>
      <c r="F1632" s="23" t="s">
        <v>1788</v>
      </c>
      <c r="G1632" s="23" t="s">
        <v>203</v>
      </c>
      <c r="H1632" s="23" t="s">
        <v>216</v>
      </c>
      <c r="I1632" s="32"/>
      <c r="J1632" s="23" t="s">
        <v>6</v>
      </c>
      <c r="K1632" s="23" t="str">
        <f t="shared" si="1"/>
        <v>657370</v>
      </c>
      <c r="L1632" s="23"/>
      <c r="M1632" s="26"/>
      <c r="N1632" s="26"/>
      <c r="O1632" s="26"/>
      <c r="P1632" s="26"/>
      <c r="Q1632" s="26"/>
      <c r="R1632" s="26"/>
      <c r="S1632" s="26"/>
      <c r="T1632" s="26"/>
      <c r="U1632" s="26"/>
      <c r="V1632" s="26"/>
      <c r="W1632" s="26"/>
      <c r="X1632" s="26"/>
    </row>
    <row r="1633" hidden="1">
      <c r="A1633" s="10" t="s">
        <v>427</v>
      </c>
      <c r="B1633" s="10" t="s">
        <v>5132</v>
      </c>
      <c r="C1633" s="27" t="s">
        <v>5133</v>
      </c>
      <c r="D1633" s="10" t="s">
        <v>5134</v>
      </c>
      <c r="E1633" s="28" t="s">
        <v>431</v>
      </c>
      <c r="F1633" s="23" t="s">
        <v>1053</v>
      </c>
      <c r="G1633" s="23" t="s">
        <v>203</v>
      </c>
      <c r="H1633" s="23" t="s">
        <v>216</v>
      </c>
      <c r="I1633" s="32"/>
      <c r="J1633" s="23" t="s">
        <v>6</v>
      </c>
      <c r="K1633" s="23" t="str">
        <f t="shared" si="1"/>
        <v>670379</v>
      </c>
      <c r="L1633" s="23"/>
      <c r="M1633" s="26"/>
      <c r="N1633" s="26"/>
      <c r="O1633" s="26"/>
      <c r="P1633" s="26"/>
      <c r="Q1633" s="26"/>
      <c r="R1633" s="26"/>
      <c r="S1633" s="26"/>
      <c r="T1633" s="26"/>
      <c r="U1633" s="26"/>
      <c r="V1633" s="26"/>
      <c r="W1633" s="26"/>
      <c r="X1633" s="26"/>
    </row>
    <row r="1634" hidden="1">
      <c r="A1634" s="10" t="s">
        <v>427</v>
      </c>
      <c r="B1634" s="10" t="s">
        <v>5135</v>
      </c>
      <c r="C1634" s="27" t="s">
        <v>5136</v>
      </c>
      <c r="D1634" s="10" t="s">
        <v>5137</v>
      </c>
      <c r="E1634" s="28" t="s">
        <v>431</v>
      </c>
      <c r="F1634" s="23" t="s">
        <v>1231</v>
      </c>
      <c r="G1634" s="23" t="s">
        <v>203</v>
      </c>
      <c r="H1634" s="23" t="s">
        <v>216</v>
      </c>
      <c r="I1634" s="32"/>
      <c r="J1634" s="23" t="s">
        <v>6</v>
      </c>
      <c r="K1634" s="23" t="str">
        <f t="shared" si="1"/>
        <v>667362</v>
      </c>
      <c r="L1634" s="23"/>
      <c r="M1634" s="26"/>
      <c r="N1634" s="26"/>
      <c r="O1634" s="26"/>
      <c r="P1634" s="26"/>
      <c r="Q1634" s="26"/>
      <c r="R1634" s="26"/>
      <c r="S1634" s="26"/>
      <c r="T1634" s="26"/>
      <c r="U1634" s="26"/>
      <c r="V1634" s="26"/>
      <c r="W1634" s="26"/>
      <c r="X1634" s="26"/>
    </row>
    <row r="1635" hidden="1">
      <c r="A1635" s="10" t="s">
        <v>427</v>
      </c>
      <c r="B1635" s="10" t="s">
        <v>5138</v>
      </c>
      <c r="C1635" s="27" t="s">
        <v>5139</v>
      </c>
      <c r="D1635" s="10" t="s">
        <v>5140</v>
      </c>
      <c r="E1635" s="28" t="s">
        <v>431</v>
      </c>
      <c r="F1635" s="23" t="s">
        <v>1235</v>
      </c>
      <c r="G1635" s="23" t="s">
        <v>203</v>
      </c>
      <c r="H1635" s="23" t="s">
        <v>216</v>
      </c>
      <c r="I1635" s="32"/>
      <c r="J1635" s="23" t="s">
        <v>6</v>
      </c>
      <c r="K1635" s="23" t="str">
        <f t="shared" si="1"/>
        <v>670591</v>
      </c>
      <c r="L1635" s="23"/>
      <c r="M1635" s="26"/>
      <c r="N1635" s="26"/>
      <c r="O1635" s="26"/>
      <c r="P1635" s="26"/>
      <c r="Q1635" s="26"/>
      <c r="R1635" s="26"/>
      <c r="S1635" s="26"/>
      <c r="T1635" s="26"/>
      <c r="U1635" s="26"/>
      <c r="V1635" s="26"/>
      <c r="W1635" s="26"/>
      <c r="X1635" s="26"/>
    </row>
    <row r="1636" hidden="1">
      <c r="A1636" s="10" t="s">
        <v>427</v>
      </c>
      <c r="B1636" s="10" t="s">
        <v>5141</v>
      </c>
      <c r="C1636" s="27" t="s">
        <v>5142</v>
      </c>
      <c r="D1636" s="10" t="s">
        <v>5143</v>
      </c>
      <c r="E1636" s="28" t="s">
        <v>418</v>
      </c>
      <c r="F1636" s="23" t="s">
        <v>419</v>
      </c>
      <c r="G1636" s="23" t="s">
        <v>203</v>
      </c>
      <c r="H1636" s="23" t="s">
        <v>216</v>
      </c>
      <c r="I1636" s="32"/>
      <c r="J1636" s="23" t="s">
        <v>6</v>
      </c>
      <c r="K1636" s="23" t="str">
        <f t="shared" si="1"/>
        <v>663135</v>
      </c>
      <c r="L1636" s="23"/>
      <c r="M1636" s="26"/>
      <c r="N1636" s="26"/>
      <c r="O1636" s="26"/>
      <c r="P1636" s="26"/>
      <c r="Q1636" s="26"/>
      <c r="R1636" s="26"/>
      <c r="S1636" s="26"/>
      <c r="T1636" s="26"/>
      <c r="U1636" s="26"/>
      <c r="V1636" s="26"/>
      <c r="W1636" s="26"/>
      <c r="X1636" s="26"/>
    </row>
    <row r="1637" hidden="1">
      <c r="A1637" s="10" t="s">
        <v>427</v>
      </c>
      <c r="B1637" s="10" t="s">
        <v>5144</v>
      </c>
      <c r="C1637" s="27" t="s">
        <v>5145</v>
      </c>
      <c r="D1637" s="10" t="s">
        <v>5146</v>
      </c>
      <c r="E1637" s="28" t="s">
        <v>580</v>
      </c>
      <c r="F1637" s="23" t="s">
        <v>585</v>
      </c>
      <c r="G1637" s="23" t="s">
        <v>203</v>
      </c>
      <c r="H1637" s="23" t="s">
        <v>216</v>
      </c>
      <c r="I1637" s="32"/>
      <c r="J1637" s="23" t="s">
        <v>6</v>
      </c>
      <c r="K1637" s="23" t="str">
        <f t="shared" si="1"/>
        <v>673417</v>
      </c>
      <c r="L1637" s="23"/>
      <c r="M1637" s="26"/>
      <c r="N1637" s="26"/>
      <c r="O1637" s="26"/>
      <c r="P1637" s="26"/>
      <c r="Q1637" s="26"/>
      <c r="R1637" s="26"/>
      <c r="S1637" s="26"/>
      <c r="T1637" s="26"/>
      <c r="U1637" s="26"/>
      <c r="V1637" s="26"/>
      <c r="W1637" s="26"/>
      <c r="X1637" s="26"/>
    </row>
    <row r="1638" hidden="1">
      <c r="A1638" s="10" t="s">
        <v>427</v>
      </c>
      <c r="B1638" s="10" t="s">
        <v>5147</v>
      </c>
      <c r="C1638" s="27" t="s">
        <v>5148</v>
      </c>
      <c r="D1638" s="10" t="s">
        <v>5149</v>
      </c>
      <c r="E1638" s="28" t="s">
        <v>431</v>
      </c>
      <c r="F1638" s="23" t="s">
        <v>432</v>
      </c>
      <c r="G1638" s="23" t="s">
        <v>203</v>
      </c>
      <c r="H1638" s="23" t="s">
        <v>216</v>
      </c>
      <c r="I1638" s="32"/>
      <c r="J1638" s="23" t="s">
        <v>6</v>
      </c>
      <c r="K1638" s="23" t="str">
        <f t="shared" si="1"/>
        <v>678887</v>
      </c>
      <c r="L1638" s="23"/>
      <c r="M1638" s="26"/>
      <c r="N1638" s="26"/>
      <c r="O1638" s="26"/>
      <c r="P1638" s="26"/>
      <c r="Q1638" s="26"/>
      <c r="R1638" s="26"/>
      <c r="S1638" s="26"/>
      <c r="T1638" s="26"/>
      <c r="U1638" s="26"/>
      <c r="V1638" s="26"/>
      <c r="W1638" s="26"/>
      <c r="X1638" s="26"/>
    </row>
    <row r="1639" hidden="1">
      <c r="A1639" s="10" t="s">
        <v>427</v>
      </c>
      <c r="B1639" s="10" t="s">
        <v>5150</v>
      </c>
      <c r="C1639" s="27" t="s">
        <v>5151</v>
      </c>
      <c r="D1639" s="10" t="s">
        <v>5152</v>
      </c>
      <c r="E1639" s="28" t="s">
        <v>534</v>
      </c>
      <c r="F1639" s="23" t="s">
        <v>757</v>
      </c>
      <c r="G1639" s="23" t="s">
        <v>203</v>
      </c>
      <c r="H1639" s="23" t="s">
        <v>216</v>
      </c>
      <c r="I1639" s="32"/>
      <c r="J1639" s="23" t="s">
        <v>6</v>
      </c>
      <c r="K1639" s="23" t="str">
        <f t="shared" si="1"/>
        <v>643625</v>
      </c>
      <c r="L1639" s="23"/>
      <c r="M1639" s="26"/>
      <c r="N1639" s="26"/>
      <c r="O1639" s="26"/>
      <c r="P1639" s="26"/>
      <c r="Q1639" s="26"/>
      <c r="R1639" s="26"/>
      <c r="S1639" s="26"/>
      <c r="T1639" s="26"/>
      <c r="U1639" s="26"/>
      <c r="V1639" s="26"/>
      <c r="W1639" s="26"/>
      <c r="X1639" s="26"/>
    </row>
    <row r="1640" hidden="1">
      <c r="A1640" s="10" t="s">
        <v>427</v>
      </c>
      <c r="B1640" s="10" t="s">
        <v>5153</v>
      </c>
      <c r="C1640" s="27" t="s">
        <v>5154</v>
      </c>
      <c r="D1640" s="10" t="s">
        <v>5155</v>
      </c>
      <c r="E1640" s="28" t="s">
        <v>431</v>
      </c>
      <c r="F1640" s="23" t="s">
        <v>946</v>
      </c>
      <c r="G1640" s="23" t="s">
        <v>203</v>
      </c>
      <c r="H1640" s="23" t="s">
        <v>216</v>
      </c>
      <c r="I1640" s="32"/>
      <c r="J1640" s="23" t="s">
        <v>6</v>
      </c>
      <c r="K1640" s="23" t="str">
        <f t="shared" si="1"/>
        <v>648972</v>
      </c>
      <c r="L1640" s="23"/>
      <c r="M1640" s="26"/>
      <c r="N1640" s="26"/>
      <c r="O1640" s="26"/>
      <c r="P1640" s="26"/>
      <c r="Q1640" s="26"/>
      <c r="R1640" s="26"/>
      <c r="S1640" s="26"/>
      <c r="T1640" s="26"/>
      <c r="U1640" s="26"/>
      <c r="V1640" s="26"/>
      <c r="W1640" s="26"/>
      <c r="X1640" s="26"/>
    </row>
    <row r="1641" hidden="1">
      <c r="A1641" s="10" t="s">
        <v>427</v>
      </c>
      <c r="B1641" s="10" t="s">
        <v>5156</v>
      </c>
      <c r="C1641" s="27" t="s">
        <v>5157</v>
      </c>
      <c r="D1641" s="10" t="s">
        <v>5158</v>
      </c>
      <c r="E1641" s="28" t="s">
        <v>431</v>
      </c>
      <c r="F1641" s="23" t="s">
        <v>946</v>
      </c>
      <c r="G1641" s="23" t="s">
        <v>203</v>
      </c>
      <c r="H1641" s="23" t="s">
        <v>216</v>
      </c>
      <c r="I1641" s="32"/>
      <c r="J1641" s="23" t="s">
        <v>6</v>
      </c>
      <c r="K1641" s="23" t="str">
        <f t="shared" si="1"/>
        <v>636788</v>
      </c>
      <c r="L1641" s="23"/>
      <c r="M1641" s="26"/>
      <c r="N1641" s="26"/>
      <c r="O1641" s="26"/>
      <c r="P1641" s="26"/>
      <c r="Q1641" s="26"/>
      <c r="R1641" s="26"/>
      <c r="S1641" s="26"/>
      <c r="T1641" s="26"/>
      <c r="U1641" s="26"/>
      <c r="V1641" s="26"/>
      <c r="W1641" s="26"/>
      <c r="X1641" s="26"/>
    </row>
    <row r="1642" hidden="1">
      <c r="A1642" s="10" t="s">
        <v>427</v>
      </c>
      <c r="B1642" s="10" t="s">
        <v>5159</v>
      </c>
      <c r="C1642" s="27" t="s">
        <v>5160</v>
      </c>
      <c r="D1642" s="10" t="s">
        <v>5161</v>
      </c>
      <c r="E1642" s="28" t="s">
        <v>534</v>
      </c>
      <c r="F1642" s="23" t="s">
        <v>1242</v>
      </c>
      <c r="G1642" s="23" t="s">
        <v>203</v>
      </c>
      <c r="H1642" s="23" t="s">
        <v>216</v>
      </c>
      <c r="I1642" s="32"/>
      <c r="J1642" s="23" t="s">
        <v>6</v>
      </c>
      <c r="K1642" s="23" t="str">
        <f t="shared" si="1"/>
        <v>650203</v>
      </c>
      <c r="L1642" s="23"/>
      <c r="M1642" s="26"/>
      <c r="N1642" s="26"/>
      <c r="O1642" s="26"/>
      <c r="P1642" s="26"/>
      <c r="Q1642" s="26"/>
      <c r="R1642" s="26"/>
      <c r="S1642" s="26"/>
      <c r="T1642" s="26"/>
      <c r="U1642" s="26"/>
      <c r="V1642" s="26"/>
      <c r="W1642" s="26"/>
      <c r="X1642" s="26"/>
    </row>
    <row r="1643" hidden="1">
      <c r="A1643" s="10" t="s">
        <v>427</v>
      </c>
      <c r="B1643" s="10" t="s">
        <v>5162</v>
      </c>
      <c r="C1643" s="27" t="s">
        <v>5163</v>
      </c>
      <c r="D1643" s="10" t="s">
        <v>5164</v>
      </c>
      <c r="E1643" s="28" t="s">
        <v>431</v>
      </c>
      <c r="F1643" s="23" t="s">
        <v>1867</v>
      </c>
      <c r="G1643" s="23" t="s">
        <v>203</v>
      </c>
      <c r="H1643" s="23" t="s">
        <v>216</v>
      </c>
      <c r="I1643" s="32"/>
      <c r="J1643" s="23" t="s">
        <v>6</v>
      </c>
      <c r="K1643" s="23" t="str">
        <f t="shared" si="1"/>
        <v>637693</v>
      </c>
      <c r="L1643" s="23"/>
      <c r="M1643" s="26"/>
      <c r="N1643" s="26"/>
      <c r="O1643" s="26"/>
      <c r="P1643" s="26"/>
      <c r="Q1643" s="26"/>
      <c r="R1643" s="26"/>
      <c r="S1643" s="26"/>
      <c r="T1643" s="26"/>
      <c r="U1643" s="26"/>
      <c r="V1643" s="26"/>
      <c r="W1643" s="26"/>
      <c r="X1643" s="26"/>
    </row>
    <row r="1644" hidden="1">
      <c r="A1644" s="10" t="s">
        <v>427</v>
      </c>
      <c r="B1644" s="10" t="s">
        <v>5165</v>
      </c>
      <c r="C1644" s="27" t="s">
        <v>5166</v>
      </c>
      <c r="D1644" s="10" t="s">
        <v>5167</v>
      </c>
      <c r="E1644" s="28" t="s">
        <v>534</v>
      </c>
      <c r="F1644" s="23" t="s">
        <v>535</v>
      </c>
      <c r="G1644" s="23" t="s">
        <v>203</v>
      </c>
      <c r="H1644" s="23" t="s">
        <v>216</v>
      </c>
      <c r="I1644" s="32"/>
      <c r="J1644" s="23" t="s">
        <v>6</v>
      </c>
      <c r="K1644" s="23" t="str">
        <f t="shared" si="1"/>
        <v>663395</v>
      </c>
      <c r="L1644" s="23"/>
      <c r="M1644" s="26"/>
      <c r="N1644" s="26"/>
      <c r="O1644" s="26"/>
      <c r="P1644" s="26"/>
      <c r="Q1644" s="26"/>
      <c r="R1644" s="26"/>
      <c r="S1644" s="26"/>
      <c r="T1644" s="26"/>
      <c r="U1644" s="26"/>
      <c r="V1644" s="26"/>
      <c r="W1644" s="26"/>
      <c r="X1644" s="26"/>
    </row>
    <row r="1645" hidden="1">
      <c r="A1645" s="10" t="s">
        <v>427</v>
      </c>
      <c r="B1645" s="10" t="s">
        <v>5168</v>
      </c>
      <c r="C1645" s="27" t="s">
        <v>5169</v>
      </c>
      <c r="D1645" s="10" t="s">
        <v>5170</v>
      </c>
      <c r="E1645" s="28" t="s">
        <v>534</v>
      </c>
      <c r="F1645" s="23" t="s">
        <v>757</v>
      </c>
      <c r="G1645" s="23" t="s">
        <v>203</v>
      </c>
      <c r="H1645" s="23" t="s">
        <v>216</v>
      </c>
      <c r="I1645" s="32"/>
      <c r="J1645" s="23" t="s">
        <v>6</v>
      </c>
      <c r="K1645" s="23" t="str">
        <f t="shared" si="1"/>
        <v>683812</v>
      </c>
      <c r="L1645" s="23"/>
      <c r="M1645" s="26"/>
      <c r="N1645" s="26"/>
      <c r="O1645" s="26"/>
      <c r="P1645" s="26"/>
      <c r="Q1645" s="26"/>
      <c r="R1645" s="26"/>
      <c r="S1645" s="26"/>
      <c r="T1645" s="26"/>
      <c r="U1645" s="26"/>
      <c r="V1645" s="26"/>
      <c r="W1645" s="26"/>
      <c r="X1645" s="26"/>
    </row>
    <row r="1646" hidden="1">
      <c r="A1646" s="10" t="s">
        <v>427</v>
      </c>
      <c r="B1646" s="10" t="s">
        <v>5171</v>
      </c>
      <c r="C1646" s="27" t="s">
        <v>5172</v>
      </c>
      <c r="D1646" s="10" t="s">
        <v>5173</v>
      </c>
      <c r="E1646" s="28" t="s">
        <v>604</v>
      </c>
      <c r="F1646" s="23" t="s">
        <v>605</v>
      </c>
      <c r="G1646" s="23" t="s">
        <v>203</v>
      </c>
      <c r="H1646" s="23" t="s">
        <v>216</v>
      </c>
      <c r="I1646" s="32"/>
      <c r="J1646" s="23" t="s">
        <v>6</v>
      </c>
      <c r="K1646" s="23" t="str">
        <f t="shared" si="1"/>
        <v>675084</v>
      </c>
      <c r="L1646" s="23"/>
      <c r="M1646" s="26"/>
      <c r="N1646" s="26"/>
      <c r="O1646" s="26"/>
      <c r="P1646" s="26"/>
      <c r="Q1646" s="26"/>
      <c r="R1646" s="26"/>
      <c r="S1646" s="26"/>
      <c r="T1646" s="26"/>
      <c r="U1646" s="26"/>
      <c r="V1646" s="26"/>
      <c r="W1646" s="26"/>
      <c r="X1646" s="26"/>
    </row>
    <row r="1647" hidden="1">
      <c r="A1647" s="10" t="s">
        <v>427</v>
      </c>
      <c r="B1647" s="10" t="s">
        <v>5174</v>
      </c>
      <c r="C1647" s="27" t="s">
        <v>5175</v>
      </c>
      <c r="D1647" s="10" t="s">
        <v>5176</v>
      </c>
      <c r="E1647" s="28" t="s">
        <v>418</v>
      </c>
      <c r="F1647" s="23" t="s">
        <v>977</v>
      </c>
      <c r="G1647" s="23" t="s">
        <v>203</v>
      </c>
      <c r="H1647" s="23" t="s">
        <v>216</v>
      </c>
      <c r="I1647" s="32"/>
      <c r="J1647" s="23" t="s">
        <v>6</v>
      </c>
      <c r="K1647" s="23" t="str">
        <f t="shared" si="1"/>
        <v>671307</v>
      </c>
      <c r="L1647" s="23"/>
      <c r="M1647" s="26"/>
      <c r="N1647" s="26"/>
      <c r="O1647" s="26"/>
      <c r="P1647" s="26"/>
      <c r="Q1647" s="26"/>
      <c r="R1647" s="26"/>
      <c r="S1647" s="26"/>
      <c r="T1647" s="26"/>
      <c r="U1647" s="26"/>
      <c r="V1647" s="26"/>
      <c r="W1647" s="26"/>
      <c r="X1647" s="26"/>
    </row>
    <row r="1648" hidden="1">
      <c r="A1648" s="10" t="s">
        <v>427</v>
      </c>
      <c r="B1648" s="10" t="s">
        <v>5177</v>
      </c>
      <c r="C1648" s="27" t="s">
        <v>5178</v>
      </c>
      <c r="D1648" s="10" t="s">
        <v>5179</v>
      </c>
      <c r="E1648" s="28" t="s">
        <v>431</v>
      </c>
      <c r="F1648" s="23" t="s">
        <v>432</v>
      </c>
      <c r="G1648" s="23" t="s">
        <v>203</v>
      </c>
      <c r="H1648" s="23" t="s">
        <v>216</v>
      </c>
      <c r="I1648" s="32"/>
      <c r="J1648" s="23" t="s">
        <v>6</v>
      </c>
      <c r="K1648" s="23" t="str">
        <f t="shared" si="1"/>
        <v>679235</v>
      </c>
      <c r="L1648" s="23"/>
      <c r="M1648" s="26"/>
      <c r="N1648" s="26"/>
      <c r="O1648" s="26"/>
      <c r="P1648" s="26"/>
      <c r="Q1648" s="26"/>
      <c r="R1648" s="26"/>
      <c r="S1648" s="26"/>
      <c r="T1648" s="26"/>
      <c r="U1648" s="26"/>
      <c r="V1648" s="26"/>
      <c r="W1648" s="26"/>
      <c r="X1648" s="26"/>
    </row>
    <row r="1649" hidden="1">
      <c r="A1649" s="10" t="s">
        <v>427</v>
      </c>
      <c r="B1649" s="10" t="s">
        <v>5180</v>
      </c>
      <c r="C1649" s="27" t="s">
        <v>5181</v>
      </c>
      <c r="D1649" s="10" t="s">
        <v>5182</v>
      </c>
      <c r="E1649" s="28" t="s">
        <v>431</v>
      </c>
      <c r="F1649" s="23" t="s">
        <v>432</v>
      </c>
      <c r="G1649" s="23" t="s">
        <v>203</v>
      </c>
      <c r="H1649" s="23" t="s">
        <v>216</v>
      </c>
      <c r="I1649" s="32"/>
      <c r="J1649" s="23" t="s">
        <v>6</v>
      </c>
      <c r="K1649" s="23" t="str">
        <f t="shared" si="1"/>
        <v>680309</v>
      </c>
      <c r="L1649" s="23"/>
      <c r="M1649" s="26"/>
      <c r="N1649" s="26"/>
      <c r="O1649" s="26"/>
      <c r="P1649" s="26"/>
      <c r="Q1649" s="26"/>
      <c r="R1649" s="26"/>
      <c r="S1649" s="26"/>
      <c r="T1649" s="26"/>
      <c r="U1649" s="26"/>
      <c r="V1649" s="26"/>
      <c r="W1649" s="26"/>
      <c r="X1649" s="26"/>
    </row>
    <row r="1650" hidden="1">
      <c r="A1650" s="10" t="s">
        <v>427</v>
      </c>
      <c r="B1650" s="10" t="s">
        <v>5183</v>
      </c>
      <c r="C1650" s="27" t="s">
        <v>5184</v>
      </c>
      <c r="D1650" s="10" t="s">
        <v>5185</v>
      </c>
      <c r="E1650" s="28" t="s">
        <v>431</v>
      </c>
      <c r="F1650" s="23" t="s">
        <v>933</v>
      </c>
      <c r="G1650" s="23" t="s">
        <v>203</v>
      </c>
      <c r="H1650" s="23" t="s">
        <v>216</v>
      </c>
      <c r="I1650" s="32"/>
      <c r="J1650" s="23" t="s">
        <v>6</v>
      </c>
      <c r="K1650" s="23" t="str">
        <f t="shared" si="1"/>
        <v>680699</v>
      </c>
      <c r="L1650" s="23"/>
      <c r="M1650" s="26"/>
      <c r="N1650" s="26"/>
      <c r="O1650" s="26"/>
      <c r="P1650" s="26"/>
      <c r="Q1650" s="26"/>
      <c r="R1650" s="26"/>
      <c r="S1650" s="26"/>
      <c r="T1650" s="26"/>
      <c r="U1650" s="26"/>
      <c r="V1650" s="26"/>
      <c r="W1650" s="26"/>
      <c r="X1650" s="26"/>
    </row>
    <row r="1651" hidden="1">
      <c r="A1651" s="10" t="s">
        <v>427</v>
      </c>
      <c r="B1651" s="10" t="s">
        <v>5186</v>
      </c>
      <c r="C1651" s="27" t="s">
        <v>5187</v>
      </c>
      <c r="D1651" s="10" t="s">
        <v>5188</v>
      </c>
      <c r="E1651" s="28" t="s">
        <v>418</v>
      </c>
      <c r="F1651" s="23" t="s">
        <v>419</v>
      </c>
      <c r="G1651" s="23" t="s">
        <v>203</v>
      </c>
      <c r="H1651" s="23" t="s">
        <v>216</v>
      </c>
      <c r="I1651" s="32"/>
      <c r="J1651" s="23" t="s">
        <v>6</v>
      </c>
      <c r="K1651" s="23" t="str">
        <f t="shared" si="1"/>
        <v>675596</v>
      </c>
      <c r="L1651" s="23"/>
      <c r="M1651" s="26"/>
      <c r="N1651" s="26"/>
      <c r="O1651" s="26"/>
      <c r="P1651" s="26"/>
      <c r="Q1651" s="26"/>
      <c r="R1651" s="26"/>
      <c r="S1651" s="26"/>
      <c r="T1651" s="26"/>
      <c r="U1651" s="26"/>
      <c r="V1651" s="26"/>
      <c r="W1651" s="26"/>
      <c r="X1651" s="26"/>
    </row>
    <row r="1652" hidden="1">
      <c r="A1652" s="10" t="s">
        <v>427</v>
      </c>
      <c r="B1652" s="10" t="s">
        <v>5189</v>
      </c>
      <c r="C1652" s="27" t="s">
        <v>5190</v>
      </c>
      <c r="D1652" s="10" t="s">
        <v>5191</v>
      </c>
      <c r="E1652" s="28" t="s">
        <v>534</v>
      </c>
      <c r="F1652" s="23" t="s">
        <v>757</v>
      </c>
      <c r="G1652" s="23" t="s">
        <v>521</v>
      </c>
      <c r="H1652" s="23" t="s">
        <v>5192</v>
      </c>
      <c r="I1652" s="32"/>
      <c r="J1652" s="23" t="s">
        <v>6</v>
      </c>
      <c r="K1652" s="23" t="str">
        <f t="shared" si="1"/>
        <v>675893</v>
      </c>
      <c r="L1652" s="23"/>
      <c r="M1652" s="26"/>
      <c r="N1652" s="26"/>
      <c r="O1652" s="26"/>
      <c r="P1652" s="26"/>
      <c r="Q1652" s="26"/>
      <c r="R1652" s="26"/>
      <c r="S1652" s="26"/>
      <c r="T1652" s="26"/>
      <c r="U1652" s="26"/>
      <c r="V1652" s="26"/>
      <c r="W1652" s="26"/>
      <c r="X1652" s="26"/>
    </row>
    <row r="1653" hidden="1">
      <c r="A1653" s="10" t="s">
        <v>427</v>
      </c>
      <c r="B1653" s="10" t="s">
        <v>5193</v>
      </c>
      <c r="C1653" s="27" t="s">
        <v>5194</v>
      </c>
      <c r="D1653" s="10" t="s">
        <v>5195</v>
      </c>
      <c r="E1653" s="28" t="s">
        <v>431</v>
      </c>
      <c r="F1653" s="23" t="s">
        <v>946</v>
      </c>
      <c r="G1653" s="23" t="s">
        <v>521</v>
      </c>
      <c r="H1653" s="23" t="s">
        <v>5192</v>
      </c>
      <c r="I1653" s="32"/>
      <c r="J1653" s="23" t="s">
        <v>6</v>
      </c>
      <c r="K1653" s="23" t="str">
        <f t="shared" si="1"/>
        <v>677316</v>
      </c>
      <c r="L1653" s="23"/>
      <c r="M1653" s="26"/>
      <c r="N1653" s="26"/>
      <c r="O1653" s="26"/>
      <c r="P1653" s="26"/>
      <c r="Q1653" s="26"/>
      <c r="R1653" s="26"/>
      <c r="S1653" s="26"/>
      <c r="T1653" s="26"/>
      <c r="U1653" s="26"/>
      <c r="V1653" s="26"/>
      <c r="W1653" s="26"/>
      <c r="X1653" s="26"/>
    </row>
    <row r="1654" hidden="1">
      <c r="A1654" s="10" t="s">
        <v>427</v>
      </c>
      <c r="B1654" s="10" t="s">
        <v>5196</v>
      </c>
      <c r="C1654" s="27" t="s">
        <v>5197</v>
      </c>
      <c r="D1654" s="10" t="s">
        <v>5198</v>
      </c>
      <c r="E1654" s="28" t="s">
        <v>534</v>
      </c>
      <c r="F1654" s="23" t="s">
        <v>757</v>
      </c>
      <c r="G1654" s="23" t="s">
        <v>521</v>
      </c>
      <c r="H1654" s="23" t="s">
        <v>5192</v>
      </c>
      <c r="I1654" s="32"/>
      <c r="J1654" s="23" t="s">
        <v>6</v>
      </c>
      <c r="K1654" s="23" t="str">
        <f t="shared" si="1"/>
        <v>673424</v>
      </c>
      <c r="L1654" s="23"/>
      <c r="M1654" s="26"/>
      <c r="N1654" s="26"/>
      <c r="O1654" s="26"/>
      <c r="P1654" s="26"/>
      <c r="Q1654" s="26"/>
      <c r="R1654" s="26"/>
      <c r="S1654" s="26"/>
      <c r="T1654" s="26"/>
      <c r="U1654" s="26"/>
      <c r="V1654" s="26"/>
      <c r="W1654" s="26"/>
      <c r="X1654" s="26"/>
    </row>
    <row r="1655" hidden="1">
      <c r="A1655" s="10" t="s">
        <v>427</v>
      </c>
      <c r="B1655" s="10" t="s">
        <v>5199</v>
      </c>
      <c r="C1655" s="27" t="s">
        <v>5200</v>
      </c>
      <c r="D1655" s="10" t="s">
        <v>5201</v>
      </c>
      <c r="E1655" s="28" t="s">
        <v>431</v>
      </c>
      <c r="F1655" s="23" t="s">
        <v>950</v>
      </c>
      <c r="G1655" s="23" t="s">
        <v>521</v>
      </c>
      <c r="H1655" s="23" t="s">
        <v>5192</v>
      </c>
      <c r="I1655" s="32"/>
      <c r="J1655" s="23" t="s">
        <v>6</v>
      </c>
      <c r="K1655" s="23" t="str">
        <f t="shared" si="1"/>
        <v>632124</v>
      </c>
      <c r="L1655" s="23"/>
      <c r="M1655" s="26"/>
      <c r="N1655" s="26"/>
      <c r="O1655" s="26"/>
      <c r="P1655" s="26"/>
      <c r="Q1655" s="26"/>
      <c r="R1655" s="26"/>
      <c r="S1655" s="26"/>
      <c r="T1655" s="26"/>
      <c r="U1655" s="26"/>
      <c r="V1655" s="26"/>
      <c r="W1655" s="26"/>
      <c r="X1655" s="26"/>
    </row>
    <row r="1656" hidden="1">
      <c r="A1656" s="10" t="s">
        <v>427</v>
      </c>
      <c r="B1656" s="10" t="s">
        <v>5202</v>
      </c>
      <c r="C1656" s="27" t="s">
        <v>5203</v>
      </c>
      <c r="D1656" s="10" t="s">
        <v>5204</v>
      </c>
      <c r="E1656" s="28" t="s">
        <v>534</v>
      </c>
      <c r="F1656" s="23" t="s">
        <v>1238</v>
      </c>
      <c r="G1656" s="23" t="s">
        <v>521</v>
      </c>
      <c r="H1656" s="23" t="s">
        <v>5192</v>
      </c>
      <c r="I1656" s="32"/>
      <c r="J1656" s="23" t="s">
        <v>6</v>
      </c>
      <c r="K1656" s="23" t="str">
        <f t="shared" si="1"/>
        <v>673431</v>
      </c>
      <c r="L1656" s="23"/>
      <c r="M1656" s="23"/>
      <c r="N1656" s="23"/>
      <c r="O1656" s="23"/>
      <c r="P1656" s="23"/>
      <c r="Q1656" s="23"/>
      <c r="R1656" s="23"/>
      <c r="S1656" s="23"/>
      <c r="T1656" s="23"/>
      <c r="U1656" s="23"/>
      <c r="V1656" s="23"/>
      <c r="W1656" s="23"/>
      <c r="X1656" s="23"/>
    </row>
    <row r="1657" hidden="1">
      <c r="A1657" s="10" t="s">
        <v>427</v>
      </c>
      <c r="B1657" s="10" t="s">
        <v>5205</v>
      </c>
      <c r="C1657" s="27" t="s">
        <v>5206</v>
      </c>
      <c r="D1657" s="10" t="s">
        <v>5207</v>
      </c>
      <c r="E1657" s="28" t="s">
        <v>431</v>
      </c>
      <c r="F1657" s="23" t="s">
        <v>946</v>
      </c>
      <c r="G1657" s="23" t="s">
        <v>521</v>
      </c>
      <c r="H1657" s="23" t="s">
        <v>5192</v>
      </c>
      <c r="I1657" s="32"/>
      <c r="J1657" s="23" t="s">
        <v>6</v>
      </c>
      <c r="K1657" s="23" t="str">
        <f t="shared" si="1"/>
        <v>631783</v>
      </c>
      <c r="L1657" s="23"/>
      <c r="M1657" s="23"/>
      <c r="N1657" s="23"/>
      <c r="O1657" s="23"/>
      <c r="P1657" s="23"/>
      <c r="Q1657" s="23"/>
      <c r="R1657" s="23"/>
      <c r="S1657" s="23"/>
      <c r="T1657" s="23"/>
      <c r="U1657" s="23"/>
      <c r="V1657" s="23"/>
      <c r="W1657" s="23"/>
      <c r="X1657" s="23"/>
    </row>
    <row r="1658" hidden="1">
      <c r="A1658" s="10" t="s">
        <v>427</v>
      </c>
      <c r="B1658" s="10" t="s">
        <v>5208</v>
      </c>
      <c r="C1658" s="27" t="s">
        <v>5209</v>
      </c>
      <c r="D1658" s="10" t="s">
        <v>5210</v>
      </c>
      <c r="E1658" s="28" t="s">
        <v>534</v>
      </c>
      <c r="F1658" s="23" t="s">
        <v>757</v>
      </c>
      <c r="G1658" s="23" t="s">
        <v>521</v>
      </c>
      <c r="H1658" s="23" t="s">
        <v>5192</v>
      </c>
      <c r="I1658" s="32"/>
      <c r="J1658" s="23" t="s">
        <v>6</v>
      </c>
      <c r="K1658" s="23" t="str">
        <f t="shared" si="1"/>
        <v>653952</v>
      </c>
      <c r="L1658" s="23"/>
      <c r="M1658" s="26"/>
      <c r="N1658" s="26"/>
      <c r="O1658" s="26"/>
      <c r="P1658" s="26"/>
      <c r="Q1658" s="26"/>
      <c r="R1658" s="26"/>
      <c r="S1658" s="26"/>
      <c r="T1658" s="26"/>
      <c r="U1658" s="26"/>
      <c r="V1658" s="26"/>
      <c r="W1658" s="26"/>
      <c r="X1658" s="26"/>
    </row>
    <row r="1659" hidden="1">
      <c r="A1659" s="10" t="s">
        <v>427</v>
      </c>
      <c r="B1659" s="10" t="s">
        <v>5211</v>
      </c>
      <c r="C1659" s="27" t="s">
        <v>5212</v>
      </c>
      <c r="D1659" s="10" t="s">
        <v>5213</v>
      </c>
      <c r="E1659" s="28" t="s">
        <v>431</v>
      </c>
      <c r="F1659" s="23" t="s">
        <v>950</v>
      </c>
      <c r="G1659" s="23" t="s">
        <v>521</v>
      </c>
      <c r="H1659" s="23" t="s">
        <v>5192</v>
      </c>
      <c r="I1659" s="32"/>
      <c r="J1659" s="23" t="s">
        <v>6</v>
      </c>
      <c r="K1659" s="23" t="str">
        <f t="shared" si="1"/>
        <v>632131</v>
      </c>
      <c r="L1659" s="23"/>
      <c r="M1659" s="26"/>
      <c r="N1659" s="26"/>
      <c r="O1659" s="26"/>
      <c r="P1659" s="26"/>
      <c r="Q1659" s="26"/>
      <c r="R1659" s="26"/>
      <c r="S1659" s="26"/>
      <c r="T1659" s="26"/>
      <c r="U1659" s="26"/>
      <c r="V1659" s="26"/>
      <c r="W1659" s="26"/>
      <c r="X1659" s="26"/>
    </row>
    <row r="1660" hidden="1">
      <c r="A1660" s="10" t="s">
        <v>427</v>
      </c>
      <c r="B1660" s="10" t="s">
        <v>5214</v>
      </c>
      <c r="C1660" s="27" t="s">
        <v>5215</v>
      </c>
      <c r="D1660" s="10" t="s">
        <v>5216</v>
      </c>
      <c r="E1660" s="28" t="s">
        <v>534</v>
      </c>
      <c r="F1660" s="23" t="s">
        <v>1238</v>
      </c>
      <c r="G1660" s="23" t="s">
        <v>521</v>
      </c>
      <c r="H1660" s="23" t="s">
        <v>5192</v>
      </c>
      <c r="I1660" s="32"/>
      <c r="J1660" s="23" t="s">
        <v>6</v>
      </c>
      <c r="K1660" s="23" t="str">
        <f t="shared" si="1"/>
        <v>654102</v>
      </c>
      <c r="L1660" s="23"/>
      <c r="M1660" s="26"/>
      <c r="N1660" s="26"/>
      <c r="O1660" s="26"/>
      <c r="P1660" s="26"/>
      <c r="Q1660" s="26"/>
      <c r="R1660" s="26"/>
      <c r="S1660" s="26"/>
      <c r="T1660" s="26"/>
      <c r="U1660" s="26"/>
      <c r="V1660" s="26"/>
      <c r="W1660" s="26"/>
      <c r="X1660" s="26"/>
    </row>
    <row r="1661" hidden="1">
      <c r="A1661" s="10" t="s">
        <v>427</v>
      </c>
      <c r="B1661" s="10" t="s">
        <v>5217</v>
      </c>
      <c r="C1661" s="27" t="s">
        <v>5218</v>
      </c>
      <c r="D1661" s="10" t="s">
        <v>5219</v>
      </c>
      <c r="E1661" s="28" t="s">
        <v>431</v>
      </c>
      <c r="F1661" s="23" t="s">
        <v>946</v>
      </c>
      <c r="G1661" s="23" t="s">
        <v>521</v>
      </c>
      <c r="H1661" s="23" t="s">
        <v>5192</v>
      </c>
      <c r="I1661" s="32"/>
      <c r="J1661" s="23" t="s">
        <v>6</v>
      </c>
      <c r="K1661" s="23" t="str">
        <f t="shared" si="1"/>
        <v>631790</v>
      </c>
      <c r="L1661" s="23"/>
      <c r="M1661" s="26"/>
      <c r="N1661" s="26"/>
      <c r="O1661" s="26"/>
      <c r="P1661" s="26"/>
      <c r="Q1661" s="26"/>
      <c r="R1661" s="26"/>
      <c r="S1661" s="26"/>
      <c r="T1661" s="26"/>
      <c r="U1661" s="26"/>
      <c r="V1661" s="26"/>
      <c r="W1661" s="26"/>
      <c r="X1661" s="26"/>
    </row>
    <row r="1662" hidden="1">
      <c r="A1662" s="10" t="s">
        <v>190</v>
      </c>
      <c r="B1662" s="10" t="s">
        <v>5220</v>
      </c>
      <c r="C1662" s="27" t="s">
        <v>5221</v>
      </c>
      <c r="D1662" s="10" t="s">
        <v>5222</v>
      </c>
      <c r="E1662" s="28" t="s">
        <v>194</v>
      </c>
      <c r="F1662" s="23" t="s">
        <v>195</v>
      </c>
      <c r="G1662" s="23" t="s">
        <v>196</v>
      </c>
      <c r="H1662" s="23" t="s">
        <v>1650</v>
      </c>
      <c r="I1662" s="23" t="s">
        <v>1650</v>
      </c>
      <c r="J1662" s="23" t="s">
        <v>238</v>
      </c>
      <c r="K1662" s="23" t="str">
        <f t="shared" si="1"/>
        <v>665504</v>
      </c>
      <c r="L1662" s="23"/>
      <c r="M1662" s="26"/>
      <c r="N1662" s="26"/>
      <c r="O1662" s="26"/>
      <c r="P1662" s="26"/>
      <c r="Q1662" s="26"/>
      <c r="R1662" s="26"/>
      <c r="S1662" s="26"/>
      <c r="T1662" s="26"/>
      <c r="U1662" s="26"/>
      <c r="V1662" s="26"/>
      <c r="W1662" s="26"/>
      <c r="X1662" s="26"/>
    </row>
    <row r="1663" hidden="1">
      <c r="A1663" s="10" t="s">
        <v>190</v>
      </c>
      <c r="B1663" s="10" t="s">
        <v>5223</v>
      </c>
      <c r="C1663" s="27" t="s">
        <v>5224</v>
      </c>
      <c r="D1663" s="10" t="s">
        <v>5225</v>
      </c>
      <c r="E1663" s="28" t="s">
        <v>194</v>
      </c>
      <c r="F1663" s="23" t="s">
        <v>195</v>
      </c>
      <c r="G1663" s="23" t="s">
        <v>196</v>
      </c>
      <c r="H1663" s="23" t="s">
        <v>1650</v>
      </c>
      <c r="I1663" s="23" t="s">
        <v>1650</v>
      </c>
      <c r="J1663" s="23" t="s">
        <v>198</v>
      </c>
      <c r="K1663" s="23" t="str">
        <f t="shared" si="1"/>
        <v>668086</v>
      </c>
      <c r="L1663" s="23"/>
      <c r="M1663" s="26"/>
      <c r="N1663" s="26"/>
      <c r="O1663" s="26"/>
      <c r="P1663" s="26"/>
      <c r="Q1663" s="26"/>
      <c r="R1663" s="26"/>
      <c r="S1663" s="26"/>
      <c r="T1663" s="26"/>
      <c r="U1663" s="26"/>
      <c r="V1663" s="26"/>
      <c r="W1663" s="26"/>
      <c r="X1663" s="26"/>
    </row>
    <row r="1664" hidden="1">
      <c r="A1664" s="10" t="s">
        <v>190</v>
      </c>
      <c r="B1664" s="10" t="s">
        <v>5226</v>
      </c>
      <c r="C1664" s="27" t="s">
        <v>5227</v>
      </c>
      <c r="D1664" s="10" t="s">
        <v>5228</v>
      </c>
      <c r="E1664" s="28" t="s">
        <v>194</v>
      </c>
      <c r="F1664" s="23" t="s">
        <v>543</v>
      </c>
      <c r="G1664" s="23" t="s">
        <v>1</v>
      </c>
      <c r="H1664" s="32"/>
      <c r="I1664" s="32"/>
      <c r="J1664" s="23" t="s">
        <v>198</v>
      </c>
      <c r="K1664" s="23" t="str">
        <f t="shared" si="1"/>
        <v>692098</v>
      </c>
      <c r="L1664" s="23"/>
      <c r="M1664" s="26"/>
      <c r="N1664" s="26"/>
      <c r="O1664" s="26"/>
      <c r="P1664" s="26"/>
      <c r="Q1664" s="26"/>
      <c r="R1664" s="26"/>
      <c r="S1664" s="26"/>
      <c r="T1664" s="26"/>
      <c r="U1664" s="26"/>
      <c r="V1664" s="26"/>
      <c r="W1664" s="26"/>
      <c r="X1664" s="26"/>
    </row>
    <row r="1665" hidden="1">
      <c r="A1665" s="10" t="s">
        <v>190</v>
      </c>
      <c r="B1665" s="10" t="s">
        <v>5229</v>
      </c>
      <c r="C1665" s="27" t="s">
        <v>287</v>
      </c>
      <c r="D1665" s="10" t="s">
        <v>286</v>
      </c>
      <c r="E1665" s="28" t="s">
        <v>194</v>
      </c>
      <c r="F1665" s="23" t="s">
        <v>543</v>
      </c>
      <c r="G1665" s="23" t="s">
        <v>401</v>
      </c>
      <c r="H1665" s="32"/>
      <c r="I1665" s="32"/>
      <c r="J1665" s="23" t="s">
        <v>229</v>
      </c>
      <c r="K1665" s="23" t="str">
        <f t="shared" si="1"/>
        <v>692371</v>
      </c>
      <c r="L1665" s="23"/>
      <c r="M1665" s="26"/>
      <c r="N1665" s="26"/>
      <c r="O1665" s="26"/>
      <c r="P1665" s="26"/>
      <c r="Q1665" s="26"/>
      <c r="R1665" s="26"/>
      <c r="S1665" s="26"/>
      <c r="T1665" s="26"/>
      <c r="U1665" s="26"/>
      <c r="V1665" s="26"/>
      <c r="W1665" s="26"/>
      <c r="X1665" s="26"/>
    </row>
    <row r="1666" hidden="1">
      <c r="A1666" s="10" t="s">
        <v>190</v>
      </c>
      <c r="B1666" s="10" t="s">
        <v>5230</v>
      </c>
      <c r="C1666" s="27" t="s">
        <v>5231</v>
      </c>
      <c r="D1666" s="10" t="s">
        <v>5232</v>
      </c>
      <c r="E1666" s="28" t="s">
        <v>194</v>
      </c>
      <c r="F1666" s="23" t="s">
        <v>195</v>
      </c>
      <c r="G1666" s="23" t="s">
        <v>203</v>
      </c>
      <c r="H1666" s="23" t="s">
        <v>242</v>
      </c>
      <c r="I1666" s="23" t="s">
        <v>273</v>
      </c>
      <c r="J1666" s="23" t="s">
        <v>229</v>
      </c>
      <c r="K1666" s="23" t="str">
        <f t="shared" si="1"/>
        <v>685458</v>
      </c>
      <c r="L1666" s="23"/>
      <c r="M1666" s="26"/>
      <c r="N1666" s="26"/>
      <c r="O1666" s="26"/>
      <c r="P1666" s="26"/>
      <c r="Q1666" s="26"/>
      <c r="R1666" s="26"/>
      <c r="S1666" s="26"/>
      <c r="T1666" s="26"/>
      <c r="U1666" s="26"/>
      <c r="V1666" s="26"/>
      <c r="W1666" s="26"/>
      <c r="X1666" s="26"/>
    </row>
    <row r="1667" hidden="1">
      <c r="A1667" s="10" t="s">
        <v>190</v>
      </c>
      <c r="B1667" s="10" t="s">
        <v>5233</v>
      </c>
      <c r="C1667" s="27" t="s">
        <v>5234</v>
      </c>
      <c r="D1667" s="10" t="s">
        <v>5235</v>
      </c>
      <c r="E1667" s="28" t="s">
        <v>194</v>
      </c>
      <c r="F1667" s="23" t="s">
        <v>195</v>
      </c>
      <c r="G1667" s="23" t="s">
        <v>203</v>
      </c>
      <c r="H1667" s="23" t="s">
        <v>600</v>
      </c>
      <c r="I1667" s="23" t="s">
        <v>2473</v>
      </c>
      <c r="J1667" s="23" t="s">
        <v>198</v>
      </c>
      <c r="K1667" s="23" t="str">
        <f t="shared" si="1"/>
        <v>687247</v>
      </c>
      <c r="L1667" s="23"/>
      <c r="M1667" s="26"/>
      <c r="N1667" s="26"/>
      <c r="O1667" s="26"/>
      <c r="P1667" s="26"/>
      <c r="Q1667" s="26"/>
      <c r="R1667" s="26"/>
      <c r="S1667" s="26"/>
      <c r="T1667" s="26"/>
      <c r="U1667" s="26"/>
      <c r="V1667" s="26"/>
      <c r="W1667" s="26"/>
      <c r="X1667" s="26"/>
    </row>
    <row r="1668" hidden="1">
      <c r="A1668" s="10" t="s">
        <v>190</v>
      </c>
      <c r="B1668" s="10" t="s">
        <v>5236</v>
      </c>
      <c r="C1668" s="27" t="s">
        <v>5237</v>
      </c>
      <c r="D1668" s="10" t="s">
        <v>5238</v>
      </c>
      <c r="E1668" s="28" t="s">
        <v>194</v>
      </c>
      <c r="F1668" s="23" t="s">
        <v>195</v>
      </c>
      <c r="G1668" s="23" t="s">
        <v>196</v>
      </c>
      <c r="H1668" s="23" t="s">
        <v>625</v>
      </c>
      <c r="I1668" s="23" t="s">
        <v>2667</v>
      </c>
      <c r="J1668" s="23" t="s">
        <v>238</v>
      </c>
      <c r="K1668" s="23" t="str">
        <f t="shared" si="1"/>
        <v>665085</v>
      </c>
      <c r="L1668" s="23"/>
      <c r="M1668" s="26"/>
      <c r="N1668" s="26"/>
      <c r="O1668" s="26"/>
      <c r="P1668" s="26"/>
      <c r="Q1668" s="26"/>
      <c r="R1668" s="26"/>
      <c r="S1668" s="26"/>
      <c r="T1668" s="26"/>
      <c r="U1668" s="26"/>
      <c r="V1668" s="26"/>
      <c r="W1668" s="26"/>
      <c r="X1668" s="26"/>
    </row>
    <row r="1669" hidden="1">
      <c r="A1669" s="10" t="s">
        <v>190</v>
      </c>
      <c r="B1669" s="10" t="s">
        <v>5239</v>
      </c>
      <c r="C1669" s="27" t="s">
        <v>5240</v>
      </c>
      <c r="D1669" s="10" t="s">
        <v>5241</v>
      </c>
      <c r="E1669" s="28" t="s">
        <v>194</v>
      </c>
      <c r="F1669" s="23" t="s">
        <v>195</v>
      </c>
      <c r="G1669" s="23" t="s">
        <v>196</v>
      </c>
      <c r="H1669" s="23" t="s">
        <v>625</v>
      </c>
      <c r="I1669" s="23" t="s">
        <v>2667</v>
      </c>
      <c r="J1669" s="23" t="s">
        <v>238</v>
      </c>
      <c r="K1669" s="23" t="str">
        <f t="shared" si="1"/>
        <v>680774</v>
      </c>
      <c r="L1669" s="23"/>
      <c r="M1669" s="26"/>
      <c r="N1669" s="26"/>
      <c r="O1669" s="26"/>
      <c r="P1669" s="26"/>
      <c r="Q1669" s="26"/>
      <c r="R1669" s="26"/>
      <c r="S1669" s="26"/>
      <c r="T1669" s="26"/>
      <c r="U1669" s="26"/>
      <c r="V1669" s="26"/>
      <c r="W1669" s="26"/>
      <c r="X1669" s="26"/>
    </row>
    <row r="1670" hidden="1">
      <c r="A1670" s="10" t="s">
        <v>190</v>
      </c>
      <c r="B1670" s="10" t="s">
        <v>5242</v>
      </c>
      <c r="C1670" s="27" t="s">
        <v>5243</v>
      </c>
      <c r="D1670" s="10" t="s">
        <v>5244</v>
      </c>
      <c r="E1670" s="28" t="s">
        <v>194</v>
      </c>
      <c r="F1670" s="23" t="s">
        <v>195</v>
      </c>
      <c r="G1670" s="23" t="s">
        <v>196</v>
      </c>
      <c r="H1670" s="23" t="s">
        <v>625</v>
      </c>
      <c r="I1670" s="23" t="s">
        <v>1673</v>
      </c>
      <c r="J1670" s="23" t="s">
        <v>238</v>
      </c>
      <c r="K1670" s="23" t="str">
        <f t="shared" si="1"/>
        <v>665924</v>
      </c>
      <c r="L1670" s="23"/>
      <c r="M1670" s="26"/>
      <c r="N1670" s="26"/>
      <c r="O1670" s="26"/>
      <c r="P1670" s="26"/>
      <c r="Q1670" s="26"/>
      <c r="R1670" s="26"/>
      <c r="S1670" s="26"/>
      <c r="T1670" s="26"/>
      <c r="U1670" s="26"/>
      <c r="V1670" s="26"/>
      <c r="W1670" s="26"/>
      <c r="X1670" s="26"/>
    </row>
    <row r="1671" hidden="1">
      <c r="A1671" s="10" t="s">
        <v>190</v>
      </c>
      <c r="B1671" s="10" t="s">
        <v>5245</v>
      </c>
      <c r="C1671" s="27" t="s">
        <v>5246</v>
      </c>
      <c r="D1671" s="10" t="s">
        <v>5247</v>
      </c>
      <c r="E1671" s="28" t="s">
        <v>194</v>
      </c>
      <c r="F1671" s="23" t="s">
        <v>195</v>
      </c>
      <c r="G1671" s="23" t="s">
        <v>196</v>
      </c>
      <c r="H1671" s="23" t="s">
        <v>625</v>
      </c>
      <c r="I1671" s="23" t="s">
        <v>1673</v>
      </c>
      <c r="J1671" s="23" t="s">
        <v>238</v>
      </c>
      <c r="K1671" s="23" t="str">
        <f t="shared" si="1"/>
        <v>665931</v>
      </c>
      <c r="L1671" s="23"/>
      <c r="M1671" s="26"/>
      <c r="N1671" s="26"/>
      <c r="O1671" s="26"/>
      <c r="P1671" s="26"/>
      <c r="Q1671" s="26"/>
      <c r="R1671" s="26"/>
      <c r="S1671" s="26"/>
      <c r="T1671" s="26"/>
      <c r="U1671" s="26"/>
      <c r="V1671" s="26"/>
      <c r="W1671" s="26"/>
      <c r="X1671" s="26"/>
    </row>
    <row r="1672" hidden="1">
      <c r="A1672" s="10" t="s">
        <v>190</v>
      </c>
      <c r="B1672" s="10" t="s">
        <v>5248</v>
      </c>
      <c r="C1672" s="27" t="s">
        <v>5249</v>
      </c>
      <c r="D1672" s="10" t="s">
        <v>5250</v>
      </c>
      <c r="E1672" s="28" t="s">
        <v>194</v>
      </c>
      <c r="F1672" s="23" t="s">
        <v>195</v>
      </c>
      <c r="G1672" s="23" t="s">
        <v>196</v>
      </c>
      <c r="H1672" s="23" t="s">
        <v>625</v>
      </c>
      <c r="I1672" s="23" t="s">
        <v>1673</v>
      </c>
      <c r="J1672" s="23" t="s">
        <v>198</v>
      </c>
      <c r="K1672" s="23" t="str">
        <f t="shared" si="1"/>
        <v>665146</v>
      </c>
      <c r="L1672" s="23"/>
      <c r="M1672" s="26"/>
      <c r="N1672" s="26"/>
      <c r="O1672" s="26"/>
      <c r="P1672" s="26"/>
      <c r="Q1672" s="26"/>
      <c r="R1672" s="26"/>
      <c r="S1672" s="26"/>
      <c r="T1672" s="26"/>
      <c r="U1672" s="26"/>
      <c r="V1672" s="26"/>
      <c r="W1672" s="26"/>
      <c r="X1672" s="26"/>
    </row>
    <row r="1673" hidden="1">
      <c r="A1673" s="10" t="s">
        <v>190</v>
      </c>
      <c r="B1673" s="10" t="s">
        <v>5251</v>
      </c>
      <c r="C1673" s="27" t="s">
        <v>5252</v>
      </c>
      <c r="D1673" s="10" t="s">
        <v>5253</v>
      </c>
      <c r="E1673" s="28" t="s">
        <v>194</v>
      </c>
      <c r="F1673" s="23" t="s">
        <v>195</v>
      </c>
      <c r="G1673" s="23" t="s">
        <v>196</v>
      </c>
      <c r="H1673" s="23" t="s">
        <v>625</v>
      </c>
      <c r="I1673" s="23" t="s">
        <v>1673</v>
      </c>
      <c r="J1673" s="23" t="s">
        <v>198</v>
      </c>
      <c r="K1673" s="23" t="str">
        <f t="shared" si="1"/>
        <v>665184</v>
      </c>
      <c r="L1673" s="23"/>
      <c r="M1673" s="26"/>
      <c r="N1673" s="26"/>
      <c r="O1673" s="26"/>
      <c r="P1673" s="26"/>
      <c r="Q1673" s="26"/>
      <c r="R1673" s="26"/>
      <c r="S1673" s="26"/>
      <c r="T1673" s="26"/>
      <c r="U1673" s="26"/>
      <c r="V1673" s="26"/>
      <c r="W1673" s="26"/>
      <c r="X1673" s="26"/>
    </row>
    <row r="1674" hidden="1">
      <c r="A1674" s="10" t="s">
        <v>190</v>
      </c>
      <c r="B1674" s="10" t="s">
        <v>5254</v>
      </c>
      <c r="C1674" s="27" t="s">
        <v>5255</v>
      </c>
      <c r="D1674" s="10" t="s">
        <v>5256</v>
      </c>
      <c r="E1674" s="28" t="s">
        <v>194</v>
      </c>
      <c r="F1674" s="23" t="s">
        <v>195</v>
      </c>
      <c r="G1674" s="23" t="s">
        <v>203</v>
      </c>
      <c r="H1674" s="23" t="s">
        <v>222</v>
      </c>
      <c r="I1674" s="23" t="s">
        <v>223</v>
      </c>
      <c r="J1674" s="23" t="s">
        <v>229</v>
      </c>
      <c r="K1674" s="23" t="str">
        <f t="shared" si="1"/>
        <v>687827</v>
      </c>
      <c r="L1674" s="23"/>
      <c r="M1674" s="26"/>
      <c r="N1674" s="26"/>
      <c r="O1674" s="26"/>
      <c r="P1674" s="26"/>
      <c r="Q1674" s="26"/>
      <c r="R1674" s="26"/>
      <c r="S1674" s="26"/>
      <c r="T1674" s="26"/>
      <c r="U1674" s="26"/>
      <c r="V1674" s="26"/>
      <c r="W1674" s="26"/>
      <c r="X1674" s="26"/>
    </row>
    <row r="1675" hidden="1">
      <c r="A1675" s="10" t="s">
        <v>190</v>
      </c>
      <c r="B1675" s="10" t="s">
        <v>5257</v>
      </c>
      <c r="C1675" s="27" t="s">
        <v>5258</v>
      </c>
      <c r="D1675" s="10" t="s">
        <v>5259</v>
      </c>
      <c r="E1675" s="28" t="s">
        <v>194</v>
      </c>
      <c r="F1675" s="23" t="s">
        <v>195</v>
      </c>
      <c r="G1675" s="23" t="s">
        <v>203</v>
      </c>
      <c r="H1675" s="23" t="s">
        <v>1745</v>
      </c>
      <c r="I1675" s="23" t="s">
        <v>1750</v>
      </c>
      <c r="J1675" s="23" t="s">
        <v>238</v>
      </c>
      <c r="K1675" s="23" t="str">
        <f t="shared" si="1"/>
        <v>682365</v>
      </c>
      <c r="L1675" s="23"/>
      <c r="M1675" s="26"/>
      <c r="N1675" s="26"/>
      <c r="O1675" s="26"/>
      <c r="P1675" s="26"/>
      <c r="Q1675" s="26"/>
      <c r="R1675" s="26"/>
      <c r="S1675" s="26"/>
      <c r="T1675" s="26"/>
      <c r="U1675" s="26"/>
      <c r="V1675" s="26"/>
      <c r="W1675" s="26"/>
      <c r="X1675" s="26"/>
    </row>
    <row r="1676" hidden="1">
      <c r="A1676" s="10" t="s">
        <v>190</v>
      </c>
      <c r="B1676" s="10" t="s">
        <v>5260</v>
      </c>
      <c r="C1676" s="27" t="s">
        <v>5261</v>
      </c>
      <c r="D1676" s="10" t="s">
        <v>5262</v>
      </c>
      <c r="E1676" s="28" t="s">
        <v>194</v>
      </c>
      <c r="F1676" s="23" t="s">
        <v>195</v>
      </c>
      <c r="G1676" s="23" t="s">
        <v>203</v>
      </c>
      <c r="H1676" s="23" t="s">
        <v>1745</v>
      </c>
      <c r="I1676" s="23" t="s">
        <v>1750</v>
      </c>
      <c r="J1676" s="23" t="s">
        <v>238</v>
      </c>
      <c r="K1676" s="23" t="str">
        <f t="shared" si="1"/>
        <v>681306</v>
      </c>
      <c r="L1676" s="23"/>
      <c r="M1676" s="26"/>
      <c r="N1676" s="26"/>
      <c r="O1676" s="26"/>
      <c r="P1676" s="26"/>
      <c r="Q1676" s="26"/>
      <c r="R1676" s="26"/>
      <c r="S1676" s="26"/>
      <c r="T1676" s="26"/>
      <c r="U1676" s="26"/>
      <c r="V1676" s="26"/>
      <c r="W1676" s="26"/>
      <c r="X1676" s="26"/>
    </row>
    <row r="1677" hidden="1">
      <c r="A1677" s="10" t="s">
        <v>190</v>
      </c>
      <c r="B1677" s="10" t="s">
        <v>5263</v>
      </c>
      <c r="C1677" s="27" t="s">
        <v>5264</v>
      </c>
      <c r="D1677" s="10" t="s">
        <v>5265</v>
      </c>
      <c r="E1677" s="28" t="s">
        <v>194</v>
      </c>
      <c r="F1677" s="23" t="s">
        <v>195</v>
      </c>
      <c r="G1677" s="23" t="s">
        <v>203</v>
      </c>
      <c r="H1677" s="23" t="s">
        <v>242</v>
      </c>
      <c r="I1677" s="23" t="s">
        <v>364</v>
      </c>
      <c r="J1677" s="23" t="s">
        <v>198</v>
      </c>
      <c r="K1677" s="23" t="str">
        <f t="shared" si="1"/>
        <v>603056</v>
      </c>
      <c r="L1677" s="23"/>
      <c r="M1677" s="26"/>
      <c r="N1677" s="26"/>
      <c r="O1677" s="26"/>
      <c r="P1677" s="26"/>
      <c r="Q1677" s="26"/>
      <c r="R1677" s="26"/>
      <c r="S1677" s="26"/>
      <c r="T1677" s="26"/>
      <c r="U1677" s="26"/>
      <c r="V1677" s="26"/>
      <c r="W1677" s="26"/>
      <c r="X1677" s="26"/>
    </row>
    <row r="1678" hidden="1">
      <c r="A1678" s="10" t="s">
        <v>190</v>
      </c>
      <c r="B1678" s="10" t="s">
        <v>5266</v>
      </c>
      <c r="C1678" s="27" t="s">
        <v>5267</v>
      </c>
      <c r="D1678" s="10" t="s">
        <v>5268</v>
      </c>
      <c r="E1678" s="28" t="s">
        <v>194</v>
      </c>
      <c r="F1678" s="23" t="s">
        <v>195</v>
      </c>
      <c r="G1678" s="23" t="s">
        <v>203</v>
      </c>
      <c r="H1678" s="23" t="s">
        <v>600</v>
      </c>
      <c r="I1678" s="23" t="s">
        <v>1579</v>
      </c>
      <c r="J1678" s="23" t="s">
        <v>198</v>
      </c>
      <c r="K1678" s="23" t="str">
        <f t="shared" si="1"/>
        <v>603506</v>
      </c>
      <c r="L1678" s="23"/>
      <c r="M1678" s="26"/>
      <c r="N1678" s="26"/>
      <c r="O1678" s="26"/>
      <c r="P1678" s="26"/>
      <c r="Q1678" s="26"/>
      <c r="R1678" s="26"/>
      <c r="S1678" s="26"/>
      <c r="T1678" s="26"/>
      <c r="U1678" s="26"/>
      <c r="V1678" s="26"/>
      <c r="W1678" s="26"/>
      <c r="X1678" s="26"/>
    </row>
    <row r="1679" hidden="1">
      <c r="A1679" s="10" t="s">
        <v>190</v>
      </c>
      <c r="B1679" s="10" t="s">
        <v>5269</v>
      </c>
      <c r="C1679" s="27" t="s">
        <v>5270</v>
      </c>
      <c r="D1679" s="10" t="s">
        <v>5271</v>
      </c>
      <c r="E1679" s="28" t="s">
        <v>194</v>
      </c>
      <c r="F1679" s="23" t="s">
        <v>195</v>
      </c>
      <c r="G1679" s="23" t="s">
        <v>203</v>
      </c>
      <c r="H1679" s="23" t="s">
        <v>600</v>
      </c>
      <c r="I1679" s="23" t="s">
        <v>1579</v>
      </c>
      <c r="J1679" s="23" t="s">
        <v>198</v>
      </c>
      <c r="K1679" s="23" t="str">
        <f t="shared" si="1"/>
        <v>603490</v>
      </c>
      <c r="L1679" s="23"/>
      <c r="M1679" s="26"/>
      <c r="N1679" s="26"/>
      <c r="O1679" s="26"/>
      <c r="P1679" s="26"/>
      <c r="Q1679" s="26"/>
      <c r="R1679" s="26"/>
      <c r="S1679" s="26"/>
      <c r="T1679" s="26"/>
      <c r="U1679" s="26"/>
      <c r="V1679" s="26"/>
      <c r="W1679" s="26"/>
      <c r="X1679" s="26"/>
    </row>
    <row r="1680" hidden="1">
      <c r="A1680" s="10" t="s">
        <v>190</v>
      </c>
      <c r="B1680" s="10" t="s">
        <v>5272</v>
      </c>
      <c r="C1680" s="27" t="s">
        <v>5273</v>
      </c>
      <c r="D1680" s="10" t="s">
        <v>5274</v>
      </c>
      <c r="E1680" s="28" t="s">
        <v>194</v>
      </c>
      <c r="F1680" s="23" t="s">
        <v>195</v>
      </c>
      <c r="G1680" s="23" t="s">
        <v>203</v>
      </c>
      <c r="H1680" s="23" t="s">
        <v>433</v>
      </c>
      <c r="I1680" s="23" t="s">
        <v>1763</v>
      </c>
      <c r="J1680" s="23" t="s">
        <v>198</v>
      </c>
      <c r="K1680" s="23" t="str">
        <f t="shared" si="1"/>
        <v>688503</v>
      </c>
      <c r="L1680" s="23"/>
      <c r="M1680" s="26"/>
      <c r="N1680" s="26"/>
      <c r="O1680" s="26"/>
      <c r="P1680" s="26"/>
      <c r="Q1680" s="26"/>
      <c r="R1680" s="26"/>
      <c r="S1680" s="26"/>
      <c r="T1680" s="26"/>
      <c r="U1680" s="26"/>
      <c r="V1680" s="26"/>
      <c r="W1680" s="26"/>
      <c r="X1680" s="26"/>
    </row>
    <row r="1681" hidden="1">
      <c r="A1681" s="10" t="s">
        <v>190</v>
      </c>
      <c r="B1681" s="10" t="s">
        <v>5275</v>
      </c>
      <c r="C1681" s="27" t="s">
        <v>5276</v>
      </c>
      <c r="D1681" s="10" t="s">
        <v>5277</v>
      </c>
      <c r="E1681" s="28" t="s">
        <v>194</v>
      </c>
      <c r="F1681" s="23" t="s">
        <v>195</v>
      </c>
      <c r="G1681" s="23" t="s">
        <v>203</v>
      </c>
      <c r="H1681" s="23" t="s">
        <v>242</v>
      </c>
      <c r="I1681" s="23" t="s">
        <v>364</v>
      </c>
      <c r="J1681" s="23" t="s">
        <v>198</v>
      </c>
      <c r="K1681" s="23" t="str">
        <f t="shared" si="1"/>
        <v>651422</v>
      </c>
      <c r="L1681" s="23"/>
      <c r="M1681" s="26"/>
      <c r="N1681" s="26"/>
      <c r="O1681" s="26"/>
      <c r="P1681" s="26"/>
      <c r="Q1681" s="26"/>
      <c r="R1681" s="26"/>
      <c r="S1681" s="26"/>
      <c r="T1681" s="26"/>
      <c r="U1681" s="26"/>
      <c r="V1681" s="26"/>
      <c r="W1681" s="26"/>
      <c r="X1681" s="26"/>
    </row>
    <row r="1682" hidden="1">
      <c r="A1682" s="10" t="s">
        <v>190</v>
      </c>
      <c r="B1682" s="10" t="s">
        <v>5278</v>
      </c>
      <c r="C1682" s="27" t="s">
        <v>5279</v>
      </c>
      <c r="D1682" s="10" t="s">
        <v>5280</v>
      </c>
      <c r="E1682" s="28" t="s">
        <v>194</v>
      </c>
      <c r="F1682" s="23" t="s">
        <v>195</v>
      </c>
      <c r="G1682" s="23" t="s">
        <v>203</v>
      </c>
      <c r="H1682" s="23" t="s">
        <v>242</v>
      </c>
      <c r="I1682" s="23" t="s">
        <v>364</v>
      </c>
      <c r="J1682" s="23" t="s">
        <v>198</v>
      </c>
      <c r="K1682" s="23" t="str">
        <f t="shared" si="1"/>
        <v>603049</v>
      </c>
      <c r="L1682" s="23"/>
      <c r="M1682" s="26"/>
      <c r="N1682" s="26"/>
      <c r="O1682" s="26"/>
      <c r="P1682" s="26"/>
      <c r="Q1682" s="26"/>
      <c r="R1682" s="26"/>
      <c r="S1682" s="26"/>
      <c r="T1682" s="26"/>
      <c r="U1682" s="26"/>
      <c r="V1682" s="26"/>
      <c r="W1682" s="26"/>
      <c r="X1682" s="26"/>
    </row>
    <row r="1683" hidden="1">
      <c r="A1683" s="10" t="s">
        <v>190</v>
      </c>
      <c r="B1683" s="10" t="s">
        <v>5281</v>
      </c>
      <c r="C1683" s="27" t="s">
        <v>5282</v>
      </c>
      <c r="D1683" s="10" t="s">
        <v>5283</v>
      </c>
      <c r="E1683" s="28" t="s">
        <v>194</v>
      </c>
      <c r="F1683" s="23" t="s">
        <v>195</v>
      </c>
      <c r="G1683" s="23" t="s">
        <v>203</v>
      </c>
      <c r="H1683" s="23" t="s">
        <v>573</v>
      </c>
      <c r="I1683" s="23" t="s">
        <v>5284</v>
      </c>
      <c r="J1683" s="23" t="s">
        <v>198</v>
      </c>
      <c r="K1683" s="23" t="str">
        <f t="shared" si="1"/>
        <v>684321</v>
      </c>
      <c r="L1683" s="23"/>
      <c r="M1683" s="26"/>
      <c r="N1683" s="26"/>
      <c r="O1683" s="26"/>
      <c r="P1683" s="26"/>
      <c r="Q1683" s="26"/>
      <c r="R1683" s="26"/>
      <c r="S1683" s="26"/>
      <c r="T1683" s="26"/>
      <c r="U1683" s="26"/>
      <c r="V1683" s="26"/>
      <c r="W1683" s="26"/>
      <c r="X1683" s="26"/>
    </row>
    <row r="1684" hidden="1">
      <c r="A1684" s="10" t="s">
        <v>190</v>
      </c>
      <c r="B1684" s="10" t="s">
        <v>5285</v>
      </c>
      <c r="C1684" s="27" t="s">
        <v>5286</v>
      </c>
      <c r="D1684" s="10" t="s">
        <v>5287</v>
      </c>
      <c r="E1684" s="28" t="s">
        <v>194</v>
      </c>
      <c r="F1684" s="23" t="s">
        <v>195</v>
      </c>
      <c r="G1684" s="23" t="s">
        <v>203</v>
      </c>
      <c r="H1684" s="23" t="s">
        <v>600</v>
      </c>
      <c r="I1684" s="23" t="s">
        <v>1579</v>
      </c>
      <c r="J1684" s="23" t="s">
        <v>198</v>
      </c>
      <c r="K1684" s="23" t="str">
        <f t="shared" si="1"/>
        <v>684116</v>
      </c>
      <c r="L1684" s="23"/>
      <c r="M1684" s="26"/>
      <c r="N1684" s="26"/>
      <c r="O1684" s="26"/>
      <c r="P1684" s="26"/>
      <c r="Q1684" s="26"/>
      <c r="R1684" s="26"/>
      <c r="S1684" s="26"/>
      <c r="T1684" s="26"/>
      <c r="U1684" s="26"/>
      <c r="V1684" s="26"/>
      <c r="W1684" s="26"/>
      <c r="X1684" s="26"/>
    </row>
    <row r="1685" hidden="1">
      <c r="A1685" s="10" t="s">
        <v>190</v>
      </c>
      <c r="B1685" s="10" t="s">
        <v>5288</v>
      </c>
      <c r="C1685" s="27" t="s">
        <v>5289</v>
      </c>
      <c r="D1685" s="10" t="s">
        <v>5290</v>
      </c>
      <c r="E1685" s="28" t="s">
        <v>194</v>
      </c>
      <c r="F1685" s="23" t="s">
        <v>195</v>
      </c>
      <c r="G1685" s="23" t="s">
        <v>203</v>
      </c>
      <c r="H1685" s="23" t="s">
        <v>284</v>
      </c>
      <c r="I1685" s="23" t="s">
        <v>285</v>
      </c>
      <c r="J1685" s="23" t="s">
        <v>229</v>
      </c>
      <c r="K1685" s="23" t="str">
        <f t="shared" si="1"/>
        <v>648927</v>
      </c>
      <c r="L1685" s="23"/>
      <c r="M1685" s="26"/>
      <c r="N1685" s="26"/>
      <c r="O1685" s="26"/>
      <c r="P1685" s="26"/>
      <c r="Q1685" s="26"/>
      <c r="R1685" s="26"/>
      <c r="S1685" s="26"/>
      <c r="T1685" s="26"/>
      <c r="U1685" s="26"/>
      <c r="V1685" s="26"/>
      <c r="W1685" s="26"/>
      <c r="X1685" s="26"/>
    </row>
    <row r="1686" hidden="1">
      <c r="A1686" s="10" t="s">
        <v>190</v>
      </c>
      <c r="B1686" s="10" t="s">
        <v>5291</v>
      </c>
      <c r="C1686" s="27" t="s">
        <v>5292</v>
      </c>
      <c r="D1686" s="10" t="s">
        <v>5293</v>
      </c>
      <c r="E1686" s="28" t="s">
        <v>194</v>
      </c>
      <c r="F1686" s="23" t="s">
        <v>195</v>
      </c>
      <c r="G1686" s="23" t="s">
        <v>203</v>
      </c>
      <c r="H1686" s="23" t="s">
        <v>998</v>
      </c>
      <c r="I1686" s="23" t="s">
        <v>1591</v>
      </c>
      <c r="J1686" s="23" t="s">
        <v>198</v>
      </c>
      <c r="K1686" s="23" t="str">
        <f t="shared" si="1"/>
        <v>657714</v>
      </c>
      <c r="L1686" s="23"/>
      <c r="M1686" s="26"/>
      <c r="N1686" s="26"/>
      <c r="O1686" s="26"/>
      <c r="P1686" s="26"/>
      <c r="Q1686" s="26"/>
      <c r="R1686" s="26"/>
      <c r="S1686" s="26"/>
      <c r="T1686" s="26"/>
      <c r="U1686" s="26"/>
      <c r="V1686" s="26"/>
      <c r="W1686" s="26"/>
      <c r="X1686" s="26"/>
    </row>
    <row r="1687" hidden="1">
      <c r="A1687" s="10" t="s">
        <v>190</v>
      </c>
      <c r="B1687" s="10"/>
      <c r="C1687" s="27" t="s">
        <v>5294</v>
      </c>
      <c r="D1687" s="10" t="s">
        <v>5295</v>
      </c>
      <c r="E1687" s="28" t="s">
        <v>194</v>
      </c>
      <c r="F1687" s="23" t="s">
        <v>195</v>
      </c>
      <c r="G1687" s="23" t="s">
        <v>1</v>
      </c>
      <c r="H1687" s="23"/>
      <c r="I1687" s="23"/>
      <c r="J1687" s="23"/>
      <c r="K1687" s="23" t="str">
        <f t="shared" si="1"/>
        <v>691985</v>
      </c>
      <c r="L1687" s="23"/>
      <c r="M1687" s="26"/>
      <c r="N1687" s="26"/>
      <c r="O1687" s="26"/>
      <c r="P1687" s="26"/>
      <c r="Q1687" s="26"/>
      <c r="R1687" s="26"/>
      <c r="S1687" s="26"/>
      <c r="T1687" s="26"/>
      <c r="U1687" s="26"/>
      <c r="V1687" s="26"/>
      <c r="W1687" s="26"/>
      <c r="X1687" s="26"/>
    </row>
    <row r="1688" hidden="1">
      <c r="A1688" s="10" t="s">
        <v>190</v>
      </c>
      <c r="B1688" s="10"/>
      <c r="C1688" s="27" t="s">
        <v>118</v>
      </c>
      <c r="D1688" s="10" t="s">
        <v>119</v>
      </c>
      <c r="E1688" s="28" t="s">
        <v>5296</v>
      </c>
      <c r="F1688" s="23"/>
      <c r="G1688" s="23" t="s">
        <v>203</v>
      </c>
      <c r="H1688" s="23"/>
      <c r="I1688" s="23"/>
      <c r="J1688" s="23"/>
      <c r="K1688" s="27" t="s">
        <v>118</v>
      </c>
      <c r="L1688" s="23"/>
      <c r="M1688" s="26"/>
      <c r="N1688" s="26"/>
      <c r="O1688" s="26"/>
      <c r="P1688" s="26"/>
      <c r="Q1688" s="26"/>
      <c r="R1688" s="26"/>
      <c r="S1688" s="26"/>
      <c r="T1688" s="26"/>
      <c r="U1688" s="26"/>
      <c r="V1688" s="26"/>
      <c r="W1688" s="26"/>
      <c r="X1688" s="26"/>
    </row>
  </sheetData>
  <autoFilter ref="$A$2:$L$1688">
    <filterColumn colId="3">
      <filters>
        <filter val="ROLLO CARTON ACOLCHADO 40cmx5mt 1 UND"/>
      </filters>
    </filterColumn>
  </autoFil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9" t="s">
        <v>5297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hidden="1" min="1" max="5" width="10.5"/>
    <col customWidth="1" min="6" max="6" width="11.75"/>
    <col customWidth="1" min="7" max="7" width="35.0"/>
    <col customWidth="1" min="8" max="8" width="12.75"/>
    <col customWidth="1" min="9" max="9" width="15.0"/>
    <col customWidth="1" min="10" max="10" width="4.0"/>
    <col hidden="1" min="11" max="13" width="12.63"/>
    <col customWidth="1" min="14" max="14" width="5.63"/>
    <col customWidth="1" min="15" max="15" width="10.88"/>
    <col customWidth="1" min="16" max="16" width="33.88"/>
    <col customWidth="1" min="17" max="17" width="12.75"/>
    <col customWidth="1" min="18" max="18" width="14.25"/>
    <col customWidth="1" min="19" max="19" width="3.75"/>
    <col customWidth="1" min="20" max="26" width="10.5"/>
  </cols>
  <sheetData>
    <row r="1">
      <c r="A1" s="37"/>
      <c r="B1" s="37"/>
      <c r="C1" s="37"/>
      <c r="D1" s="37"/>
      <c r="E1" s="37"/>
      <c r="F1" s="38" t="s">
        <v>0</v>
      </c>
      <c r="J1" s="39"/>
      <c r="O1" s="40" t="s">
        <v>5298</v>
      </c>
      <c r="S1" s="41"/>
      <c r="T1" s="37"/>
      <c r="U1" s="37"/>
      <c r="V1" s="37"/>
      <c r="W1" s="37"/>
      <c r="X1" s="37"/>
      <c r="Y1" s="37"/>
      <c r="Z1" s="37"/>
    </row>
    <row r="2">
      <c r="A2" s="42" t="str">
        <f>IFERROR(__xludf.DUMMYFUNCTION("QUERY(
  IMPORTRANGE(""1oLY-_7Ql1toJl2o9ZgyErbC_zorS8Tr2hEYMAeT0knk"", ""Ubicaciones!BD:BG""),
  ""SELECT Col2, Col3, SUM(Col4) 
   WHERE Col2 IS NOT NULL
   GROUP BY Col2, Col3 
   LABEL Col2 'SKU', Col3 'DESCRIPCIÓN', SUM(Col4) 'CANTIDAD TOTAL'"",-1 
)"),"SKU")</f>
        <v>SKU</v>
      </c>
      <c r="B2" s="42" t="str">
        <f>IFERROR(__xludf.DUMMYFUNCTION("""COMPUTED_VALUE"""),"DESCRIPCIÓN")</f>
        <v>DESCRIPCIÓN</v>
      </c>
      <c r="C2" s="42" t="str">
        <f>IFERROR(__xludf.DUMMYFUNCTION("""COMPUTED_VALUE"""),"CANTIDAD TOTAL")</f>
        <v>CANTIDAD TOTAL</v>
      </c>
      <c r="D2" s="43" t="s">
        <v>185</v>
      </c>
      <c r="E2" s="37"/>
      <c r="F2" s="44" t="s">
        <v>39</v>
      </c>
      <c r="G2" s="44" t="s">
        <v>5299</v>
      </c>
      <c r="H2" s="45" t="s">
        <v>5300</v>
      </c>
      <c r="I2" s="46" t="s">
        <v>185</v>
      </c>
      <c r="J2" s="46" t="s">
        <v>5301</v>
      </c>
      <c r="O2" s="47" t="s">
        <v>39</v>
      </c>
      <c r="P2" s="47"/>
      <c r="Q2" s="47" t="s">
        <v>5300</v>
      </c>
      <c r="R2" s="48" t="s">
        <v>185</v>
      </c>
      <c r="S2" s="48" t="s">
        <v>5301</v>
      </c>
      <c r="T2" s="37"/>
      <c r="U2" s="37"/>
      <c r="V2" s="37"/>
      <c r="W2" s="37"/>
      <c r="X2" s="37"/>
      <c r="Y2" s="37"/>
      <c r="Z2" s="37"/>
    </row>
    <row r="3">
      <c r="A3" s="42" t="str">
        <f>IFERROR(__xludf.DUMMYFUNCTION("""COMPUTED_VALUE"""),"600482X")</f>
        <v>600482X</v>
      </c>
      <c r="B3" s="42" t="str">
        <f>IFERROR(__xludf.DUMMYFUNCTION("""COMPUTED_VALUE"""),"CAJA CARTON CON ASAS 40X30X30 CM  EASY")</f>
        <v>CAJA CARTON CON ASAS 40X30X30 CM  EASY</v>
      </c>
      <c r="C3" s="42">
        <f>IFERROR(__xludf.DUMMYFUNCTION("""COMPUTED_VALUE"""),1940.0)</f>
        <v>1940</v>
      </c>
      <c r="D3" s="42" t="str">
        <f t="array" ref="D3">IFERROR(INDEX(Maestro!I$2:I1000, MATCH($A3, Maestro!C$2:C1000, 0)), "No encontrado")</f>
        <v>CAJA</v>
      </c>
      <c r="E3" s="37"/>
      <c r="F3" s="37" t="str">
        <f>IFERROR(__xludf.DUMMYFUNCTION("QUERY(Maestro,""SELECT Col3,Col4 WHERE Col1 = 'ACTIVO' AND Col5 &lt;&gt; 'PRODUCTO TERMINADO' AND Col1 is not null "")"),"600482X")</f>
        <v>600482X</v>
      </c>
      <c r="G3" s="37" t="str">
        <f>IFERROR(__xludf.DUMMYFUNCTION("""COMPUTED_VALUE"""),"CAJA CARTON CON ASAS 40X30X30 CM  EASY")</f>
        <v>CAJA CARTON CON ASAS 40X30X30 CM  EASY</v>
      </c>
      <c r="H3" s="37">
        <f>IFERROR(__xludf.DUMMYFUNCTION("IFERROR(INDEX(QUERY(IMPORTRANGE(""1oLY-_7Ql1toJl2o9ZgyErbC_zorS8Tr2hEYMAeT0knk"",""Ubicaciones!BD2:BG""),""SELECT SUM(Col4) WHERE Col2 = '""&amp;$F3&amp;""' LABEL SUM(Col4) ''"", 0), 1, 1),0) + SUMIF(IRNMTN!C:C,F3,IRNMTN!E:E)"),1940.0)</f>
        <v>1940</v>
      </c>
      <c r="I3" s="37" t="str">
        <f t="array" ref="I3">IFERROR(INDEX(Maestro!I$2:I1000, MATCH($F3, Maestro!C$2:C1000, 0)), "No encontrado")</f>
        <v>CAJA</v>
      </c>
      <c r="J3" s="49">
        <f t="array" ref="J3">IFERROR(INDEX(Maestro!K2:K1000, MATCH(F3, Maestro!C2:C1000, 0)), "No encontrado")</f>
        <v>720</v>
      </c>
      <c r="O3" s="37" t="str">
        <f>IFERROR(__xludf.DUMMYFUNCTION("QUERY(Maestro,""SELECT Col3,Col4 WHERE Col1 = 'ACTIVO' AND Col5 = 'PRODUCTO TERMINADO'"")"),"600482")</f>
        <v>600482</v>
      </c>
      <c r="P3" s="37" t="str">
        <f>IFERROR(__xludf.DUMMYFUNCTION("""COMPUTED_VALUE"""),"CAJA CARTON CON ASAS 40X30X30 CM 5UN EASY")</f>
        <v>CAJA CARTON CON ASAS 40X30X30 CM 5UN EASY</v>
      </c>
      <c r="Q3" s="37">
        <f>IFERROR(__xludf.DUMMYFUNCTION("IFERROR(INDEX(QUERY(IMPORTRANGE(""1oLY-_7Ql1toJl2o9ZgyErbC_zorS8Tr2hEYMAeT0knk"",""Ubicaciones!BD2:BG""),""SELECT SUM(Col4) WHERE Col2 = '""&amp;$O3&amp;""' LABEL SUM(Col4) ''"", 0), 1, 1),0)"),0.0)</f>
        <v>0</v>
      </c>
      <c r="R3" s="37" t="str">
        <f t="array" ref="R3">IFERROR(INDEX(Maestro!I$2:I1000, MATCH($O3, Maestro!C$2:C1000, 0)), "No encontrado")</f>
        <v>CAJA</v>
      </c>
      <c r="S3" s="50" t="str">
        <f t="array" ref="S3">IFERROR(INDEX(Maestro!K2:K1000, MATCH(O3, Maestro!C2:C1000, 0)), "No encontrado")</f>
        <v/>
      </c>
      <c r="T3" s="37"/>
      <c r="U3" s="37"/>
      <c r="V3" s="37"/>
      <c r="W3" s="37"/>
      <c r="X3" s="37"/>
      <c r="Y3" s="37"/>
      <c r="Z3" s="37"/>
    </row>
    <row r="4">
      <c r="A4" s="42" t="str">
        <f>IFERROR(__xludf.DUMMYFUNCTION("""COMPUTED_VALUE"""),"600499X")</f>
        <v>600499X</v>
      </c>
      <c r="B4" s="42" t="str">
        <f>IFERROR(__xludf.DUMMYFUNCTION("""COMPUTED_VALUE"""),"CAJA CARTON CON ASAS 50X30X30 CM EASY")</f>
        <v>CAJA CARTON CON ASAS 50X30X30 CM EASY</v>
      </c>
      <c r="C4" s="42">
        <f>IFERROR(__xludf.DUMMYFUNCTION("""COMPUTED_VALUE"""),400.0)</f>
        <v>400</v>
      </c>
      <c r="D4" s="42" t="str">
        <f t="array" ref="D4">IFERROR(INDEX(Maestro!I$2:I1000, MATCH($A4, Maestro!C$2:C1000, 0)), "No encontrado")</f>
        <v>CAJA</v>
      </c>
      <c r="E4" s="37"/>
      <c r="F4" s="37" t="str">
        <f>IFERROR(__xludf.DUMMYFUNCTION("""COMPUTED_VALUE"""),"600499X")</f>
        <v>600499X</v>
      </c>
      <c r="G4" s="37" t="str">
        <f>IFERROR(__xludf.DUMMYFUNCTION("""COMPUTED_VALUE"""),"CAJA CARTON CON ASAS 50X30X30 CM EASY")</f>
        <v>CAJA CARTON CON ASAS 50X30X30 CM EASY</v>
      </c>
      <c r="H4" s="37">
        <f>IFERROR(__xludf.DUMMYFUNCTION("IFERROR(INDEX(QUERY(IMPORTRANGE(""1oLY-_7Ql1toJl2o9ZgyErbC_zorS8Tr2hEYMAeT0knk"",""Ubicaciones!BD2:BG""),""SELECT SUM(Col4) WHERE Col2 = '""&amp;$F4&amp;""' LABEL SUM(Col4) ''"", 0), 1, 1),0) + SUMIF(IRNMTN!C:C,F4,IRNMTN!E:E)"),400.0)</f>
        <v>400</v>
      </c>
      <c r="I4" s="37" t="str">
        <f t="array" ref="I4">IFERROR(INDEX(Maestro!I$2:I1000, MATCH($F4, Maestro!C$2:C1000, 0)), "No encontrado")</f>
        <v>CAJA</v>
      </c>
      <c r="J4" s="49">
        <f t="array" ref="J4">IFERROR(INDEX(Maestro!K3:K1000, MATCH(F4, Maestro!C3:C1000, 0)), "No encontrado")</f>
        <v>720</v>
      </c>
      <c r="O4" s="37" t="str">
        <f>IFERROR(__xludf.DUMMYFUNCTION("""COMPUTED_VALUE"""),"600499")</f>
        <v>600499</v>
      </c>
      <c r="P4" s="37" t="str">
        <f>IFERROR(__xludf.DUMMYFUNCTION("""COMPUTED_VALUE"""),"CAJA CARTON CON ASAS 50X30X30 CM 5UN EASY")</f>
        <v>CAJA CARTON CON ASAS 50X30X30 CM 5UN EASY</v>
      </c>
      <c r="Q4" s="37">
        <f>IFERROR(__xludf.DUMMYFUNCTION("IFERROR(INDEX(QUERY(IMPORTRANGE(""1oLY-_7Ql1toJl2o9ZgyErbC_zorS8Tr2hEYMAeT0knk"",""Ubicaciones!BD2:BG""),""SELECT SUM(Col4) WHERE Col2 = '""&amp;$O4&amp;""' LABEL SUM(Col4) ''"", 0), 1, 1),0)"),0.0)</f>
        <v>0</v>
      </c>
      <c r="R4" s="37" t="str">
        <f t="array" ref="R4">IFERROR(INDEX(Maestro!I$2:I1000, MATCH($O4, Maestro!C$2:C1000, 0)), "No encontrado")</f>
        <v>CAJA</v>
      </c>
      <c r="S4" s="50" t="str">
        <f t="array" ref="S4">IFERROR(INDEX(Maestro!K3:K1000, MATCH(O4, Maestro!C3:C1000, 0)), "No encontrado")</f>
        <v/>
      </c>
      <c r="T4" s="37"/>
      <c r="U4" s="37"/>
      <c r="V4" s="37"/>
      <c r="W4" s="37"/>
      <c r="X4" s="37"/>
      <c r="Y4" s="37"/>
      <c r="Z4" s="37"/>
    </row>
    <row r="5">
      <c r="A5" s="42" t="str">
        <f>IFERROR(__xludf.DUMMYFUNCTION("""COMPUTED_VALUE"""),"600505X")</f>
        <v>600505X</v>
      </c>
      <c r="B5" s="42" t="str">
        <f>IFERROR(__xludf.DUMMYFUNCTION("""COMPUTED_VALUE"""),"CAJA CARTON CON ASAS 70X30X30 CM EASY")</f>
        <v>CAJA CARTON CON ASAS 70X30X30 CM EASY</v>
      </c>
      <c r="C5" s="42">
        <f>IFERROR(__xludf.DUMMYFUNCTION("""COMPUTED_VALUE"""),2720.0)</f>
        <v>2720</v>
      </c>
      <c r="D5" s="42" t="str">
        <f t="array" ref="D5">IFERROR(INDEX(Maestro!I$2:I1000, MATCH($A5, Maestro!C$2:C1000, 0)), "No encontrado")</f>
        <v>CAJA</v>
      </c>
      <c r="E5" s="37"/>
      <c r="F5" s="37" t="str">
        <f>IFERROR(__xludf.DUMMYFUNCTION("""COMPUTED_VALUE"""),"600505X")</f>
        <v>600505X</v>
      </c>
      <c r="G5" s="37" t="str">
        <f>IFERROR(__xludf.DUMMYFUNCTION("""COMPUTED_VALUE"""),"CAJA CARTON CON ASAS 70X30X30 CM EASY")</f>
        <v>CAJA CARTON CON ASAS 70X30X30 CM EASY</v>
      </c>
      <c r="H5" s="37">
        <f>IFERROR(__xludf.DUMMYFUNCTION("IFERROR(INDEX(QUERY(IMPORTRANGE(""1oLY-_7Ql1toJl2o9ZgyErbC_zorS8Tr2hEYMAeT0knk"",""Ubicaciones!BD2:BG""),""SELECT SUM(Col4) WHERE Col2 = '""&amp;$F5&amp;""' LABEL SUM(Col4) ''"", 0), 1, 1),0) + SUMIF(IRNMTN!C:C,F5,IRNMTN!E:E)"),2720.0)</f>
        <v>2720</v>
      </c>
      <c r="I5" s="37" t="str">
        <f t="array" ref="I5">IFERROR(INDEX(Maestro!I$2:I1000, MATCH($F5, Maestro!C$2:C1000, 0)), "No encontrado")</f>
        <v>CAJA</v>
      </c>
      <c r="J5" s="49">
        <f t="array" ref="J5">IFERROR(INDEX(Maestro!K4:K1000, MATCH(F5, Maestro!C4:C1000, 0)), "No encontrado")</f>
        <v>720</v>
      </c>
      <c r="O5" s="37" t="str">
        <f>IFERROR(__xludf.DUMMYFUNCTION("""COMPUTED_VALUE"""),"600505")</f>
        <v>600505</v>
      </c>
      <c r="P5" s="37" t="str">
        <f>IFERROR(__xludf.DUMMYFUNCTION("""COMPUTED_VALUE"""),"CAJA CARTON CON ASAS 70X30X30 CM 5UN EASY")</f>
        <v>CAJA CARTON CON ASAS 70X30X30 CM 5UN EASY</v>
      </c>
      <c r="Q5" s="37">
        <f>IFERROR(__xludf.DUMMYFUNCTION("IFERROR(INDEX(QUERY(IMPORTRANGE(""1oLY-_7Ql1toJl2o9ZgyErbC_zorS8Tr2hEYMAeT0knk"",""Ubicaciones!BD2:BG""),""SELECT SUM(Col4) WHERE Col2 = '""&amp;$O5&amp;""' LABEL SUM(Col4) ''"", 0), 1, 1),0)"),0.0)</f>
        <v>0</v>
      </c>
      <c r="R5" s="37" t="str">
        <f t="array" ref="R5">IFERROR(INDEX(Maestro!I$2:I1000, MATCH($O5, Maestro!C$2:C1000, 0)), "No encontrado")</f>
        <v>CAJA</v>
      </c>
      <c r="S5" s="50" t="str">
        <f t="array" ref="S5">IFERROR(INDEX(Maestro!K4:K1000, MATCH(O5, Maestro!C4:C1000, 0)), "No encontrado")</f>
        <v/>
      </c>
      <c r="T5" s="37"/>
      <c r="U5" s="37"/>
      <c r="V5" s="37"/>
      <c r="W5" s="37"/>
      <c r="X5" s="37"/>
      <c r="Y5" s="37"/>
      <c r="Z5" s="37"/>
    </row>
    <row r="6">
      <c r="A6" s="42" t="str">
        <f>IFERROR(__xludf.DUMMYFUNCTION("""COMPUTED_VALUE"""),"600512")</f>
        <v>600512</v>
      </c>
      <c r="B6" s="42" t="str">
        <f>IFERROR(__xludf.DUMMYFUNCTION("""COMPUTED_VALUE"""),"ROLLO ESPUMA EMBALAJE 1 MM 0,70X5 MT")</f>
        <v>ROLLO ESPUMA EMBALAJE 1 MM 0,70X5 MT</v>
      </c>
      <c r="C6" s="42">
        <f>IFERROR(__xludf.DUMMYFUNCTION("""COMPUTED_VALUE"""),10.0)</f>
        <v>10</v>
      </c>
      <c r="D6" s="42" t="str">
        <f t="array" ref="D6">IFERROR(INDEX(Maestro!I$2:I1000, MATCH($A6, Maestro!C$2:C1000, 0)), "No encontrado")</f>
        <v>ROLLO ESPUMA</v>
      </c>
      <c r="E6" s="37"/>
      <c r="F6" s="37" t="str">
        <f>IFERROR(__xludf.DUMMYFUNCTION("""COMPUTED_VALUE"""),"692036X")</f>
        <v>692036X</v>
      </c>
      <c r="G6" s="37" t="str">
        <f>IFERROR(__xludf.DUMMYFUNCTION("""COMPUTED_VALUE"""),"CAJA CARTON CORRUGADO 47x31x31 ")</f>
        <v>CAJA CARTON CORRUGADO 47x31x31 </v>
      </c>
      <c r="H6" s="37">
        <f>IFERROR(__xludf.DUMMYFUNCTION("IFERROR(INDEX(QUERY(IMPORTRANGE(""1oLY-_7Ql1toJl2o9ZgyErbC_zorS8Tr2hEYMAeT0knk"",""Ubicaciones!BD2:BG""),""SELECT SUM(Col4) WHERE Col2 = '""&amp;$F6&amp;""' LABEL SUM(Col4) ''"", 0), 1, 1),0) + SUMIF(IRNMTN!C:C,F6,IRNMTN!E:E)"),3175.0)</f>
        <v>3175</v>
      </c>
      <c r="I6" s="37" t="str">
        <f t="array" ref="I6">IFERROR(INDEX(Maestro!I$2:I1000, MATCH($F6, Maestro!C$2:C1000, 0)), "No encontrado")</f>
        <v>CAJA</v>
      </c>
      <c r="J6" s="49">
        <f t="array" ref="J6">IFERROR(INDEX(Maestro!K5:K1000, MATCH(F6, Maestro!C5:C1000, 0)), "No encontrado")</f>
        <v>825</v>
      </c>
      <c r="O6" s="37" t="str">
        <f>IFERROR(__xludf.DUMMYFUNCTION("""COMPUTED_VALUE"""),"678986")</f>
        <v>678986</v>
      </c>
      <c r="P6" s="37" t="str">
        <f>IFERROR(__xludf.DUMMYFUNCTION("""COMPUTED_VALUE"""),"CAJA CARTON CORRUGADO 47x31x31 PACK 5 UND")</f>
        <v>CAJA CARTON CORRUGADO 47x31x31 PACK 5 UND</v>
      </c>
      <c r="Q6" s="37">
        <f>IFERROR(__xludf.DUMMYFUNCTION("IFERROR(INDEX(QUERY(IMPORTRANGE(""1oLY-_7Ql1toJl2o9ZgyErbC_zorS8Tr2hEYMAeT0knk"",""Ubicaciones!BD2:BG""),""SELECT SUM(Col4) WHERE Col2 = '""&amp;$O6&amp;""' LABEL SUM(Col4) ''"", 0), 1, 1),0)"),0.0)</f>
        <v>0</v>
      </c>
      <c r="R6" s="37" t="str">
        <f t="array" ref="R6">IFERROR(INDEX(Maestro!I$2:I1000, MATCH($O6, Maestro!C$2:C1000, 0)), "No encontrado")</f>
        <v>CAJA</v>
      </c>
      <c r="S6" s="50" t="str">
        <f t="array" ref="S6">IFERROR(INDEX(Maestro!K5:K1000, MATCH(O6, Maestro!C5:C1000, 0)), "No encontrado")</f>
        <v/>
      </c>
      <c r="T6" s="37"/>
      <c r="U6" s="37"/>
      <c r="V6" s="37"/>
      <c r="W6" s="37"/>
      <c r="X6" s="37"/>
      <c r="Y6" s="37"/>
      <c r="Z6" s="37"/>
    </row>
    <row r="7">
      <c r="A7" s="42" t="str">
        <f>IFERROR(__xludf.DUMMYFUNCTION("""COMPUTED_VALUE"""),"600523XX")</f>
        <v>600523XX</v>
      </c>
      <c r="B7" s="42" t="str">
        <f>IFERROR(__xludf.DUMMYFUNCTION("""COMPUTED_VALUE"""),"PDQ FUNDA PANAL")</f>
        <v>PDQ FUNDA PANAL</v>
      </c>
      <c r="C7" s="42">
        <f>IFERROR(__xludf.DUMMYFUNCTION("""COMPUTED_VALUE"""),37.0)</f>
        <v>37</v>
      </c>
      <c r="D7" s="42" t="str">
        <f t="array" ref="D7">IFERROR(INDEX(Maestro!I$2:I1000, MATCH($A7, Maestro!C$2:C1000, 0)), "No encontrado")</f>
        <v>PDQ</v>
      </c>
      <c r="E7" s="37"/>
      <c r="F7" s="37" t="str">
        <f>IFERROR(__xludf.DUMMYFUNCTION("""COMPUTED_VALUE"""),"692012X")</f>
        <v>692012X</v>
      </c>
      <c r="G7" s="37" t="str">
        <f>IFERROR(__xludf.DUMMYFUNCTION("""COMPUTED_VALUE"""),"CAJA CARTON CORRUGADO 50x40x30 ")</f>
        <v>CAJA CARTON CORRUGADO 50x40x30 </v>
      </c>
      <c r="H7" s="37">
        <f>IFERROR(__xludf.DUMMYFUNCTION("IFERROR(INDEX(QUERY(IMPORTRANGE(""1oLY-_7Ql1toJl2o9ZgyErbC_zorS8Tr2hEYMAeT0knk"",""Ubicaciones!BD2:BG""),""SELECT SUM(Col4) WHERE Col2 = '""&amp;$F7&amp;""' LABEL SUM(Col4) ''"", 0), 1, 1),0) + SUMIF(IRNMTN!C:C,F7,IRNMTN!E:E)"),3953.0)</f>
        <v>3953</v>
      </c>
      <c r="I7" s="37" t="str">
        <f t="array" ref="I7">IFERROR(INDEX(Maestro!I$2:I1000, MATCH($F7, Maestro!C$2:C1000, 0)), "No encontrado")</f>
        <v>CAJA</v>
      </c>
      <c r="J7" s="49">
        <f t="array" ref="J7">IFERROR(INDEX(Maestro!K6:K1000, MATCH(F7, Maestro!C6:C1000, 0)), "No encontrado")</f>
        <v>675</v>
      </c>
      <c r="O7" s="37" t="str">
        <f>IFERROR(__xludf.DUMMYFUNCTION("""COMPUTED_VALUE"""),"690186")</f>
        <v>690186</v>
      </c>
      <c r="P7" s="37" t="str">
        <f>IFERROR(__xludf.DUMMYFUNCTION("""COMPUTED_VALUE"""),"CAJA CARTON CORRUGADO 50x40x30 PACK 5 UND")</f>
        <v>CAJA CARTON CORRUGADO 50x40x30 PACK 5 UND</v>
      </c>
      <c r="Q7" s="37">
        <f>IFERROR(__xludf.DUMMYFUNCTION("IFERROR(INDEX(QUERY(IMPORTRANGE(""1oLY-_7Ql1toJl2o9ZgyErbC_zorS8Tr2hEYMAeT0knk"",""Ubicaciones!BD2:BG""),""SELECT SUM(Col4) WHERE Col2 = '""&amp;$O7&amp;""' LABEL SUM(Col4) ''"", 0), 1, 1),0)"),0.0)</f>
        <v>0</v>
      </c>
      <c r="R7" s="37" t="str">
        <f t="array" ref="R7">IFERROR(INDEX(Maestro!I$2:I1000, MATCH($O7, Maestro!C$2:C1000, 0)), "No encontrado")</f>
        <v>CAJA</v>
      </c>
      <c r="S7" s="50" t="str">
        <f t="array" ref="S7">IFERROR(INDEX(Maestro!K6:K1000, MATCH(O7, Maestro!C6:C1000, 0)), "No encontrado")</f>
        <v/>
      </c>
      <c r="T7" s="37"/>
      <c r="U7" s="37"/>
      <c r="V7" s="37"/>
      <c r="W7" s="37"/>
      <c r="X7" s="37"/>
      <c r="Y7" s="37"/>
      <c r="Z7" s="37"/>
    </row>
    <row r="8">
      <c r="A8" s="42" t="str">
        <f>IFERROR(__xludf.DUMMYFUNCTION("""COMPUTED_VALUE"""),"600536")</f>
        <v>600536</v>
      </c>
      <c r="B8" s="42" t="str">
        <f>IFERROR(__xludf.DUMMYFUNCTION("""COMPUTED_VALUE"""),"ROLLO PAPEL KRAFT 35GR 57X20 MT")</f>
        <v>ROLLO PAPEL KRAFT 35GR 57X20 MT</v>
      </c>
      <c r="C8" s="42">
        <f>IFERROR(__xludf.DUMMYFUNCTION("""COMPUTED_VALUE"""),311.0)</f>
        <v>311</v>
      </c>
      <c r="D8" s="42" t="str">
        <f t="array" ref="D8">IFERROR(INDEX(Maestro!I$2:I1000, MATCH($A8, Maestro!C$2:C1000, 0)), "No encontrado")</f>
        <v>ROLLO PAPEL KRAFT</v>
      </c>
      <c r="E8" s="37"/>
      <c r="F8" s="37" t="str">
        <f>IFERROR(__xludf.DUMMYFUNCTION("""COMPUTED_VALUE"""),"692029X")</f>
        <v>692029X</v>
      </c>
      <c r="G8" s="37" t="str">
        <f>IFERROR(__xludf.DUMMYFUNCTION("""COMPUTED_VALUE"""),"CAJA CARTON CORRUGADO 60x40x40 ")</f>
        <v>CAJA CARTON CORRUGADO 60x40x40 </v>
      </c>
      <c r="H8" s="37">
        <f>IFERROR(__xludf.DUMMYFUNCTION("IFERROR(INDEX(QUERY(IMPORTRANGE(""1oLY-_7Ql1toJl2o9ZgyErbC_zorS8Tr2hEYMAeT0knk"",""Ubicaciones!BD2:BG""),""SELECT SUM(Col4) WHERE Col2 = '""&amp;$F8&amp;""' LABEL SUM(Col4) ''"", 0), 1, 1),0) + SUMIF(IRNMTN!C:C,F8,IRNMTN!E:E)"),5565.0)</f>
        <v>5565</v>
      </c>
      <c r="I8" s="37" t="str">
        <f t="array" ref="I8">IFERROR(INDEX(Maestro!I$2:I1000, MATCH($F8, Maestro!C$2:C1000, 0)), "No encontrado")</f>
        <v>CAJA</v>
      </c>
      <c r="J8" s="49">
        <f t="array" ref="J8">IFERROR(INDEX(Maestro!K7:K1000, MATCH(F8, Maestro!C7:C1000, 0)), "No encontrado")</f>
        <v>2100</v>
      </c>
      <c r="O8" s="37" t="str">
        <f>IFERROR(__xludf.DUMMYFUNCTION("""COMPUTED_VALUE"""),"673281")</f>
        <v>673281</v>
      </c>
      <c r="P8" s="37" t="str">
        <f>IFERROR(__xludf.DUMMYFUNCTION("""COMPUTED_VALUE"""),"CAJA CARTON CORRUGADO 60x40x40 PACK 5 UND")</f>
        <v>CAJA CARTON CORRUGADO 60x40x40 PACK 5 UND</v>
      </c>
      <c r="Q8" s="37">
        <f>IFERROR(__xludf.DUMMYFUNCTION("IFERROR(INDEX(QUERY(IMPORTRANGE(""1oLY-_7Ql1toJl2o9ZgyErbC_zorS8Tr2hEYMAeT0knk"",""Ubicaciones!BD2:BG""),""SELECT SUM(Col4) WHERE Col2 = '""&amp;$O8&amp;""' LABEL SUM(Col4) ''"", 0), 1, 1),0)"),0.0)</f>
        <v>0</v>
      </c>
      <c r="R8" s="37" t="str">
        <f t="array" ref="R8">IFERROR(INDEX(Maestro!I$2:I1000, MATCH($O8, Maestro!C$2:C1000, 0)), "No encontrado")</f>
        <v>CAJA</v>
      </c>
      <c r="S8" s="50" t="str">
        <f t="array" ref="S8">IFERROR(INDEX(Maestro!K7:K1000, MATCH(O8, Maestro!C7:C1000, 0)), "No encontrado")</f>
        <v/>
      </c>
      <c r="T8" s="37"/>
      <c r="U8" s="37"/>
      <c r="V8" s="37"/>
      <c r="W8" s="37"/>
      <c r="X8" s="37"/>
      <c r="Y8" s="37"/>
      <c r="Z8" s="37"/>
    </row>
    <row r="9">
      <c r="A9" s="42" t="str">
        <f>IFERROR(__xludf.DUMMYFUNCTION("""COMPUTED_VALUE"""),"600550")</f>
        <v>600550</v>
      </c>
      <c r="B9" s="42" t="str">
        <f>IFERROR(__xludf.DUMMYFUNCTION("""COMPUTED_VALUE"""),"ROLLO PAPEL PANAL 0,50 X 25MTS")</f>
        <v>ROLLO PAPEL PANAL 0,50 X 25MTS</v>
      </c>
      <c r="C9" s="42">
        <f>IFERROR(__xludf.DUMMYFUNCTION("""COMPUTED_VALUE"""),105.0)</f>
        <v>105</v>
      </c>
      <c r="D9" s="42" t="str">
        <f t="array" ref="D9">IFERROR(INDEX(Maestro!I$2:I1000, MATCH($A9, Maestro!C$2:C1000, 0)), "No encontrado")</f>
        <v>ROLLO PAPEL KRAFT</v>
      </c>
      <c r="E9" s="37"/>
      <c r="F9" s="37" t="str">
        <f>IFERROR(__xludf.DUMMYFUNCTION("""COMPUTED_VALUE"""),"600703")</f>
        <v>600703</v>
      </c>
      <c r="G9" s="37" t="str">
        <f>IFERROR(__xludf.DUMMYFUNCTION("""COMPUTED_VALUE"""),"CAJA CARTON CORRUGADO 60x40x40 S/IMPRESION")</f>
        <v>CAJA CARTON CORRUGADO 60x40x40 S/IMPRESION</v>
      </c>
      <c r="H9" s="37">
        <f>IFERROR(__xludf.DUMMYFUNCTION("IFERROR(INDEX(QUERY(IMPORTRANGE(""1oLY-_7Ql1toJl2o9ZgyErbC_zorS8Tr2hEYMAeT0knk"",""Ubicaciones!BD2:BG""),""SELECT SUM(Col4) WHERE Col2 = '""&amp;$F9&amp;""' LABEL SUM(Col4) ''"", 0), 1, 1),0) + SUMIF(IRNMTN!C:C,F9,IRNMTN!E:E)"),3800.0)</f>
        <v>3800</v>
      </c>
      <c r="I9" s="37" t="str">
        <f t="array" ref="I9">IFERROR(INDEX(Maestro!I$2:I1000, MATCH($F9, Maestro!C$2:C1000, 0)), "No encontrado")</f>
        <v>CAJA</v>
      </c>
      <c r="J9" s="49">
        <f t="array" ref="J9">IFERROR(INDEX(Maestro!K8:K1000, MATCH(F9, Maestro!C8:C1000, 0)), "No encontrado")</f>
        <v>2100</v>
      </c>
      <c r="O9" s="37" t="str">
        <f>IFERROR(__xludf.DUMMYFUNCTION("""COMPUTED_VALUE"""),"674896")</f>
        <v>674896</v>
      </c>
      <c r="P9" s="37" t="str">
        <f>IFERROR(__xludf.DUMMYFUNCTION("""COMPUTED_VALUE"""),"CAJA CARTON CORRUGADO 60x60x50 PACK 5 UND")</f>
        <v>CAJA CARTON CORRUGADO 60x60x50 PACK 5 UND</v>
      </c>
      <c r="Q9" s="37">
        <f>IFERROR(__xludf.DUMMYFUNCTION("IFERROR(INDEX(QUERY(IMPORTRANGE(""1oLY-_7Ql1toJl2o9ZgyErbC_zorS8Tr2hEYMAeT0knk"",""Ubicaciones!BD2:BG""),""SELECT SUM(Col4) WHERE Col2 = '""&amp;$O9&amp;""' LABEL SUM(Col4) ''"", 0), 1, 1),0)"),0.0)</f>
        <v>0</v>
      </c>
      <c r="R9" s="37" t="str">
        <f t="array" ref="R9">IFERROR(INDEX(Maestro!I$2:I1000, MATCH($O9, Maestro!C$2:C1000, 0)), "No encontrado")</f>
        <v>CAJA</v>
      </c>
      <c r="S9" s="50" t="str">
        <f t="array" ref="S9">IFERROR(INDEX(Maestro!K8:K1000, MATCH(O9, Maestro!C8:C1000, 0)), "No encontrado")</f>
        <v/>
      </c>
      <c r="T9" s="37"/>
      <c r="U9" s="37"/>
      <c r="V9" s="37"/>
      <c r="W9" s="37"/>
      <c r="X9" s="37"/>
      <c r="Y9" s="37"/>
      <c r="Z9" s="37"/>
    </row>
    <row r="10">
      <c r="A10" s="42" t="str">
        <f>IFERROR(__xludf.DUMMYFUNCTION("""COMPUTED_VALUE"""),"600567")</f>
        <v>600567</v>
      </c>
      <c r="B10" s="42" t="str">
        <f>IFERROR(__xludf.DUMMYFUNCTION("""COMPUTED_VALUE"""),"SEPARADORES PLATOS 32X23X32")</f>
        <v>SEPARADORES PLATOS 32X23X32</v>
      </c>
      <c r="C10" s="42">
        <f>IFERROR(__xludf.DUMMYFUNCTION("""COMPUTED_VALUE"""),1035.0)</f>
        <v>1035</v>
      </c>
      <c r="D10" s="42" t="str">
        <f t="array" ref="D10">IFERROR(INDEX(Maestro!I$2:I1000, MATCH($A10, Maestro!C$2:C1000, 0)), "No encontrado")</f>
        <v>SEPARADOR</v>
      </c>
      <c r="E10" s="37"/>
      <c r="F10" s="37" t="str">
        <f>IFERROR(__xludf.DUMMYFUNCTION("""COMPUTED_VALUE"""),"692043")</f>
        <v>692043</v>
      </c>
      <c r="G10" s="37" t="str">
        <f>IFERROR(__xludf.DUMMYFUNCTION("""COMPUTED_VALUE"""),"CAJA CARTON CORRUGADO 60x60x50 CM ")</f>
        <v>CAJA CARTON CORRUGADO 60x60x50 CM </v>
      </c>
      <c r="H10" s="37">
        <f>IFERROR(__xludf.DUMMYFUNCTION("IFERROR(INDEX(QUERY(IMPORTRANGE(""1oLY-_7Ql1toJl2o9ZgyErbC_zorS8Tr2hEYMAeT0knk"",""Ubicaciones!BD2:BG""),""SELECT SUM(Col4) WHERE Col2 = '""&amp;$F10&amp;""' LABEL SUM(Col4) ''"", 0), 1, 1),0) + SUMIF(IRNMTN!C:C,F10,IRNMTN!E:E)"),1240.0)</f>
        <v>1240</v>
      </c>
      <c r="I10" s="37" t="str">
        <f t="array" ref="I10">IFERROR(INDEX(Maestro!I$2:I1000, MATCH($F10, Maestro!C$2:C1000, 0)), "No encontrado")</f>
        <v>CAJA</v>
      </c>
      <c r="J10" s="49">
        <f t="array" ref="J10">IFERROR(INDEX(Maestro!K9:K1000, MATCH(F10, Maestro!C9:C1000, 0)), "No encontrado")</f>
        <v>525</v>
      </c>
      <c r="O10" s="37" t="str">
        <f>IFERROR(__xludf.DUMMYFUNCTION("""COMPUTED_VALUE"""),"684468")</f>
        <v>684468</v>
      </c>
      <c r="P10" s="37" t="str">
        <f>IFERROR(__xludf.DUMMYFUNCTION("""COMPUTED_VALUE"""),"CAJA CARTON ENVIOS 25x17x13 CM. PACK 5 UND")</f>
        <v>CAJA CARTON ENVIOS 25x17x13 CM. PACK 5 UND</v>
      </c>
      <c r="Q10" s="37">
        <f>IFERROR(__xludf.DUMMYFUNCTION("IFERROR(INDEX(QUERY(IMPORTRANGE(""1oLY-_7Ql1toJl2o9ZgyErbC_zorS8Tr2hEYMAeT0knk"",""Ubicaciones!BD2:BG""),""SELECT SUM(Col4) WHERE Col2 = '""&amp;$O10&amp;""' LABEL SUM(Col4) ''"", 0), 1, 1),0)"),0.0)</f>
        <v>0</v>
      </c>
      <c r="R10" s="37" t="str">
        <f t="array" ref="R10">IFERROR(INDEX(Maestro!I$2:I1000, MATCH($O10, Maestro!C$2:C1000, 0)), "No encontrado")</f>
        <v>CAJA</v>
      </c>
      <c r="S10" s="50" t="str">
        <f t="array" ref="S10">IFERROR(INDEX(Maestro!K9:K1000, MATCH(O10, Maestro!C9:C1000, 0)), "No encontrado")</f>
        <v/>
      </c>
      <c r="T10" s="37"/>
      <c r="U10" s="37"/>
      <c r="V10" s="37"/>
      <c r="W10" s="37"/>
      <c r="X10" s="37"/>
      <c r="Y10" s="37"/>
      <c r="Z10" s="37"/>
    </row>
    <row r="11">
      <c r="A11" s="42" t="str">
        <f>IFERROR(__xludf.DUMMYFUNCTION("""COMPUTED_VALUE"""),"600567XX")</f>
        <v>600567XX</v>
      </c>
      <c r="B11" s="42" t="str">
        <f>IFERROR(__xludf.DUMMYFUNCTION("""COMPUTED_VALUE"""),"PDQ SEPARADOR PLATO")</f>
        <v>PDQ SEPARADOR PLATO</v>
      </c>
      <c r="C11" s="42">
        <f>IFERROR(__xludf.DUMMYFUNCTION("""COMPUTED_VALUE"""),32.0)</f>
        <v>32</v>
      </c>
      <c r="D11" s="42" t="str">
        <f t="array" ref="D11">IFERROR(INDEX(Maestro!I$2:I1000, MATCH($A11, Maestro!C$2:C1000, 0)), "No encontrado")</f>
        <v>PDQ</v>
      </c>
      <c r="E11" s="37"/>
      <c r="F11" s="37" t="str">
        <f>IFERROR(__xludf.DUMMYFUNCTION("""COMPUTED_VALUE"""),"692432")</f>
        <v>692432</v>
      </c>
      <c r="G11" s="37" t="str">
        <f>IFERROR(__xludf.DUMMYFUNCTION("""COMPUTED_VALUE"""),"CAJA CARTON ENVIOS 25x17x13 CM")</f>
        <v>CAJA CARTON ENVIOS 25x17x13 CM</v>
      </c>
      <c r="H11" s="37">
        <f>IFERROR(__xludf.DUMMYFUNCTION("IFERROR(INDEX(QUERY(IMPORTRANGE(""1oLY-_7Ql1toJl2o9ZgyErbC_zorS8Tr2hEYMAeT0knk"",""Ubicaciones!BD2:BG""),""SELECT SUM(Col4) WHERE Col2 = '""&amp;$F11&amp;""' LABEL SUM(Col4) ''"", 0), 1, 1),0) + SUMIF(IRNMTN!C:C,F11,IRNMTN!E:E)"),895.0)</f>
        <v>895</v>
      </c>
      <c r="I11" s="37" t="str">
        <f t="array" ref="I11">IFERROR(INDEX(Maestro!I$2:I1000, MATCH($F11, Maestro!C$2:C1000, 0)), "No encontrado")</f>
        <v>CAJA</v>
      </c>
      <c r="J11" s="49">
        <f t="array" ref="J11">IFERROR(INDEX(Maestro!K10:K1000, MATCH(F11, Maestro!C10:C1000, 0)), "No encontrado")</f>
        <v>900</v>
      </c>
      <c r="O11" s="37" t="str">
        <f>IFERROR(__xludf.DUMMYFUNCTION("""COMPUTED_VALUE"""),"691411X")</f>
        <v>691411X</v>
      </c>
      <c r="P11" s="37" t="str">
        <f>IFERROR(__xludf.DUMMYFUNCTION("""COMPUTED_VALUE"""),"CAJA CARTON ENVIOS SB 18x10x8 CM.")</f>
        <v>CAJA CARTON ENVIOS SB 18x10x8 CM.</v>
      </c>
      <c r="Q11" s="37">
        <f>IFERROR(__xludf.DUMMYFUNCTION("IFERROR(INDEX(QUERY(IMPORTRANGE(""1oLY-_7Ql1toJl2o9ZgyErbC_zorS8Tr2hEYMAeT0knk"",""Ubicaciones!BD2:BG""),""SELECT SUM(Col4) WHERE Col2 = '""&amp;$O11&amp;""' LABEL SUM(Col4) ''"", 0), 1, 1),0)"),0.0)</f>
        <v>0</v>
      </c>
      <c r="R11" s="37" t="str">
        <f t="array" ref="R11">IFERROR(INDEX(Maestro!I$2:I1000, MATCH($O11, Maestro!C$2:C1000, 0)), "No encontrado")</f>
        <v>CAJA</v>
      </c>
      <c r="S11" s="50" t="str">
        <f t="array" ref="S11">IFERROR(INDEX(Maestro!K10:K1000, MATCH(O11, Maestro!C10:C1000, 0)), "No encontrado")</f>
        <v/>
      </c>
      <c r="T11" s="37"/>
      <c r="U11" s="37"/>
      <c r="V11" s="37"/>
      <c r="W11" s="37"/>
      <c r="X11" s="37"/>
      <c r="Y11" s="37"/>
      <c r="Z11" s="37"/>
    </row>
    <row r="12">
      <c r="A12" s="42" t="str">
        <f>IFERROR(__xludf.DUMMYFUNCTION("""COMPUTED_VALUE"""),"600574")</f>
        <v>600574</v>
      </c>
      <c r="B12" s="42" t="str">
        <f>IFERROR(__xludf.DUMMYFUNCTION("""COMPUTED_VALUE"""),"SEPARADOR VASOS BOTELLAS 32X23X32")</f>
        <v>SEPARADOR VASOS BOTELLAS 32X23X32</v>
      </c>
      <c r="C12" s="42">
        <f>IFERROR(__xludf.DUMMYFUNCTION("""COMPUTED_VALUE"""),2150.0)</f>
        <v>2150</v>
      </c>
      <c r="D12" s="42" t="str">
        <f t="array" ref="D12">IFERROR(INDEX(Maestro!I$2:I1000, MATCH($A12, Maestro!C$2:C1000, 0)), "No encontrado")</f>
        <v>SEPARADOR</v>
      </c>
      <c r="E12" s="37"/>
      <c r="F12" s="37" t="str">
        <f>IFERROR(__xludf.DUMMYFUNCTION("""COMPUTED_VALUE"""),"691411")</f>
        <v>691411</v>
      </c>
      <c r="G12" s="37" t="str">
        <f>IFERROR(__xludf.DUMMYFUNCTION("""COMPUTED_VALUE"""),"CAJA CARTON ENVIOS SB 18x10x8 CM.")</f>
        <v>CAJA CARTON ENVIOS SB 18x10x8 CM.</v>
      </c>
      <c r="H12" s="37">
        <f>IFERROR(__xludf.DUMMYFUNCTION("IFERROR(INDEX(QUERY(IMPORTRANGE(""1oLY-_7Ql1toJl2o9ZgyErbC_zorS8Tr2hEYMAeT0knk"",""Ubicaciones!BD2:BG""),""SELECT SUM(Col4) WHERE Col2 = '""&amp;$F12&amp;""' LABEL SUM(Col4) ''"", 0), 1, 1),0) + SUMIF(IRNMTN!C:C,F12,IRNMTN!E:E)"),1640.0)</f>
        <v>1640</v>
      </c>
      <c r="I12" s="37" t="str">
        <f t="array" ref="I12">IFERROR(INDEX(Maestro!I$2:I1000, MATCH($F12, Maestro!C$2:C1000, 0)), "No encontrado")</f>
        <v>CAJA</v>
      </c>
      <c r="J12" s="49">
        <f t="array" ref="J12">IFERROR(INDEX(Maestro!K11:K1000, MATCH(F12, Maestro!C11:C1000, 0)), "No encontrado")</f>
        <v>420</v>
      </c>
      <c r="O12" s="37" t="str">
        <f>IFERROR(__xludf.DUMMYFUNCTION("""COMPUTED_VALUE"""),"685151")</f>
        <v>685151</v>
      </c>
      <c r="P12" s="37" t="str">
        <f>IFERROR(__xludf.DUMMYFUNCTION("""COMPUTED_VALUE"""),"CAJA CARTON PISQUERA 31x23x31 CM. PACK 5 UND")</f>
        <v>CAJA CARTON PISQUERA 31x23x31 CM. PACK 5 UND</v>
      </c>
      <c r="Q12" s="37">
        <f>IFERROR(__xludf.DUMMYFUNCTION("IFERROR(INDEX(QUERY(IMPORTRANGE(""1oLY-_7Ql1toJl2o9ZgyErbC_zorS8Tr2hEYMAeT0knk"",""Ubicaciones!BD2:BG""),""SELECT SUM(Col4) WHERE Col2 = '""&amp;$O12&amp;""' LABEL SUM(Col4) ''"", 0), 1, 1),0)"),0.0)</f>
        <v>0</v>
      </c>
      <c r="R12" s="37" t="str">
        <f t="array" ref="R12">IFERROR(INDEX(Maestro!I$2:I1000, MATCH($O12, Maestro!C$2:C1000, 0)), "No encontrado")</f>
        <v>CAJA</v>
      </c>
      <c r="S12" s="50" t="str">
        <f t="array" ref="S12">IFERROR(INDEX(Maestro!K11:K1000, MATCH(O12, Maestro!C11:C1000, 0)), "No encontrado")</f>
        <v/>
      </c>
      <c r="T12" s="37"/>
      <c r="U12" s="37"/>
      <c r="V12" s="37"/>
      <c r="W12" s="37"/>
      <c r="X12" s="37"/>
      <c r="Y12" s="37"/>
      <c r="Z12" s="37"/>
    </row>
    <row r="13">
      <c r="A13" s="42" t="str">
        <f>IFERROR(__xludf.DUMMYFUNCTION("""COMPUTED_VALUE"""),"600574XX")</f>
        <v>600574XX</v>
      </c>
      <c r="B13" s="42" t="str">
        <f>IFERROR(__xludf.DUMMYFUNCTION("""COMPUTED_VALUE"""),"PDQ BOTELLAS VASOS")</f>
        <v>PDQ BOTELLAS VASOS</v>
      </c>
      <c r="C13" s="42">
        <f>IFERROR(__xludf.DUMMYFUNCTION("""COMPUTED_VALUE"""),48.0)</f>
        <v>48</v>
      </c>
      <c r="D13" s="42" t="str">
        <f t="array" ref="D13">IFERROR(INDEX(Maestro!I$2:I1000, MATCH($A13, Maestro!C$2:C1000, 0)), "No encontrado")</f>
        <v>PDQ</v>
      </c>
      <c r="E13" s="37"/>
      <c r="F13" s="37" t="str">
        <f>IFERROR(__xludf.DUMMYFUNCTION("""COMPUTED_VALUE"""),"692425")</f>
        <v>692425</v>
      </c>
      <c r="G13" s="37" t="str">
        <f>IFERROR(__xludf.DUMMYFUNCTION("""COMPUTED_VALUE"""),"CAJA CARTON PISQUERA 31x23x31 CM")</f>
        <v>CAJA CARTON PISQUERA 31x23x31 CM</v>
      </c>
      <c r="H13" s="37">
        <f>IFERROR(__xludf.DUMMYFUNCTION("IFERROR(INDEX(QUERY(IMPORTRANGE(""1oLY-_7Ql1toJl2o9ZgyErbC_zorS8Tr2hEYMAeT0knk"",""Ubicaciones!BD2:BG""),""SELECT SUM(Col4) WHERE Col2 = '""&amp;$F13&amp;""' LABEL SUM(Col4) ''"", 0), 1, 1),0) + SUMIF(IRNMTN!C:C,F13,IRNMTN!E:E)"),371.0)</f>
        <v>371</v>
      </c>
      <c r="I13" s="37" t="str">
        <f t="array" ref="I13">IFERROR(INDEX(Maestro!I$2:I1000, MATCH($F13, Maestro!C$2:C1000, 0)), "No encontrado")</f>
        <v>CAJA</v>
      </c>
      <c r="J13" s="49">
        <f t="array" ref="J13">IFERROR(INDEX(Maestro!K12:K1000, MATCH(F13, Maestro!C12:C1000, 0)), "No encontrado")</f>
        <v>1000</v>
      </c>
      <c r="O13" s="37" t="str">
        <f>IFERROR(__xludf.DUMMYFUNCTION("""COMPUTED_VALUE"""),"600523")</f>
        <v>600523</v>
      </c>
      <c r="P13" s="37" t="str">
        <f>IFERROR(__xludf.DUMMYFUNCTION("""COMPUTED_VALUE"""),"FUNDA PAPEL PANAL SET 3 UN 40X10CM")</f>
        <v>FUNDA PAPEL PANAL SET 3 UN 40X10CM</v>
      </c>
      <c r="Q13" s="37">
        <f>IFERROR(__xludf.DUMMYFUNCTION("IFERROR(INDEX(QUERY(IMPORTRANGE(""1oLY-_7Ql1toJl2o9ZgyErbC_zorS8Tr2hEYMAeT0knk"",""Ubicaciones!BD2:BG""),""SELECT SUM(Col4) WHERE Col2 = '""&amp;$O13&amp;""' LABEL SUM(Col4) ''"", 0), 1, 1),0)"),0.0)</f>
        <v>0</v>
      </c>
      <c r="R13" s="37" t="str">
        <f t="array" ref="R13">IFERROR(INDEX(Maestro!I$2:I1000, MATCH($O13, Maestro!C$2:C1000, 0)), "No encontrado")</f>
        <v>PAPEL KTAFT</v>
      </c>
      <c r="S13" s="50" t="str">
        <f t="array" ref="S13">IFERROR(INDEX(Maestro!K12:K1000, MATCH(O13, Maestro!C12:C1000, 0)), "No encontrado")</f>
        <v/>
      </c>
      <c r="T13" s="37"/>
      <c r="U13" s="37"/>
      <c r="V13" s="37"/>
      <c r="W13" s="37"/>
      <c r="X13" s="37"/>
      <c r="Y13" s="37"/>
      <c r="Z13" s="37"/>
    </row>
    <row r="14">
      <c r="A14" s="42" t="str">
        <f>IFERROR(__xludf.DUMMYFUNCTION("""COMPUTED_VALUE"""),"600666")</f>
        <v>600666</v>
      </c>
      <c r="B14" s="42" t="str">
        <f>IFERROR(__xludf.DUMMYFUNCTION("""COMPUTED_VALUE"""),"CAJA CARTON S/IMP 32x23x32 CM")</f>
        <v>CAJA CARTON S/IMP 32x23x32 CM</v>
      </c>
      <c r="C14" s="42">
        <f>IFERROR(__xludf.DUMMYFUNCTION("""COMPUTED_VALUE"""),4286.0)</f>
        <v>4286</v>
      </c>
      <c r="D14" s="42" t="str">
        <f t="array" ref="D14">IFERROR(INDEX(Maestro!I$2:I1000, MATCH($A14, Maestro!C$2:C1000, 0)), "No encontrado")</f>
        <v>CAJA</v>
      </c>
      <c r="E14" s="37"/>
      <c r="F14" s="37" t="str">
        <f>IFERROR(__xludf.DUMMYFUNCTION("""COMPUTED_VALUE"""),"600666")</f>
        <v>600666</v>
      </c>
      <c r="G14" s="37" t="str">
        <f>IFERROR(__xludf.DUMMYFUNCTION("""COMPUTED_VALUE"""),"CAJA CARTON S/IMP 32x23x32 CM")</f>
        <v>CAJA CARTON S/IMP 32x23x32 CM</v>
      </c>
      <c r="H14" s="37">
        <f>IFERROR(__xludf.DUMMYFUNCTION("IFERROR(INDEX(QUERY(IMPORTRANGE(""1oLY-_7Ql1toJl2o9ZgyErbC_zorS8Tr2hEYMAeT0knk"",""Ubicaciones!BD2:BG""),""SELECT SUM(Col4) WHERE Col2 = '""&amp;$F14&amp;""' LABEL SUM(Col4) ''"", 0), 1, 1),0) + SUMIF(IRNMTN!C:C,F14,IRNMTN!E:E)"),4286.0)</f>
        <v>4286</v>
      </c>
      <c r="I14" s="37" t="str">
        <f t="array" ref="I14">IFERROR(INDEX(Maestro!I$2:I1000, MATCH($F14, Maestro!C$2:C1000, 0)), "No encontrado")</f>
        <v>CAJA</v>
      </c>
      <c r="J14" s="49">
        <f t="array" ref="J14">IFERROR(INDEX(Maestro!K13:K1000, MATCH(F14, Maestro!C13:C1000, 0)), "No encontrado")</f>
        <v>720</v>
      </c>
      <c r="O14" s="37" t="str">
        <f>IFERROR(__xludf.DUMMYFUNCTION("""COMPUTED_VALUE"""),"690155")</f>
        <v>690155</v>
      </c>
      <c r="P14" s="37" t="str">
        <f>IFERROR(__xludf.DUMMYFUNCTION("""COMPUTED_VALUE"""),"ROLLO CARTON CORRUGADO 0.80X10 MT")</f>
        <v>ROLLO CARTON CORRUGADO 0.80X10 MT</v>
      </c>
      <c r="Q14" s="37">
        <f>IFERROR(__xludf.DUMMYFUNCTION("IFERROR(INDEX(QUERY(IMPORTRANGE(""1oLY-_7Ql1toJl2o9ZgyErbC_zorS8Tr2hEYMAeT0knk"",""Ubicaciones!BD2:BG""),""SELECT SUM(Col4) WHERE Col2 = '""&amp;$O14&amp;""' LABEL SUM(Col4) ''"", 0), 1, 1),0)"),0.0)</f>
        <v>0</v>
      </c>
      <c r="R14" s="37" t="str">
        <f t="array" ref="R14">IFERROR(INDEX(Maestro!I$2:I1000, MATCH($O14, Maestro!C$2:C1000, 0)), "No encontrado")</f>
        <v>ROLLO CARTON</v>
      </c>
      <c r="S14" s="50" t="str">
        <f t="array" ref="S14">IFERROR(INDEX(Maestro!K13:K1000, MATCH(O14, Maestro!C13:C1000, 0)), "No encontrado")</f>
        <v/>
      </c>
      <c r="T14" s="37"/>
      <c r="U14" s="37"/>
      <c r="V14" s="37"/>
      <c r="W14" s="37"/>
      <c r="X14" s="37"/>
      <c r="Y14" s="37"/>
      <c r="Z14" s="37"/>
    </row>
    <row r="15">
      <c r="A15" s="42" t="str">
        <f>IFERROR(__xludf.DUMMYFUNCTION("""COMPUTED_VALUE"""),"600673")</f>
        <v>600673</v>
      </c>
      <c r="B15" s="42" t="str">
        <f>IFERROR(__xludf.DUMMYFUNCTION("""COMPUTED_VALUE"""),"ROLLO PAPEL KRAFT 35GR 57X25 MT")</f>
        <v>ROLLO PAPEL KRAFT 35GR 57X25 MT</v>
      </c>
      <c r="C15" s="42">
        <f>IFERROR(__xludf.DUMMYFUNCTION("""COMPUTED_VALUE"""),214.0)</f>
        <v>214</v>
      </c>
      <c r="D15" s="42" t="str">
        <f t="array" ref="D15">IFERROR(INDEX(Maestro!I$2:I1000, MATCH($A15, Maestro!C$2:C1000, 0)), "No encontrado")</f>
        <v>ROLLO PAPEL KRAFT</v>
      </c>
      <c r="E15" s="37"/>
      <c r="F15" s="37" t="str">
        <f>IFERROR(__xludf.DUMMYFUNCTION("""COMPUTED_VALUE"""),"684840X")</f>
        <v>684840X</v>
      </c>
      <c r="G15" s="37" t="str">
        <f>IFERROR(__xludf.DUMMYFUNCTION("""COMPUTED_VALUE"""),"CAJA CARTON STOREBOX 38x29.5x24.5 CM.")</f>
        <v>CAJA CARTON STOREBOX 38x29.5x24.5 CM.</v>
      </c>
      <c r="H15" s="37">
        <f>IFERROR(__xludf.DUMMYFUNCTION("IFERROR(INDEX(QUERY(IMPORTRANGE(""1oLY-_7Ql1toJl2o9ZgyErbC_zorS8Tr2hEYMAeT0knk"",""Ubicaciones!BD2:BG""),""SELECT SUM(Col4) WHERE Col2 = '""&amp;$F15&amp;""' LABEL SUM(Col4) ''"", 0), 1, 1),0) + SUMIF(IRNMTN!C:C,F15,IRNMTN!E:E)"),275.0)</f>
        <v>275</v>
      </c>
      <c r="I15" s="37" t="str">
        <f t="array" ref="I15">IFERROR(INDEX(Maestro!I$2:I1000, MATCH($F15, Maestro!C$2:C1000, 0)), "No encontrado")</f>
        <v>CAJA</v>
      </c>
      <c r="J15" s="49">
        <f t="array" ref="J15">IFERROR(INDEX(Maestro!K14:K1000, MATCH(F15, Maestro!C14:C1000, 0)), "No encontrado")</f>
        <v>200</v>
      </c>
      <c r="O15" s="37" t="str">
        <f>IFERROR(__xludf.DUMMYFUNCTION("""COMPUTED_VALUE"""),"682778")</f>
        <v>682778</v>
      </c>
      <c r="P15" s="37" t="str">
        <f>IFERROR(__xludf.DUMMYFUNCTION("""COMPUTED_VALUE"""),"ROLLO CARTON CORRUGADO 1.20X25 MT")</f>
        <v>ROLLO CARTON CORRUGADO 1.20X25 MT</v>
      </c>
      <c r="Q15" s="37">
        <f>IFERROR(__xludf.DUMMYFUNCTION("IFERROR(INDEX(QUERY(IMPORTRANGE(""1oLY-_7Ql1toJl2o9ZgyErbC_zorS8Tr2hEYMAeT0knk"",""Ubicaciones!BD2:BG""),""SELECT SUM(Col4) WHERE Col2 = '""&amp;$O15&amp;""' LABEL SUM(Col4) ''"", 0), 1, 1),0)"),72.0)</f>
        <v>72</v>
      </c>
      <c r="R15" s="37" t="str">
        <f t="array" ref="R15">IFERROR(INDEX(Maestro!I$2:I1000, MATCH($O15, Maestro!C$2:C1000, 0)), "No encontrado")</f>
        <v>ROLLO CARTON</v>
      </c>
      <c r="S15" s="50">
        <f t="array" ref="S15">IFERROR(INDEX(Maestro!K14:K1000, MATCH(O15, Maestro!C14:C1000, 0)), "No encontrado")</f>
        <v>150</v>
      </c>
      <c r="T15" s="37"/>
      <c r="U15" s="37"/>
      <c r="V15" s="37"/>
      <c r="W15" s="37"/>
      <c r="X15" s="37"/>
      <c r="Y15" s="37"/>
      <c r="Z15" s="37"/>
    </row>
    <row r="16">
      <c r="A16" s="42" t="str">
        <f>IFERROR(__xludf.DUMMYFUNCTION("""COMPUTED_VALUE"""),"600697")</f>
        <v>600697</v>
      </c>
      <c r="B16" s="42" t="str">
        <f>IFERROR(__xludf.DUMMYFUNCTION("""COMPUTED_VALUE"""),"CAJA PLUMAVIT 35 LITROS")</f>
        <v>CAJA PLUMAVIT 35 LITROS</v>
      </c>
      <c r="C16" s="42">
        <f>IFERROR(__xludf.DUMMYFUNCTION("""COMPUTED_VALUE"""),60.0)</f>
        <v>60</v>
      </c>
      <c r="D16" s="42" t="str">
        <f t="array" ref="D16">IFERROR(INDEX(Maestro!I$2:I1000, MATCH($A16, Maestro!C$2:C1000, 0)), "No encontrado")</f>
        <v>CAJA PLUMAVIT</v>
      </c>
      <c r="E16" s="37"/>
      <c r="F16" s="37" t="str">
        <f>IFERROR(__xludf.DUMMYFUNCTION("""COMPUTED_VALUE"""),"691015")</f>
        <v>691015</v>
      </c>
      <c r="G16" s="37" t="str">
        <f>IFERROR(__xludf.DUMMYFUNCTION("""COMPUTED_VALUE"""),"CAJA MULTI TV 50-55")</f>
        <v>CAJA MULTI TV 50-55</v>
      </c>
      <c r="H16" s="37">
        <f>IFERROR(__xludf.DUMMYFUNCTION("IFERROR(INDEX(QUERY(IMPORTRANGE(""1oLY-_7Ql1toJl2o9ZgyErbC_zorS8Tr2hEYMAeT0knk"",""Ubicaciones!BD2:BG""),""SELECT SUM(Col4) WHERE Col2 = '""&amp;$F16&amp;""' LABEL SUM(Col4) ''"", 0), 1, 1),0) + SUMIF(IRNMTN!C:C,F16,IRNMTN!E:E)"),541.0)</f>
        <v>541</v>
      </c>
      <c r="I16" s="37" t="str">
        <f t="array" ref="I16">IFERROR(INDEX(Maestro!I$2:I1000, MATCH($F16, Maestro!C$2:C1000, 0)), "No encontrado")</f>
        <v>CAJA</v>
      </c>
      <c r="J16" s="51">
        <v>40.0</v>
      </c>
      <c r="O16" s="37" t="str">
        <f>IFERROR(__xludf.DUMMYFUNCTION("""COMPUTED_VALUE"""),"600512")</f>
        <v>600512</v>
      </c>
      <c r="P16" s="37" t="str">
        <f>IFERROR(__xludf.DUMMYFUNCTION("""COMPUTED_VALUE"""),"ROLLO ESPUMA EMBALAJE 1 MM 0,70X10 MT")</f>
        <v>ROLLO ESPUMA EMBALAJE 1 MM 0,70X10 MT</v>
      </c>
      <c r="Q16" s="37">
        <f>IFERROR(__xludf.DUMMYFUNCTION("IFERROR(INDEX(QUERY(IMPORTRANGE(""1oLY-_7Ql1toJl2o9ZgyErbC_zorS8Tr2hEYMAeT0knk"",""Ubicaciones!BD2:BG""),""SELECT SUM(Col4) WHERE Col2 = '""&amp;$O16&amp;""' LABEL SUM(Col4) ''"", 0), 1, 1),0)"),10.0)</f>
        <v>10</v>
      </c>
      <c r="R16" s="37" t="str">
        <f t="array" ref="R16">IFERROR(INDEX(Maestro!I$2:I1000, MATCH($O16, Maestro!C$2:C1000, 0)), "No encontrado")</f>
        <v>ROLLO ESPUMA</v>
      </c>
      <c r="S16" s="50" t="str">
        <f t="array" ref="S16">IFERROR(INDEX(Maestro!K15:K1000, MATCH(O16, Maestro!C15:C1000, 0)), "No encontrado")</f>
        <v/>
      </c>
      <c r="T16" s="37"/>
      <c r="U16" s="37"/>
      <c r="V16" s="37"/>
      <c r="W16" s="37"/>
      <c r="X16" s="37"/>
      <c r="Y16" s="37"/>
      <c r="Z16" s="37"/>
    </row>
    <row r="17">
      <c r="A17" s="42" t="str">
        <f>IFERROR(__xludf.DUMMYFUNCTION("""COMPUTED_VALUE"""),"600772")</f>
        <v>600772</v>
      </c>
      <c r="B17" s="42" t="str">
        <f>IFERROR(__xludf.DUMMYFUNCTION("""COMPUTED_VALUE"""),"ROLLO PAPEL KRAFT 35G 57X230MT")</f>
        <v>ROLLO PAPEL KRAFT 35G 57X230MT</v>
      </c>
      <c r="C17" s="42">
        <f>IFERROR(__xludf.DUMMYFUNCTION("""COMPUTED_VALUE"""),55.0)</f>
        <v>55</v>
      </c>
      <c r="D17" s="42" t="str">
        <f t="array" ref="D17">IFERROR(INDEX(Maestro!I$2:I1000, MATCH($A17, Maestro!C$2:C1000, 0)), "No encontrado")</f>
        <v>ROLLO PAPEL KRAFT</v>
      </c>
      <c r="E17" s="37"/>
      <c r="F17" s="37" t="str">
        <f>IFERROR(__xludf.DUMMYFUNCTION("""COMPUTED_VALUE"""),"600697")</f>
        <v>600697</v>
      </c>
      <c r="G17" s="37" t="str">
        <f>IFERROR(__xludf.DUMMYFUNCTION("""COMPUTED_VALUE"""),"CAJA PLUMAVIT 35 LITROS")</f>
        <v>CAJA PLUMAVIT 35 LITROS</v>
      </c>
      <c r="H17" s="37">
        <f>IFERROR(__xludf.DUMMYFUNCTION("IFERROR(INDEX(QUERY(IMPORTRANGE(""1oLY-_7Ql1toJl2o9ZgyErbC_zorS8Tr2hEYMAeT0knk"",""Ubicaciones!BD2:BG""),""SELECT SUM(Col4) WHERE Col2 = '""&amp;$F17&amp;""' LABEL SUM(Col4) ''"", 0), 1, 1),0) + SUMIF(IRNMTN!C:C,F17,IRNMTN!E:E)"),60.0)</f>
        <v>60</v>
      </c>
      <c r="I17" s="37" t="str">
        <f t="array" ref="I17">IFERROR(INDEX(Maestro!I$2:I1000, MATCH($F17, Maestro!C$2:C1000, 0)), "No encontrado")</f>
        <v>CAJA PLUMAVIT</v>
      </c>
      <c r="J17" s="49">
        <f t="array" ref="J17">IFERROR(INDEX(Maestro!K16:K1000, MATCH(F17, Maestro!C16:C1000, 0)), "No encontrado")</f>
        <v>40</v>
      </c>
      <c r="O17" s="37" t="str">
        <f>IFERROR(__xludf.DUMMYFUNCTION("""COMPUTED_VALUE"""),"600659")</f>
        <v>600659</v>
      </c>
      <c r="P17" s="37" t="str">
        <f>IFERROR(__xludf.DUMMYFUNCTION("""COMPUTED_VALUE"""),"ROLLO ESPUMA EMBALAJE 1 MM 0,70X5 MT")</f>
        <v>ROLLO ESPUMA EMBALAJE 1 MM 0,70X5 MT</v>
      </c>
      <c r="Q17" s="37">
        <f>IFERROR(__xludf.DUMMYFUNCTION("IFERROR(INDEX(QUERY(IMPORTRANGE(""1oLY-_7Ql1toJl2o9ZgyErbC_zorS8Tr2hEYMAeT0knk"",""Ubicaciones!BD2:BG""),""SELECT SUM(Col4) WHERE Col2 = '""&amp;$O17&amp;""' LABEL SUM(Col4) ''"", 0), 1, 1),0)"),0.0)</f>
        <v>0</v>
      </c>
      <c r="R17" s="37" t="str">
        <f t="array" ref="R17">IFERROR(INDEX(Maestro!I$2:I1000, MATCH($O17, Maestro!C$2:C1000, 0)), "No encontrado")</f>
        <v>ROLLO ESPUMA</v>
      </c>
      <c r="S17" s="50" t="str">
        <f t="array" ref="S17">IFERROR(INDEX(Maestro!K16:K1000, MATCH(O17, Maestro!C16:C1000, 0)), "No encontrado")</f>
        <v/>
      </c>
      <c r="T17" s="37"/>
      <c r="U17" s="37"/>
      <c r="V17" s="37"/>
      <c r="W17" s="37"/>
      <c r="X17" s="37"/>
      <c r="Y17" s="37"/>
      <c r="Z17" s="37"/>
    </row>
    <row r="18">
      <c r="A18" s="42" t="str">
        <f>IFERROR(__xludf.DUMMYFUNCTION("""COMPUTED_VALUE"""),"600900P")</f>
        <v>600900P</v>
      </c>
      <c r="B18" s="42" t="str">
        <f>IFERROR(__xludf.DUMMYFUNCTION("""COMPUTED_VALUE"""),"ROLLO ESPUMA EMBALAJE 1 MM 1.40X220 MT")</f>
        <v>ROLLO ESPUMA EMBALAJE 1 MM 1.40X220 MT</v>
      </c>
      <c r="C18" s="42">
        <f>IFERROR(__xludf.DUMMYFUNCTION("""COMPUTED_VALUE"""),25.0)</f>
        <v>25</v>
      </c>
      <c r="D18" s="42" t="str">
        <f t="array" ref="D18">IFERROR(INDEX(Maestro!I$2:I1000, MATCH($A18, Maestro!C$2:C1000, 0)), "No encontrado")</f>
        <v>ROLLO ESPUMA</v>
      </c>
      <c r="E18" s="37"/>
      <c r="F18" s="37" t="str">
        <f>IFERROR(__xludf.DUMMYFUNCTION("""COMPUTED_VALUE"""),"600523X")</f>
        <v>600523X</v>
      </c>
      <c r="G18" s="37" t="str">
        <f>IFERROR(__xludf.DUMMYFUNCTION("""COMPUTED_VALUE"""),"FUNDA PAPEL PANAL 40X10CM")</f>
        <v>FUNDA PAPEL PANAL 40X10CM</v>
      </c>
      <c r="H18" s="37">
        <f>IFERROR(__xludf.DUMMYFUNCTION("IFERROR(INDEX(QUERY(IMPORTRANGE(""1oLY-_7Ql1toJl2o9ZgyErbC_zorS8Tr2hEYMAeT0knk"",""Ubicaciones!BD2:BG""),""SELECT SUM(Col4) WHERE Col2 = '""&amp;$F18&amp;""' LABEL SUM(Col4) ''"", 0), 1, 1),0) + SUMIF(IRNMTN!C:C,F18,IRNMTN!E:E)"),0.0)</f>
        <v>0</v>
      </c>
      <c r="I18" s="37" t="str">
        <f t="array" ref="I18">IFERROR(INDEX(Maestro!I$2:I1000, MATCH($F18, Maestro!C$2:C1000, 0)), "No encontrado")</f>
        <v>PAPEL KTAFT</v>
      </c>
      <c r="J18" s="49">
        <f t="array" ref="J18">IFERROR(INDEX(Maestro!K17:K1000, MATCH(F18, Maestro!C17:C1000, 0)), "No encontrado")</f>
        <v>432</v>
      </c>
      <c r="O18" s="37" t="str">
        <f>IFERROR(__xludf.DUMMYFUNCTION("""COMPUTED_VALUE"""),"600550")</f>
        <v>600550</v>
      </c>
      <c r="P18" s="37" t="str">
        <f>IFERROR(__xludf.DUMMYFUNCTION("""COMPUTED_VALUE"""),"ROLLO PAPEL PANAL 0,50 X 25MTS")</f>
        <v>ROLLO PAPEL PANAL 0,50 X 25MTS</v>
      </c>
      <c r="Q18" s="37">
        <f>IFERROR(__xludf.DUMMYFUNCTION("IFERROR(INDEX(QUERY(IMPORTRANGE(""1oLY-_7Ql1toJl2o9ZgyErbC_zorS8Tr2hEYMAeT0knk"",""Ubicaciones!BD2:BG""),""SELECT SUM(Col4) WHERE Col2 = '""&amp;$O18&amp;""' LABEL SUM(Col4) ''"", 0), 1, 1),0)"),105.0)</f>
        <v>105</v>
      </c>
      <c r="R18" s="37" t="str">
        <f t="array" ref="R18">IFERROR(INDEX(Maestro!I$2:I1000, MATCH($O18, Maestro!C$2:C1000, 0)), "No encontrado")</f>
        <v>ROLLO PAPEL KRAFT</v>
      </c>
      <c r="S18" s="50" t="str">
        <f t="array" ref="S18">IFERROR(INDEX(Maestro!K17:K1000, MATCH(O18, Maestro!C17:C1000, 0)), "No encontrado")</f>
        <v/>
      </c>
      <c r="T18" s="37"/>
      <c r="U18" s="37"/>
      <c r="V18" s="37"/>
      <c r="W18" s="37"/>
      <c r="X18" s="37"/>
      <c r="Y18" s="37"/>
      <c r="Z18" s="37"/>
    </row>
    <row r="19">
      <c r="A19" s="42" t="str">
        <f>IFERROR(__xludf.DUMMYFUNCTION("""COMPUTED_VALUE"""),"605678")</f>
        <v>605678</v>
      </c>
      <c r="B19" s="42" t="str">
        <f>IFERROR(__xludf.DUMMYFUNCTION("""COMPUTED_VALUE"""),"ROLLO CARTON CORRUGADO 1.20X73Mt aprox. 25K")</f>
        <v>ROLLO CARTON CORRUGADO 1.20X73Mt aprox. 25K</v>
      </c>
      <c r="C19" s="42">
        <f>IFERROR(__xludf.DUMMYFUNCTION("""COMPUTED_VALUE"""),154.0)</f>
        <v>154</v>
      </c>
      <c r="D19" s="42" t="str">
        <f t="array" ref="D19">IFERROR(INDEX(Maestro!I$2:I1000, MATCH($A19, Maestro!C$2:C1000, 0)), "No encontrado")</f>
        <v>ROLLO CARTON</v>
      </c>
      <c r="E19" s="37"/>
      <c r="F19" s="37" t="str">
        <f>IFERROR(__xludf.DUMMYFUNCTION("""COMPUTED_VALUE"""),"692265")</f>
        <v>692265</v>
      </c>
      <c r="G19" s="37" t="str">
        <f>IFERROR(__xludf.DUMMYFUNCTION("""COMPUTED_VALUE"""),"ROLLO CARTON CORRUGADO 0.80X100 MT")</f>
        <v>ROLLO CARTON CORRUGADO 0.80X100 MT</v>
      </c>
      <c r="H19" s="37">
        <f>IFERROR(__xludf.DUMMYFUNCTION("IFERROR(INDEX(QUERY(IMPORTRANGE(""1oLY-_7Ql1toJl2o9ZgyErbC_zorS8Tr2hEYMAeT0knk"",""Ubicaciones!BD2:BG""),""SELECT SUM(Col4) WHERE Col2 = '""&amp;$F19&amp;""' LABEL SUM(Col4) ''"", 0), 1, 1),0) + SUMIF(IRNMTN!C:C,F19,IRNMTN!E:E)"),68.0)</f>
        <v>68</v>
      </c>
      <c r="I19" s="37" t="str">
        <f t="array" ref="I19">IFERROR(INDEX(Maestro!I$2:I1000, MATCH($F19, Maestro!C$2:C1000, 0)), "No encontrado")</f>
        <v>ROLLO CARTON</v>
      </c>
      <c r="J19" s="49">
        <f t="array" ref="J19">IFERROR(INDEX(Maestro!K18:K1000, MATCH(F19, Maestro!C18:C1000, 0)), "No encontrado")</f>
        <v>20</v>
      </c>
      <c r="O19" s="37" t="str">
        <f>IFERROR(__xludf.DUMMYFUNCTION("""COMPUTED_VALUE"""),"691589")</f>
        <v>691589</v>
      </c>
      <c r="P19" s="37" t="str">
        <f>IFERROR(__xludf.DUMMYFUNCTION("""COMPUTED_VALUE"""),"SET BOTELLA PROMOCIONAL")</f>
        <v>SET BOTELLA PROMOCIONAL</v>
      </c>
      <c r="Q19" s="37">
        <f>IFERROR(__xludf.DUMMYFUNCTION("IFERROR(INDEX(QUERY(IMPORTRANGE(""1oLY-_7Ql1toJl2o9ZgyErbC_zorS8Tr2hEYMAeT0knk"",""Ubicaciones!BD2:BG""),""SELECT SUM(Col4) WHERE Col2 = '""&amp;$O19&amp;""' LABEL SUM(Col4) ''"", 0), 1, 1),0)"),0.0)</f>
        <v>0</v>
      </c>
      <c r="R19" s="37" t="str">
        <f t="array" ref="R19">IFERROR(INDEX(Maestro!I$2:I1000, MATCH($O19, Maestro!C$2:C1000, 0)), "No encontrado")</f>
        <v>PACKS</v>
      </c>
      <c r="S19" s="50" t="str">
        <f t="array" ref="S19">IFERROR(INDEX(Maestro!K18:K1000, MATCH(O19, Maestro!C18:C1000, 0)), "No encontrado")</f>
        <v/>
      </c>
      <c r="T19" s="37"/>
      <c r="U19" s="37"/>
      <c r="V19" s="37"/>
      <c r="W19" s="37"/>
      <c r="X19" s="37"/>
      <c r="Y19" s="37"/>
      <c r="Z19" s="37"/>
    </row>
    <row r="20">
      <c r="A20" s="42" t="str">
        <f>IFERROR(__xludf.DUMMYFUNCTION("""COMPUTED_VALUE"""),"657325")</f>
        <v>657325</v>
      </c>
      <c r="B20" s="42" t="str">
        <f>IFERROR(__xludf.DUMMYFUNCTION("""COMPUTED_VALUE"""),"FILM STRECH MANUAL 20MIC X 500MM 2,0KG")</f>
        <v>FILM STRECH MANUAL 20MIC X 500MM 2,0KG</v>
      </c>
      <c r="C20" s="42">
        <f>IFERROR(__xludf.DUMMYFUNCTION("""COMPUTED_VALUE"""),180.0)</f>
        <v>180</v>
      </c>
      <c r="D20" s="42" t="str">
        <f t="array" ref="D20">IFERROR(INDEX(Maestro!I$2:I1000, MATCH($A20, Maestro!C$2:C1000, 0)), "No encontrado")</f>
        <v>STRETCH FILM</v>
      </c>
      <c r="E20" s="37"/>
      <c r="F20" s="37" t="str">
        <f>IFERROR(__xludf.DUMMYFUNCTION("""COMPUTED_VALUE"""),"605678")</f>
        <v>605678</v>
      </c>
      <c r="G20" s="37" t="str">
        <f>IFERROR(__xludf.DUMMYFUNCTION("""COMPUTED_VALUE"""),"ROLLO CARTON CORRUGADO 1.20X73Mt aprox. 25K")</f>
        <v>ROLLO CARTON CORRUGADO 1.20X73Mt aprox. 25K</v>
      </c>
      <c r="H20" s="37">
        <f>IFERROR(__xludf.DUMMYFUNCTION("IFERROR(INDEX(QUERY(IMPORTRANGE(""1oLY-_7Ql1toJl2o9ZgyErbC_zorS8Tr2hEYMAeT0knk"",""Ubicaciones!BD2:BG""),""SELECT SUM(Col4) WHERE Col2 = '""&amp;$F20&amp;""' LABEL SUM(Col4) ''"", 0), 1, 1),0) + SUMIF(IRNMTN!C:C,F20,IRNMTN!E:E)"),154.0)</f>
        <v>154</v>
      </c>
      <c r="I20" s="37" t="str">
        <f t="array" ref="I20">IFERROR(INDEX(Maestro!I$2:I1000, MATCH($F20, Maestro!C$2:C1000, 0)), "No encontrado")</f>
        <v>ROLLO CARTON</v>
      </c>
      <c r="J20" s="49">
        <f t="array" ref="J20">IFERROR(INDEX(Maestro!K19:K1000, MATCH(F20, Maestro!C19:C1000, 0)), "No encontrado")</f>
        <v>20</v>
      </c>
      <c r="O20" s="37" t="str">
        <f>IFERROR(__xludf.DUMMYFUNCTION("""COMPUTED_VALUE"""),"691985")</f>
        <v>691985</v>
      </c>
      <c r="P20" s="42" t="str">
        <f>IFERROR(__xludf.DUMMYFUNCTION("""COMPUTED_VALUE"""),"SET LONCHERA PROMOCIONAL")</f>
        <v>SET LONCHERA PROMOCIONAL</v>
      </c>
      <c r="Q20" s="42">
        <f>IFERROR(__xludf.DUMMYFUNCTION("IFERROR(INDEX(QUERY(IMPORTRANGE(""1oLY-_7Ql1toJl2o9ZgyErbC_zorS8Tr2hEYMAeT0knk"",""Ubicaciones!BD2:BG""),""SELECT SUM(Col4) WHERE Col2 = '""&amp;$O20&amp;""' LABEL SUM(Col4) ''"", 0), 1, 1),0)"),0.0)</f>
        <v>0</v>
      </c>
      <c r="R20" s="42" t="str">
        <f t="array" ref="R20">IFERROR(INDEX(Maestro!I$2:I1000, MATCH($O20, Maestro!C$2:C1000, 0)), "No encontrado")</f>
        <v>PACKS</v>
      </c>
      <c r="S20" s="50" t="str">
        <f t="array" ref="S20">IFERROR(INDEX(Maestro!K19:K1000, MATCH(O20, Maestro!C19:C1000, 0)), "No encontrado")</f>
        <v/>
      </c>
      <c r="T20" s="37"/>
      <c r="U20" s="37"/>
      <c r="V20" s="37"/>
      <c r="W20" s="37"/>
      <c r="X20" s="37"/>
      <c r="Y20" s="37"/>
      <c r="Z20" s="37"/>
    </row>
    <row r="21">
      <c r="A21" s="42" t="str">
        <f>IFERROR(__xludf.DUMMYFUNCTION("""COMPUTED_VALUE"""),"682778")</f>
        <v>682778</v>
      </c>
      <c r="B21" s="42" t="str">
        <f>IFERROR(__xludf.DUMMYFUNCTION("""COMPUTED_VALUE"""),"ROLLO CARTON CORRUGADO 1.20X25 MT")</f>
        <v>ROLLO CARTON CORRUGADO 1.20X25 MT</v>
      </c>
      <c r="C21" s="42">
        <f>IFERROR(__xludf.DUMMYFUNCTION("""COMPUTED_VALUE"""),72.0)</f>
        <v>72</v>
      </c>
      <c r="D21" s="42" t="str">
        <f t="array" ref="D21">IFERROR(INDEX(Maestro!I$2:I1000, MATCH($A21, Maestro!C$2:C1000, 0)), "No encontrado")</f>
        <v>ROLLO CARTON</v>
      </c>
      <c r="E21" s="37"/>
      <c r="F21" s="37" t="str">
        <f>IFERROR(__xludf.DUMMYFUNCTION("""COMPUTED_VALUE"""),"600900P")</f>
        <v>600900P</v>
      </c>
      <c r="G21" s="37" t="str">
        <f>IFERROR(__xludf.DUMMYFUNCTION("""COMPUTED_VALUE"""),"ROLLO ESPUMA EMBALAJE 1 MM 1.40X220 MT")</f>
        <v>ROLLO ESPUMA EMBALAJE 1 MM 1.40X220 MT</v>
      </c>
      <c r="H21" s="37">
        <f>IFERROR(__xludf.DUMMYFUNCTION("IFERROR(INDEX(QUERY(IMPORTRANGE(""1oLY-_7Ql1toJl2o9ZgyErbC_zorS8Tr2hEYMAeT0knk"",""Ubicaciones!BD2:BG""),""SELECT SUM(Col4) WHERE Col2 = '""&amp;$F21&amp;""' LABEL SUM(Col4) ''"", 0), 1, 1),0) + SUMIF(IRNMTN!C:C,F21,IRNMTN!E:E)"),25.0)</f>
        <v>25</v>
      </c>
      <c r="I21" s="37" t="str">
        <f t="array" ref="I21">IFERROR(INDEX(Maestro!I$2:I1000, MATCH($F21, Maestro!C$2:C1000, 0)), "No encontrado")</f>
        <v>ROLLO ESPUMA</v>
      </c>
      <c r="J21" s="49">
        <f t="array" ref="J21">IFERROR(INDEX(Maestro!K20:K1000, MATCH(F21, Maestro!C20:C1000, 0)), "No encontrado")</f>
        <v>9</v>
      </c>
      <c r="O21" s="37" t="str">
        <f>IFERROR(__xludf.DUMMYFUNCTION("""COMPUTED_VALUE"""),"691084")</f>
        <v>691084</v>
      </c>
      <c r="P21" s="42" t="str">
        <f>IFERROR(__xludf.DUMMYFUNCTION("""COMPUTED_VALUE"""),"ROLLO CARTON ACOLCHADO 40CMx5MT")</f>
        <v>ROLLO CARTON ACOLCHADO 40CMx5MT</v>
      </c>
      <c r="Q21" s="42">
        <f>IFERROR(__xludf.DUMMYFUNCTION("IFERROR(INDEX(QUERY(IMPORTRANGE(""1oLY-_7Ql1toJl2o9ZgyErbC_zorS8Tr2hEYMAeT0knk"",""Ubicaciones!BD2:BG""),""SELECT SUM(Col4) WHERE Col2 = '""&amp;$O21&amp;""' LABEL SUM(Col4) ''"", 0), 1, 1),0)"),159.0)</f>
        <v>159</v>
      </c>
      <c r="R21" s="42" t="str">
        <f t="array" ref="R21">IFERROR(INDEX(Maestro!I$2:I1000, MATCH($O21, Maestro!C$2:C1000, 0)), "No encontrado")</f>
        <v>ROLLO PAPEL KRAFT</v>
      </c>
      <c r="S21" s="50">
        <f t="array" ref="S21">IFERROR(INDEX(Maestro!K20:K1000, MATCH(O21, Maestro!C20:C1000, 0)), "No encontrado")</f>
        <v>144</v>
      </c>
      <c r="T21" s="37"/>
      <c r="U21" s="37"/>
      <c r="V21" s="37"/>
      <c r="W21" s="37"/>
      <c r="X21" s="37"/>
      <c r="Y21" s="37"/>
      <c r="Z21" s="37"/>
    </row>
    <row r="22">
      <c r="A22" s="42" t="str">
        <f>IFERROR(__xludf.DUMMYFUNCTION("""COMPUTED_VALUE"""),"691015")</f>
        <v>691015</v>
      </c>
      <c r="B22" s="42" t="str">
        <f>IFERROR(__xludf.DUMMYFUNCTION("""COMPUTED_VALUE"""),"CAJA TV")</f>
        <v>CAJA TV</v>
      </c>
      <c r="C22" s="42">
        <f>IFERROR(__xludf.DUMMYFUNCTION("""COMPUTED_VALUE"""),81.0)</f>
        <v>81</v>
      </c>
      <c r="D22" s="42" t="str">
        <f t="array" ref="D22">IFERROR(INDEX(Maestro!I$2:I1000, MATCH($A22, Maestro!C$2:C1000, 0)), "No encontrado")</f>
        <v>CAJA</v>
      </c>
      <c r="E22" s="37"/>
      <c r="F22" s="37" t="str">
        <f>IFERROR(__xludf.DUMMYFUNCTION("""COMPUTED_VALUE"""),"600772")</f>
        <v>600772</v>
      </c>
      <c r="G22" s="37" t="str">
        <f>IFERROR(__xludf.DUMMYFUNCTION("""COMPUTED_VALUE"""),"ROLLO PAPEL KRAFT 35G 57X230MT")</f>
        <v>ROLLO PAPEL KRAFT 35G 57X230MT</v>
      </c>
      <c r="H22" s="37">
        <f>IFERROR(__xludf.DUMMYFUNCTION("IFERROR(INDEX(QUERY(IMPORTRANGE(""1oLY-_7Ql1toJl2o9ZgyErbC_zorS8Tr2hEYMAeT0knk"",""Ubicaciones!BD2:BG""),""SELECT SUM(Col4) WHERE Col2 = '""&amp;$F22&amp;""' LABEL SUM(Col4) ''"", 0), 1, 1),0) + SUMIF(IRNMTN!C:C,F22,IRNMTN!E:E)"),55.0)</f>
        <v>55</v>
      </c>
      <c r="I22" s="37" t="str">
        <f t="array" ref="I22">IFERROR(INDEX(Maestro!I$2:I1000, MATCH($F22, Maestro!C$2:C1000, 0)), "No encontrado")</f>
        <v>ROLLO PAPEL KRAFT</v>
      </c>
      <c r="J22" s="49">
        <f t="array" ref="J22">IFERROR(INDEX(Maestro!K21:K1000, MATCH(F22, Maestro!C21:C1000, 0)), "No encontrado")</f>
        <v>10</v>
      </c>
      <c r="O22" s="37" t="str">
        <f>IFERROR(__xludf.DUMMYFUNCTION("""COMPUTED_VALUE"""),"690469")</f>
        <v>690469</v>
      </c>
      <c r="P22" s="42" t="str">
        <f>IFERROR(__xludf.DUMMYFUNCTION("""COMPUTED_VALUE"""),"ROLLO PLASTICO BURBUJA 1X10MT")</f>
        <v>ROLLO PLASTICO BURBUJA 1X10MT</v>
      </c>
      <c r="Q22" s="42">
        <f>IFERROR(__xludf.DUMMYFUNCTION("IFERROR(INDEX(QUERY(IMPORTRANGE(""1oLY-_7Ql1toJl2o9ZgyErbC_zorS8Tr2hEYMAeT0knk"",""Ubicaciones!BD2:BG""),""SELECT SUM(Col4) WHERE Col2 = '""&amp;$O22&amp;""' LABEL SUM(Col4) ''"", 0), 1, 1),0)"),0.0)</f>
        <v>0</v>
      </c>
      <c r="R22" s="42" t="str">
        <f t="array" ref="R22">IFERROR(INDEX(Maestro!I$2:I1000, MATCH($O22, Maestro!C$2:C1000, 0)), "No encontrado")</f>
        <v>ROLLO BURBUJA</v>
      </c>
      <c r="S22" s="50">
        <f t="array" ref="S22">IFERROR(INDEX(Maestro!K21:K1000, MATCH(O22, Maestro!C21:C1000, 0)), "No encontrado")</f>
        <v>1</v>
      </c>
      <c r="T22" s="37"/>
      <c r="U22" s="37"/>
      <c r="V22" s="37"/>
      <c r="W22" s="37"/>
      <c r="X22" s="37"/>
      <c r="Y22" s="37"/>
      <c r="Z22" s="37"/>
    </row>
    <row r="23">
      <c r="A23" s="42" t="str">
        <f>IFERROR(__xludf.DUMMYFUNCTION("""COMPUTED_VALUE"""),"691084")</f>
        <v>691084</v>
      </c>
      <c r="B23" s="42" t="str">
        <f>IFERROR(__xludf.DUMMYFUNCTION("""COMPUTED_VALUE"""),"ROLLO CARTON ACOLCHADO 40CMx5MT")</f>
        <v>ROLLO CARTON ACOLCHADO 40CMx5MT</v>
      </c>
      <c r="C23" s="42">
        <f>IFERROR(__xludf.DUMMYFUNCTION("""COMPUTED_VALUE"""),156.0)</f>
        <v>156</v>
      </c>
      <c r="D23" s="42" t="str">
        <f t="array" ref="D23">IFERROR(INDEX(Maestro!I$2:I1000, MATCH($A23, Maestro!C$2:C1000, 0)), "No encontrado")</f>
        <v>ROLLO PAPEL KRAFT</v>
      </c>
      <c r="E23" s="37"/>
      <c r="F23" s="37" t="str">
        <f>IFERROR(__xludf.DUMMYFUNCTION("""COMPUTED_VALUE"""),"600536")</f>
        <v>600536</v>
      </c>
      <c r="G23" s="37" t="str">
        <f>IFERROR(__xludf.DUMMYFUNCTION("""COMPUTED_VALUE"""),"ROLLO PAPEL KRAFT 35GR 57X20 MT")</f>
        <v>ROLLO PAPEL KRAFT 35GR 57X20 MT</v>
      </c>
      <c r="H23" s="37">
        <f>IFERROR(__xludf.DUMMYFUNCTION("IFERROR(INDEX(QUERY(IMPORTRANGE(""1oLY-_7Ql1toJl2o9ZgyErbC_zorS8Tr2hEYMAeT0knk"",""Ubicaciones!BD2:BG""),""SELECT SUM(Col4) WHERE Col2 = '""&amp;$F23&amp;""' LABEL SUM(Col4) ''"", 0), 1, 1),0) + SUMIF(IRNMTN!C:C,F23,IRNMTN!E:E)"),311.0)</f>
        <v>311</v>
      </c>
      <c r="I23" s="37" t="str">
        <f t="array" ref="I23">IFERROR(INDEX(Maestro!I$2:I1000, MATCH($F23, Maestro!C$2:C1000, 0)), "No encontrado")</f>
        <v>ROLLO PAPEL KRAFT</v>
      </c>
      <c r="J23" s="49">
        <f t="array" ref="J23">IFERROR(INDEX(Maestro!K22:K1000, MATCH(F23, Maestro!C22:C1000, 0)), "No encontrado")</f>
        <v>144</v>
      </c>
      <c r="O23" s="37" t="str">
        <f>IFERROR(__xludf.DUMMYFUNCTION("""COMPUTED_VALUE"""),"600758")</f>
        <v>600758</v>
      </c>
      <c r="P23" s="42" t="str">
        <f>IFERROR(__xludf.DUMMYFUNCTION("""COMPUTED_VALUE"""),"ROLLO PAPEL KRAFT 35G 20X230MTS")</f>
        <v>ROLLO PAPEL KRAFT 35G 20X230MTS</v>
      </c>
      <c r="Q23" s="42">
        <f>IFERROR(__xludf.DUMMYFUNCTION("IFERROR(INDEX(QUERY(IMPORTRANGE(""1oLY-_7Ql1toJl2o9ZgyErbC_zorS8Tr2hEYMAeT0knk"",""Ubicaciones!BD2:BG""),""SELECT SUM(Col4) WHERE Col2 = '""&amp;$O23&amp;""' LABEL SUM(Col4) ''"", 0), 1, 1),0)"),0.0)</f>
        <v>0</v>
      </c>
      <c r="R23" s="42" t="str">
        <f t="array" ref="R23">IFERROR(INDEX(Maestro!I$2:I1000, MATCH($O23, Maestro!C$2:C1000, 0)), "No encontrado")</f>
        <v>ROLLO PAPEL KRAFT</v>
      </c>
      <c r="S23" s="50">
        <f t="array" ref="S23">IFERROR(INDEX(Maestro!K22:K1000, MATCH(O23, Maestro!C22:C1000, 0)), "No encontrado")</f>
        <v>144</v>
      </c>
      <c r="T23" s="37"/>
      <c r="U23" s="37"/>
      <c r="V23" s="37"/>
      <c r="W23" s="37"/>
      <c r="X23" s="37"/>
      <c r="Y23" s="37"/>
      <c r="Z23" s="37"/>
    </row>
    <row r="24">
      <c r="A24" s="42" t="str">
        <f>IFERROR(__xludf.DUMMYFUNCTION("""COMPUTED_VALUE"""),"691084")</f>
        <v>691084</v>
      </c>
      <c r="B24" s="42" t="str">
        <f>IFERROR(__xludf.DUMMYFUNCTION("""COMPUTED_VALUE"""),"ROLLO CARTON ACOLCHADO 40cmx5mt")</f>
        <v>ROLLO CARTON ACOLCHADO 40cmx5mt</v>
      </c>
      <c r="C24" s="42">
        <f>IFERROR(__xludf.DUMMYFUNCTION("""COMPUTED_VALUE"""),3.0)</f>
        <v>3</v>
      </c>
      <c r="D24" s="42" t="str">
        <f t="array" ref="D24">IFERROR(INDEX(Maestro!I$2:I1000, MATCH($A24, Maestro!C$2:C1000, 0)), "No encontrado")</f>
        <v>ROLLO PAPEL KRAFT</v>
      </c>
      <c r="E24" s="37"/>
      <c r="F24" s="37" t="str">
        <f>IFERROR(__xludf.DUMMYFUNCTION("""COMPUTED_VALUE"""),"600673")</f>
        <v>600673</v>
      </c>
      <c r="G24" s="37" t="str">
        <f>IFERROR(__xludf.DUMMYFUNCTION("""COMPUTED_VALUE"""),"ROLLO PAPEL KRAFT 35GR 57X25 MT")</f>
        <v>ROLLO PAPEL KRAFT 35GR 57X25 MT</v>
      </c>
      <c r="H24" s="37">
        <f>IFERROR(__xludf.DUMMYFUNCTION("IFERROR(INDEX(QUERY(IMPORTRANGE(""1oLY-_7Ql1toJl2o9ZgyErbC_zorS8Tr2hEYMAeT0knk"",""Ubicaciones!BD2:BG""),""SELECT SUM(Col4) WHERE Col2 = '""&amp;$F24&amp;""' LABEL SUM(Col4) ''"", 0), 1, 1),0) + SUMIF(IRNMTN!C:C,F24,IRNMTN!E:E)"),214.0)</f>
        <v>214</v>
      </c>
      <c r="I24" s="37" t="str">
        <f t="array" ref="I24">IFERROR(INDEX(Maestro!I$2:I1000, MATCH($F24, Maestro!C$2:C1000, 0)), "No encontrado")</f>
        <v>ROLLO PAPEL KRAFT</v>
      </c>
      <c r="J24" s="49">
        <f t="array" ref="J24">IFERROR(INDEX(Maestro!K23:K1000, MATCH(F24, Maestro!C23:C1000, 0)), "No encontrado")</f>
        <v>144</v>
      </c>
      <c r="O24" s="37" t="str">
        <f>IFERROR(__xludf.DUMMYFUNCTION("""COMPUTED_VALUE"""),"600765")</f>
        <v>600765</v>
      </c>
      <c r="P24" s="42" t="str">
        <f>IFERROR(__xludf.DUMMYFUNCTION("""COMPUTED_VALUE"""),"ROLLO PAPEL KRAFT 35G 40X230MTS")</f>
        <v>ROLLO PAPEL KRAFT 35G 40X230MTS</v>
      </c>
      <c r="Q24" s="42">
        <f>IFERROR(__xludf.DUMMYFUNCTION("IFERROR(INDEX(QUERY(IMPORTRANGE(""1oLY-_7Ql1toJl2o9ZgyErbC_zorS8Tr2hEYMAeT0knk"",""Ubicaciones!BD2:BG""),""SELECT SUM(Col4) WHERE Col2 = '""&amp;$O24&amp;""' LABEL SUM(Col4) ''"", 0), 1, 1),0)"),0.0)</f>
        <v>0</v>
      </c>
      <c r="R24" s="42" t="str">
        <f t="array" ref="R24">IFERROR(INDEX(Maestro!I$2:I1000, MATCH($O24, Maestro!C$2:C1000, 0)), "No encontrado")</f>
        <v>ROLLO PAPEL KRAFT</v>
      </c>
      <c r="S24" s="50">
        <f t="array" ref="S24">IFERROR(INDEX(Maestro!K23:K1000, MATCH(O24, Maestro!C23:C1000, 0)), "No encontrado")</f>
        <v>144</v>
      </c>
      <c r="T24" s="37"/>
      <c r="U24" s="37"/>
      <c r="V24" s="37"/>
      <c r="W24" s="37"/>
      <c r="X24" s="37"/>
      <c r="Y24" s="37"/>
      <c r="Z24" s="37"/>
    </row>
    <row r="25">
      <c r="A25" s="42" t="str">
        <f>IFERROR(__xludf.DUMMYFUNCTION("""COMPUTED_VALUE"""),"691410")</f>
        <v>691410</v>
      </c>
      <c r="B25" s="42" t="str">
        <f>IFERROR(__xludf.DUMMYFUNCTION("""COMPUTED_VALUE"""),"CAJA CARTON ENVIOS PACK")</f>
        <v>CAJA CARTON ENVIOS PACK</v>
      </c>
      <c r="C25" s="42">
        <f>IFERROR(__xludf.DUMMYFUNCTION("""COMPUTED_VALUE"""),31.0)</f>
        <v>31</v>
      </c>
      <c r="D25" s="42" t="str">
        <f t="array" ref="D25">IFERROR(INDEX(Maestro!I$2:I1000, MATCH($A25, Maestro!C$2:C1000, 0)), "No encontrado")</f>
        <v>No encontrado</v>
      </c>
      <c r="E25" s="37"/>
      <c r="F25" s="37" t="str">
        <f>IFERROR(__xludf.DUMMYFUNCTION("""COMPUTED_VALUE"""),"600574")</f>
        <v>600574</v>
      </c>
      <c r="G25" s="37" t="str">
        <f>IFERROR(__xludf.DUMMYFUNCTION("""COMPUTED_VALUE"""),"SEPARADOR VASOS BOTELLAS 32X23X32")</f>
        <v>SEPARADOR VASOS BOTELLAS 32X23X32</v>
      </c>
      <c r="H25" s="37">
        <f>IFERROR(__xludf.DUMMYFUNCTION("IFERROR(INDEX(QUERY(IMPORTRANGE(""1oLY-_7Ql1toJl2o9ZgyErbC_zorS8Tr2hEYMAeT0knk"",""Ubicaciones!BD2:BG""),""SELECT SUM(Col4) WHERE Col2 = '""&amp;$F25&amp;""' LABEL SUM(Col4) ''"", 0), 1, 1),0) + SUMIF(IRNMTN!C:C,F25,IRNMTN!E:E)"),2150.0)</f>
        <v>2150</v>
      </c>
      <c r="I25" s="37" t="str">
        <f t="array" ref="I25">IFERROR(INDEX(Maestro!I$2:I1000, MATCH($F25, Maestro!C$2:C1000, 0)), "No encontrado")</f>
        <v>SEPARADOR</v>
      </c>
      <c r="J25" s="49" t="str">
        <f t="array" ref="J25">IFERROR(INDEX(Maestro!K24:K1000, MATCH(F25, Maestro!C24:C1000, 0)), "No encontrado")</f>
        <v/>
      </c>
      <c r="O25" s="37" t="str">
        <f>IFERROR(__xludf.DUMMYFUNCTION("""COMPUTED_VALUE"""),"692272")</f>
        <v>692272</v>
      </c>
      <c r="P25" s="42" t="str">
        <f>IFERROR(__xludf.DUMMYFUNCTION("""COMPUTED_VALUE"""),"1500 UN ETIQUETA ADHESIVA 100X50 BLANCA")</f>
        <v>1500 UN ETIQUETA ADHESIVA 100X50 BLANCA</v>
      </c>
      <c r="Q25" s="42">
        <f>IFERROR(__xludf.DUMMYFUNCTION("IFERROR(INDEX(QUERY(IMPORTRANGE(""1oLY-_7Ql1toJl2o9ZgyErbC_zorS8Tr2hEYMAeT0knk"",""Ubicaciones!BD2:BG""),""SELECT SUM(Col4) WHERE Col2 = '""&amp;$O25&amp;""' LABEL SUM(Col4) ''"", 0), 1, 1),0)"),0.0)</f>
        <v>0</v>
      </c>
      <c r="R25" s="42" t="str">
        <f t="array" ref="R25">IFERROR(INDEX(Maestro!I$2:I1000, MATCH($O25, Maestro!C$2:C1000, 0)), "No encontrado")</f>
        <v>ETIQUETA ADESIVA</v>
      </c>
      <c r="S25" s="50">
        <f t="array" ref="S25">IFERROR(INDEX(Maestro!K24:K1000, MATCH(O25, Maestro!C24:C1000, 0)), "No encontrado")</f>
        <v>10</v>
      </c>
      <c r="T25" s="37"/>
      <c r="U25" s="37"/>
      <c r="V25" s="37"/>
      <c r="W25" s="37"/>
      <c r="X25" s="37"/>
      <c r="Y25" s="37"/>
      <c r="Z25" s="37"/>
    </row>
    <row r="26">
      <c r="A26" s="42" t="str">
        <f>IFERROR(__xludf.DUMMYFUNCTION("""COMPUTED_VALUE"""),"691411")</f>
        <v>691411</v>
      </c>
      <c r="B26" s="42" t="str">
        <f>IFERROR(__xludf.DUMMYFUNCTION("""COMPUTED_VALUE"""),"CAJA CARTON ENVIOS SB 18x10x8 CM.")</f>
        <v>CAJA CARTON ENVIOS SB 18x10x8 CM.</v>
      </c>
      <c r="C26" s="42">
        <f>IFERROR(__xludf.DUMMYFUNCTION("""COMPUTED_VALUE"""),1640.0)</f>
        <v>1640</v>
      </c>
      <c r="D26" s="42" t="str">
        <f t="array" ref="D26">IFERROR(INDEX(Maestro!I$2:I1000, MATCH($A26, Maestro!C$2:C1000, 0)), "No encontrado")</f>
        <v>CAJA</v>
      </c>
      <c r="E26" s="37"/>
      <c r="F26" s="37" t="str">
        <f>IFERROR(__xludf.DUMMYFUNCTION("""COMPUTED_VALUE"""),"600567")</f>
        <v>600567</v>
      </c>
      <c r="G26" s="37" t="str">
        <f>IFERROR(__xludf.DUMMYFUNCTION("""COMPUTED_VALUE"""),"SEPARADORES PLATOS 32X23X32")</f>
        <v>SEPARADORES PLATOS 32X23X32</v>
      </c>
      <c r="H26" s="37">
        <f>IFERROR(__xludf.DUMMYFUNCTION("IFERROR(INDEX(QUERY(IMPORTRANGE(""1oLY-_7Ql1toJl2o9ZgyErbC_zorS8Tr2hEYMAeT0knk"",""Ubicaciones!BD2:BG""),""SELECT SUM(Col4) WHERE Col2 = '""&amp;$F26&amp;""' LABEL SUM(Col4) ''"", 0), 1, 1),0) + SUMIF(IRNMTN!C:C,F26,IRNMTN!E:E)"),1035.0)</f>
        <v>1035</v>
      </c>
      <c r="I26" s="37" t="str">
        <f t="array" ref="I26">IFERROR(INDEX(Maestro!I$2:I1000, MATCH($F26, Maestro!C$2:C1000, 0)), "No encontrado")</f>
        <v>SEPARADOR</v>
      </c>
      <c r="J26" s="49">
        <f t="array" ref="J26">IFERROR(INDEX(Maestro!K25:K1000, MATCH(F26, Maestro!C25:C1000, 0)), "No encontrado")</f>
        <v>144</v>
      </c>
      <c r="O26" s="37" t="str">
        <f>IFERROR(__xludf.DUMMYFUNCTION("""COMPUTED_VALUE"""),"671383")</f>
        <v>671383</v>
      </c>
      <c r="P26" s="43" t="str">
        <f>IFERROR(__xludf.DUMMYFUNCTION("""COMPUTED_VALUE"""),"CINTA EMBALAJE 48X100")</f>
        <v>CINTA EMBALAJE 48X100</v>
      </c>
      <c r="Q26" s="43">
        <v>53.0</v>
      </c>
      <c r="R26" s="42" t="str">
        <f t="array" ref="R26">IFERROR(INDEX(Maestro!I$2:I1000, MATCH($O26, Maestro!C$2:C1000, 0)), "No encontrado")</f>
        <v>CINTA EMBALAJE</v>
      </c>
      <c r="S26" s="50" t="str">
        <f t="array" ref="S26">IFERROR(INDEX(Maestro!K25:K1000, MATCH(O26, Maestro!C25:C1000, 0)), "No encontrado")</f>
        <v/>
      </c>
      <c r="T26" s="37"/>
      <c r="U26" s="37"/>
      <c r="V26" s="37"/>
      <c r="W26" s="37"/>
      <c r="X26" s="37"/>
      <c r="Y26" s="37"/>
      <c r="Z26" s="37"/>
    </row>
    <row r="27">
      <c r="A27" s="42" t="str">
        <f>IFERROR(__xludf.DUMMYFUNCTION("""COMPUTED_VALUE"""),"692012X")</f>
        <v>692012X</v>
      </c>
      <c r="B27" s="42" t="str">
        <f>IFERROR(__xludf.DUMMYFUNCTION("""COMPUTED_VALUE"""),"CAJA CARTON CORRUGADO 50x40x30 ")</f>
        <v>CAJA CARTON CORRUGADO 50x40x30 </v>
      </c>
      <c r="C27" s="42">
        <f>IFERROR(__xludf.DUMMYFUNCTION("""COMPUTED_VALUE"""),3953.0)</f>
        <v>3953</v>
      </c>
      <c r="D27" s="42" t="str">
        <f t="array" ref="D27">IFERROR(INDEX(Maestro!I$2:I1000, MATCH($A27, Maestro!C$2:C1000, 0)), "No encontrado")</f>
        <v>CAJA</v>
      </c>
      <c r="E27" s="37"/>
      <c r="F27" s="37" t="str">
        <f>IFERROR(__xludf.DUMMYFUNCTION("""COMPUTED_VALUE"""),"55555555")</f>
        <v>55555555</v>
      </c>
      <c r="G27" s="37" t="str">
        <f>IFERROR(__xludf.DUMMYFUNCTION("""COMPUTED_VALUE"""),"ROLLO PAPEL PANAL 100MT")</f>
        <v>ROLLO PAPEL PANAL 100MT</v>
      </c>
      <c r="H27" s="37">
        <f>IFERROR(__xludf.DUMMYFUNCTION("IFERROR(INDEX(QUERY(IMPORTRANGE(""1oLY-_7Ql1toJl2o9ZgyErbC_zorS8Tr2hEYMAeT0knk"",""Ubicaciones!BD2:BG""),""SELECT SUM(Col4) WHERE Col2 = '""&amp;$F27&amp;""' LABEL SUM(Col4) ''"", 0), 1, 1),0) + SUMIF(IRNMTN!C:C,F27,IRNMTN!E:E)"),0.0)</f>
        <v>0</v>
      </c>
      <c r="I27" s="37" t="str">
        <f t="array" ref="I27">IFERROR(INDEX(Maestro!I$2:I1000, MATCH($F27, Maestro!C$2:C1000, 0)), "No encontrado")</f>
        <v>ROLLO PAPEL KRAFT</v>
      </c>
      <c r="J27" s="49">
        <f t="array" ref="J27">IFERROR(INDEX(Maestro!K26:K1000, MATCH(F27, Maestro!C26:C1000, 0)), "No encontrado")</f>
        <v>20</v>
      </c>
      <c r="O27" s="37" t="str">
        <f>IFERROR(__xludf.DUMMYFUNCTION("""COMPUTED_VALUE"""),"650718")</f>
        <v>650718</v>
      </c>
      <c r="P27" s="43" t="str">
        <f>IFERROR(__xludf.DUMMYFUNCTION("""COMPUTED_VALUE"""),"CINTA EMBALAJE 48X40")</f>
        <v>CINTA EMBALAJE 48X40</v>
      </c>
      <c r="Q27" s="43">
        <v>71.0</v>
      </c>
      <c r="R27" s="42" t="str">
        <f t="array" ref="R27">IFERROR(INDEX(Maestro!I$2:I1000, MATCH($O27, Maestro!C$2:C1000, 0)), "No encontrado")</f>
        <v>CINTA EMBALAJE</v>
      </c>
      <c r="S27" s="50" t="str">
        <f t="array" ref="S27">IFERROR(INDEX(Maestro!K26:K1000, MATCH(O27, Maestro!C26:C1000, 0)), "No encontrado")</f>
        <v/>
      </c>
      <c r="T27" s="37"/>
      <c r="U27" s="37"/>
      <c r="V27" s="37"/>
      <c r="W27" s="37"/>
      <c r="X27" s="37"/>
      <c r="Y27" s="37"/>
      <c r="Z27" s="37"/>
    </row>
    <row r="28">
      <c r="A28" s="42" t="str">
        <f>IFERROR(__xludf.DUMMYFUNCTION("""COMPUTED_VALUE"""),"692029X")</f>
        <v>692029X</v>
      </c>
      <c r="B28" s="42" t="str">
        <f>IFERROR(__xludf.DUMMYFUNCTION("""COMPUTED_VALUE"""),"CAJA CARTON CORRUGADO 60x40x40")</f>
        <v>CAJA CARTON CORRUGADO 60x40x40</v>
      </c>
      <c r="C28" s="42">
        <f>IFERROR(__xludf.DUMMYFUNCTION("""COMPUTED_VALUE"""),15.0)</f>
        <v>15</v>
      </c>
      <c r="D28" s="42" t="str">
        <f t="array" ref="D28">IFERROR(INDEX(Maestro!I$2:I1000, MATCH($A28, Maestro!C$2:C1000, 0)), "No encontrado")</f>
        <v>CAJA</v>
      </c>
      <c r="E28" s="37"/>
      <c r="F28" s="37" t="str">
        <f>IFERROR(__xludf.DUMMYFUNCTION("""COMPUTED_VALUE"""),"600567XX")</f>
        <v>600567XX</v>
      </c>
      <c r="G28" s="37" t="str">
        <f>IFERROR(__xludf.DUMMYFUNCTION("""COMPUTED_VALUE"""),"PDQ SEPARADOR PLATO")</f>
        <v>PDQ SEPARADOR PLATO</v>
      </c>
      <c r="H28" s="37">
        <f>IFERROR(__xludf.DUMMYFUNCTION("IFERROR(INDEX(QUERY(IMPORTRANGE(""1oLY-_7Ql1toJl2o9ZgyErbC_zorS8Tr2hEYMAeT0knk"",""Ubicaciones!BD2:BG""),""SELECT SUM(Col4) WHERE Col2 = '""&amp;$F28&amp;""' LABEL SUM(Col4) ''"", 0), 1, 1),0) + SUMIF(IRNMTN!C:C,F28,IRNMTN!E:E)"),32.0)</f>
        <v>32</v>
      </c>
      <c r="I28" s="37" t="str">
        <f t="array" ref="I28">IFERROR(INDEX(Maestro!I$2:I1000, MATCH($F28, Maestro!C$2:C1000, 0)), "No encontrado")</f>
        <v>PDQ</v>
      </c>
      <c r="J28" s="49">
        <f t="array" ref="J28">IFERROR(INDEX(Maestro!K27:K1000, MATCH(F28, Maestro!C27:C1000, 0)), "No encontrado")</f>
        <v>12</v>
      </c>
      <c r="O28" s="37" t="str">
        <f>IFERROR(__xludf.DUMMYFUNCTION("""COMPUTED_VALUE"""),"690094")</f>
        <v>690094</v>
      </c>
      <c r="P28" s="43" t="str">
        <f>IFERROR(__xludf.DUMMYFUNCTION("""COMPUTED_VALUE"""),"FILM STRECH MANUAL 20MIC X 500MM 1,7KG")</f>
        <v>FILM STRECH MANUAL 20MIC X 500MM 1,7KG</v>
      </c>
      <c r="Q28" s="43">
        <v>33.0</v>
      </c>
      <c r="R28" s="42" t="str">
        <f t="array" ref="R28">IFERROR(INDEX(Maestro!I$2:I1000, MATCH($O28, Maestro!C$2:C1000, 0)), "No encontrado")</f>
        <v>STRETCH FILM</v>
      </c>
      <c r="S28" s="50" t="str">
        <f t="array" ref="S28">IFERROR(INDEX(Maestro!K27:K1000, MATCH(O28, Maestro!C27:C1000, 0)), "No encontrado")</f>
        <v/>
      </c>
      <c r="T28" s="37"/>
      <c r="U28" s="37"/>
      <c r="V28" s="37"/>
      <c r="W28" s="37"/>
      <c r="X28" s="37"/>
      <c r="Y28" s="37"/>
      <c r="Z28" s="37"/>
    </row>
    <row r="29">
      <c r="A29" s="42" t="str">
        <f>IFERROR(__xludf.DUMMYFUNCTION("""COMPUTED_VALUE"""),"692029X")</f>
        <v>692029X</v>
      </c>
      <c r="B29" s="42" t="str">
        <f>IFERROR(__xludf.DUMMYFUNCTION("""COMPUTED_VALUE"""),"CAJA CARTON CORRUGADO 60x40x40 ")</f>
        <v>CAJA CARTON CORRUGADO 60x40x40 </v>
      </c>
      <c r="C29" s="42">
        <f>IFERROR(__xludf.DUMMYFUNCTION("""COMPUTED_VALUE"""),5550.0)</f>
        <v>5550</v>
      </c>
      <c r="D29" s="42" t="str">
        <f t="array" ref="D29">IFERROR(INDEX(Maestro!I$2:I1000, MATCH($A29, Maestro!C$2:C1000, 0)), "No encontrado")</f>
        <v>CAJA</v>
      </c>
      <c r="E29" s="37"/>
      <c r="F29" s="37" t="str">
        <f>IFERROR(__xludf.DUMMYFUNCTION("""COMPUTED_VALUE"""),"600523XX")</f>
        <v>600523XX</v>
      </c>
      <c r="G29" s="37" t="str">
        <f>IFERROR(__xludf.DUMMYFUNCTION("""COMPUTED_VALUE"""),"PDQ FUNDA PANAL")</f>
        <v>PDQ FUNDA PANAL</v>
      </c>
      <c r="H29" s="37">
        <f>IFERROR(__xludf.DUMMYFUNCTION("IFERROR(INDEX(QUERY(IMPORTRANGE(""1oLY-_7Ql1toJl2o9ZgyErbC_zorS8Tr2hEYMAeT0knk"",""Ubicaciones!BD2:BG""),""SELECT SUM(Col4) WHERE Col2 = '""&amp;$F29&amp;""' LABEL SUM(Col4) ''"", 0), 1, 1),0) + SUMIF(IRNMTN!C:C,F29,IRNMTN!E:E)"),37.0)</f>
        <v>37</v>
      </c>
      <c r="I29" s="37" t="str">
        <f t="array" ref="I29">IFERROR(INDEX(Maestro!I$2:I1000, MATCH($F29, Maestro!C$2:C1000, 0)), "No encontrado")</f>
        <v>PDQ</v>
      </c>
      <c r="J29" s="49">
        <f t="array" ref="J29">IFERROR(INDEX(Maestro!K28:K1000, MATCH(F29, Maestro!C28:C1000, 0)), "No encontrado")</f>
        <v>12</v>
      </c>
      <c r="O29" s="37" t="str">
        <f>IFERROR(__xludf.DUMMYFUNCTION("""COMPUTED_VALUE"""),"657325")</f>
        <v>657325</v>
      </c>
      <c r="P29" s="42" t="str">
        <f>IFERROR(__xludf.DUMMYFUNCTION("""COMPUTED_VALUE"""),"FILM STRECH MANUAL 20MIC X 500MM 2,0KG")</f>
        <v>FILM STRECH MANUAL 20MIC X 500MM 2,0KG</v>
      </c>
      <c r="Q29" s="42">
        <f>IFERROR(__xludf.DUMMYFUNCTION("IFERROR(INDEX(QUERY(IMPORTRANGE(""1oLY-_7Ql1toJl2o9ZgyErbC_zorS8Tr2hEYMAeT0knk"",""Ubicaciones!BD2:BG""),""SELECT SUM(Col4) WHERE Col2 = '""&amp;$O29&amp;""' LABEL SUM(Col4) ''"", 0), 1, 1),0)"),180.0)</f>
        <v>180</v>
      </c>
      <c r="R29" s="42" t="str">
        <f t="array" ref="R29">IFERROR(INDEX(Maestro!I$2:I1000, MATCH($O29, Maestro!C$2:C1000, 0)), "No encontrado")</f>
        <v>STRETCH FILM</v>
      </c>
      <c r="S29" s="50" t="str">
        <f t="array" ref="S29">IFERROR(INDEX(Maestro!K28:K1000, MATCH(O29, Maestro!C28:C1000, 0)), "No encontrado")</f>
        <v/>
      </c>
      <c r="T29" s="37"/>
      <c r="U29" s="37"/>
      <c r="V29" s="37"/>
      <c r="W29" s="37"/>
      <c r="X29" s="37"/>
      <c r="Y29" s="37"/>
      <c r="Z29" s="37"/>
    </row>
    <row r="30">
      <c r="A30" s="42" t="str">
        <f>IFERROR(__xludf.DUMMYFUNCTION("""COMPUTED_VALUE"""),"692036X")</f>
        <v>692036X</v>
      </c>
      <c r="B30" s="42" t="str">
        <f>IFERROR(__xludf.DUMMYFUNCTION("""COMPUTED_VALUE"""),"CAJA CARTON CORRUGADO 47x31x31 ")</f>
        <v>CAJA CARTON CORRUGADO 47x31x31 </v>
      </c>
      <c r="C30" s="42">
        <f>IFERROR(__xludf.DUMMYFUNCTION("""COMPUTED_VALUE"""),3175.0)</f>
        <v>3175</v>
      </c>
      <c r="D30" s="42" t="str">
        <f t="array" ref="D30">IFERROR(INDEX(Maestro!I$2:I1000, MATCH($A30, Maestro!C$2:C1000, 0)), "No encontrado")</f>
        <v>CAJA</v>
      </c>
      <c r="E30" s="37"/>
      <c r="F30" s="37" t="str">
        <f>IFERROR(__xludf.DUMMYFUNCTION("""COMPUTED_VALUE"""),"600574XX")</f>
        <v>600574XX</v>
      </c>
      <c r="G30" s="37" t="str">
        <f>IFERROR(__xludf.DUMMYFUNCTION("""COMPUTED_VALUE"""),"PDQ BOTELLAS VASOS")</f>
        <v>PDQ BOTELLAS VASOS</v>
      </c>
      <c r="H30" s="37">
        <f>IFERROR(__xludf.DUMMYFUNCTION("IFERROR(INDEX(QUERY(IMPORTRANGE(""1oLY-_7Ql1toJl2o9ZgyErbC_zorS8Tr2hEYMAeT0knk"",""Ubicaciones!BD2:BG""),""SELECT SUM(Col4) WHERE Col2 = '""&amp;$F30&amp;""' LABEL SUM(Col4) ''"", 0), 1, 1),0) + SUMIF(IRNMTN!C:C,F30,IRNMTN!E:E)"),48.0)</f>
        <v>48</v>
      </c>
      <c r="I30" s="37" t="str">
        <f t="array" ref="I30">IFERROR(INDEX(Maestro!I$2:I1000, MATCH($F30, Maestro!C$2:C1000, 0)), "No encontrado")</f>
        <v>PDQ</v>
      </c>
      <c r="J30" s="49">
        <f t="array" ref="J30">IFERROR(INDEX(Maestro!K29:K1000, MATCH(F30, Maestro!C29:C1000, 0)), "No encontrado")</f>
        <v>12</v>
      </c>
      <c r="O30" s="37"/>
      <c r="P30" s="37"/>
      <c r="Q30" s="37"/>
      <c r="R30" s="37"/>
      <c r="S30" s="37"/>
      <c r="T30" s="37"/>
      <c r="U30" s="37"/>
      <c r="V30" s="37"/>
      <c r="W30" s="37"/>
      <c r="X30" s="37"/>
      <c r="Y30" s="37"/>
      <c r="Z30" s="37"/>
    </row>
    <row r="31">
      <c r="A31" s="37" t="str">
        <f>IFERROR(__xludf.DUMMYFUNCTION("""COMPUTED_VALUE"""),"692043")</f>
        <v>692043</v>
      </c>
      <c r="B31" s="37" t="str">
        <f>IFERROR(__xludf.DUMMYFUNCTION("""COMPUTED_VALUE"""),"CAJA CARTON CORRUGADO 60x60x50 CM")</f>
        <v>CAJA CARTON CORRUGADO 60x60x50 CM</v>
      </c>
      <c r="C31" s="37">
        <f>IFERROR(__xludf.DUMMYFUNCTION("""COMPUTED_VALUE"""),10.0)</f>
        <v>10</v>
      </c>
      <c r="D31" s="42" t="str">
        <f t="array" ref="D31">IFERROR(INDEX(Maestro!I$2:I1000, MATCH($A31, Maestro!C$2:C1000, 0)), "No encontrado")</f>
        <v>CAJA</v>
      </c>
      <c r="E31" s="37"/>
      <c r="F31" s="37" t="str">
        <f>IFERROR(__xludf.DUMMYFUNCTION("""COMPUTED_VALUE"""),"690469X")</f>
        <v>690469X</v>
      </c>
      <c r="G31" s="37" t="str">
        <f>IFERROR(__xludf.DUMMYFUNCTION("""COMPUTED_VALUE"""),"ROLLO PLASTICO BURBUJA BOBINA")</f>
        <v>ROLLO PLASTICO BURBUJA BOBINA</v>
      </c>
      <c r="H31" s="37">
        <f>IFERROR(__xludf.DUMMYFUNCTION("IFERROR(INDEX(QUERY(IMPORTRANGE(""1oLY-_7Ql1toJl2o9ZgyErbC_zorS8Tr2hEYMAeT0knk"",""Ubicaciones!BD2:BG""),""SELECT SUM(Col4) WHERE Col2 = '""&amp;$F31&amp;""' LABEL SUM(Col4) ''"", 0), 1, 1),0) + SUMIF(IRNMTN!C:C,F31,IRNMTN!E:E)"),0.0)</f>
        <v>0</v>
      </c>
      <c r="I31" s="37" t="str">
        <f t="array" ref="I31">IFERROR(INDEX(Maestro!I$2:I1000, MATCH($F31, Maestro!C$2:C1000, 0)), "No encontrado")</f>
        <v>ROLLO BURBUJA</v>
      </c>
      <c r="J31" s="49">
        <f t="array" ref="J31">IFERROR(INDEX(Maestro!K30:K1000, MATCH(F31, Maestro!C30:C1000, 0)), "No encontrado")</f>
        <v>1</v>
      </c>
      <c r="O31" s="37"/>
      <c r="P31" s="37"/>
      <c r="Q31" s="37"/>
      <c r="R31" s="37"/>
      <c r="S31" s="37"/>
      <c r="T31" s="37"/>
      <c r="U31" s="37"/>
      <c r="V31" s="37"/>
      <c r="W31" s="37"/>
      <c r="X31" s="37"/>
      <c r="Y31" s="37"/>
      <c r="Z31" s="37"/>
    </row>
    <row r="32">
      <c r="A32" s="37" t="str">
        <f>IFERROR(__xludf.DUMMYFUNCTION("""COMPUTED_VALUE"""),"692043")</f>
        <v>692043</v>
      </c>
      <c r="B32" s="37" t="str">
        <f>IFERROR(__xludf.DUMMYFUNCTION("""COMPUTED_VALUE"""),"CAJA CARTON CORRUGADO 60x60x50 CM ")</f>
        <v>CAJA CARTON CORRUGADO 60x60x50 CM </v>
      </c>
      <c r="C32" s="37">
        <f>IFERROR(__xludf.DUMMYFUNCTION("""COMPUTED_VALUE"""),1230.0)</f>
        <v>1230</v>
      </c>
      <c r="D32" s="42" t="str">
        <f t="array" ref="D32">IFERROR(INDEX(Maestro!I$2:I1000, MATCH($A32, Maestro!C$2:C1000, 0)), "No encontrado")</f>
        <v>CAJA</v>
      </c>
      <c r="E32" s="37"/>
      <c r="F32" s="37"/>
      <c r="G32" s="37"/>
      <c r="H32" s="37"/>
      <c r="I32" s="37"/>
      <c r="J32" s="52"/>
      <c r="O32" s="37"/>
      <c r="P32" s="37"/>
      <c r="Q32" s="37"/>
      <c r="R32" s="37"/>
      <c r="S32" s="37"/>
      <c r="T32" s="37"/>
      <c r="U32" s="37"/>
      <c r="V32" s="37"/>
      <c r="W32" s="37"/>
      <c r="X32" s="37"/>
      <c r="Y32" s="37"/>
      <c r="Z32" s="37"/>
    </row>
    <row r="33">
      <c r="A33" s="37" t="str">
        <f>IFERROR(__xludf.DUMMYFUNCTION("""COMPUTED_VALUE"""),"692265")</f>
        <v>692265</v>
      </c>
      <c r="B33" s="37" t="str">
        <f>IFERROR(__xludf.DUMMYFUNCTION("""COMPUTED_VALUE"""),"ROLLO CARTON CORRUGADO 0.80X100 MT")</f>
        <v>ROLLO CARTON CORRUGADO 0.80X100 MT</v>
      </c>
      <c r="C33" s="37">
        <f>IFERROR(__xludf.DUMMYFUNCTION("""COMPUTED_VALUE"""),68.0)</f>
        <v>68</v>
      </c>
      <c r="D33" s="42" t="str">
        <f t="array" ref="D33">IFERROR(INDEX(Maestro!I$2:I1000, MATCH($A33, Maestro!C$2:C1000, 0)), "No encontrado")</f>
        <v>ROLLO CARTON</v>
      </c>
      <c r="E33" s="37"/>
      <c r="F33" s="37"/>
      <c r="G33" s="37"/>
      <c r="H33" s="37"/>
      <c r="I33" s="37"/>
      <c r="J33" s="52"/>
      <c r="O33" s="37"/>
      <c r="P33" s="37"/>
      <c r="Q33" s="37"/>
      <c r="R33" s="37"/>
      <c r="S33" s="37"/>
      <c r="T33" s="37"/>
      <c r="U33" s="37"/>
      <c r="V33" s="37"/>
      <c r="W33" s="37"/>
      <c r="X33" s="37"/>
      <c r="Y33" s="37"/>
      <c r="Z33" s="37"/>
    </row>
    <row r="34">
      <c r="A34" s="37" t="str">
        <f>IFERROR(__xludf.DUMMYFUNCTION("""COMPUTED_VALUE"""),"692425")</f>
        <v>692425</v>
      </c>
      <c r="B34" s="37" t="str">
        <f>IFERROR(__xludf.DUMMYFUNCTION("""COMPUTED_VALUE"""),"CAJA CARTON PISQUERA 31x23x31 CM")</f>
        <v>CAJA CARTON PISQUERA 31x23x31 CM</v>
      </c>
      <c r="C34" s="37">
        <f>IFERROR(__xludf.DUMMYFUNCTION("""COMPUTED_VALUE"""),371.0)</f>
        <v>371</v>
      </c>
      <c r="D34" s="42" t="str">
        <f t="array" ref="D34">IFERROR(INDEX(Maestro!I$2:I1000, MATCH($A34, Maestro!C$2:C1000, 0)), "No encontrado")</f>
        <v>CAJA</v>
      </c>
      <c r="E34" s="37"/>
      <c r="F34" s="37"/>
      <c r="G34" s="37"/>
      <c r="H34" s="37"/>
      <c r="I34" s="37"/>
      <c r="J34" s="52"/>
      <c r="O34" s="37"/>
      <c r="P34" s="37"/>
      <c r="Q34" s="37"/>
      <c r="R34" s="37"/>
      <c r="S34" s="37"/>
      <c r="T34" s="37"/>
      <c r="U34" s="37"/>
      <c r="V34" s="37"/>
      <c r="W34" s="37"/>
      <c r="X34" s="37"/>
      <c r="Y34" s="37"/>
      <c r="Z34" s="37"/>
    </row>
    <row r="35">
      <c r="A35" s="37" t="str">
        <f>IFERROR(__xludf.DUMMYFUNCTION("""COMPUTED_VALUE"""),"692432")</f>
        <v>692432</v>
      </c>
      <c r="B35" s="37" t="str">
        <f>IFERROR(__xludf.DUMMYFUNCTION("""COMPUTED_VALUE"""),"CAJA CARTON ENVIOS 25x17x13 CM")</f>
        <v>CAJA CARTON ENVIOS 25x17x13 CM</v>
      </c>
      <c r="C35" s="37">
        <f>IFERROR(__xludf.DUMMYFUNCTION("""COMPUTED_VALUE"""),895.0)</f>
        <v>895</v>
      </c>
      <c r="D35" s="42" t="str">
        <f t="array" ref="D35">IFERROR(INDEX(Maestro!I$2:I1000, MATCH($A35, Maestro!C$2:C1000, 0)), "No encontrado")</f>
        <v>CAJA</v>
      </c>
      <c r="E35" s="37"/>
      <c r="F35" s="37"/>
      <c r="G35" s="37"/>
      <c r="H35" s="37"/>
      <c r="I35" s="37"/>
      <c r="J35" s="52"/>
      <c r="O35" s="37"/>
      <c r="P35" s="37"/>
      <c r="Q35" s="37"/>
      <c r="R35" s="37"/>
      <c r="S35" s="37"/>
      <c r="T35" s="37"/>
      <c r="U35" s="37"/>
      <c r="V35" s="37"/>
      <c r="W35" s="37"/>
      <c r="X35" s="37"/>
      <c r="Y35" s="37"/>
      <c r="Z35" s="37"/>
    </row>
    <row r="36">
      <c r="A36" s="37" t="str">
        <f>IFERROR(__xludf.DUMMYFUNCTION("""COMPUTED_VALUE"""),"PENDIENTE")</f>
        <v>PENDIENTE</v>
      </c>
      <c r="B36" s="37" t="str">
        <f>IFERROR(__xludf.DUMMYFUNCTION("""COMPUTED_VALUE"""),"SEPARADOR  VASOS 3 RANURAS")</f>
        <v>SEPARADOR  VASOS 3 RANURAS</v>
      </c>
      <c r="C36" s="37">
        <f>IFERROR(__xludf.DUMMYFUNCTION("""COMPUTED_VALUE"""),667.0)</f>
        <v>667</v>
      </c>
      <c r="D36" s="42" t="str">
        <f t="array" ref="D36">IFERROR(INDEX(Maestro!I$2:I1000, MATCH($A36, Maestro!C$2:C1000, 0)), "No encontrado")</f>
        <v>No encontrado</v>
      </c>
      <c r="E36" s="37"/>
      <c r="F36" s="37"/>
      <c r="G36" s="37"/>
      <c r="H36" s="37"/>
      <c r="I36" s="37"/>
      <c r="J36" s="52"/>
      <c r="O36" s="37"/>
      <c r="P36" s="37"/>
      <c r="Q36" s="37"/>
      <c r="R36" s="37"/>
      <c r="S36" s="37"/>
      <c r="T36" s="37"/>
      <c r="U36" s="37"/>
      <c r="V36" s="37"/>
      <c r="W36" s="37"/>
      <c r="X36" s="37"/>
      <c r="Y36" s="37"/>
      <c r="Z36" s="37"/>
    </row>
    <row r="37">
      <c r="A37" s="37" t="str">
        <f>IFERROR(__xludf.DUMMYFUNCTION("""COMPUTED_VALUE"""),"PENDIENTE")</f>
        <v>PENDIENTE</v>
      </c>
      <c r="B37" s="37" t="str">
        <f>IFERROR(__xludf.DUMMYFUNCTION("""COMPUTED_VALUE"""),"SEPARADOR 2 RANURAS")</f>
        <v>SEPARADOR 2 RANURAS</v>
      </c>
      <c r="C37" s="37">
        <f>IFERROR(__xludf.DUMMYFUNCTION("""COMPUTED_VALUE"""),1332.0)</f>
        <v>1332</v>
      </c>
      <c r="D37" s="42" t="str">
        <f t="array" ref="D37">IFERROR(INDEX(Maestro!I$2:I1000, MATCH($A37, Maestro!C$2:C1000, 0)), "No encontrado")</f>
        <v>No encontrado</v>
      </c>
      <c r="E37" s="37"/>
      <c r="F37" s="37"/>
      <c r="G37" s="37"/>
      <c r="H37" s="37"/>
      <c r="I37" s="37"/>
      <c r="J37" s="52"/>
      <c r="O37" s="37"/>
      <c r="P37" s="37"/>
      <c r="Q37" s="37"/>
      <c r="R37" s="37"/>
      <c r="S37" s="37"/>
      <c r="T37" s="37"/>
      <c r="U37" s="37"/>
      <c r="V37" s="37"/>
      <c r="W37" s="37"/>
      <c r="X37" s="37"/>
      <c r="Y37" s="37"/>
      <c r="Z37" s="37"/>
    </row>
    <row r="38">
      <c r="A38" s="37" t="str">
        <f>IFERROR(__xludf.DUMMYFUNCTION("""COMPUTED_VALUE"""),"PENDIENTE")</f>
        <v>PENDIENTE</v>
      </c>
      <c r="B38" s="37" t="str">
        <f>IFERROR(__xludf.DUMMYFUNCTION("""COMPUTED_VALUE"""),"SEPARADOR BOTELLA DOS RANURAS")</f>
        <v>SEPARADOR BOTELLA DOS RANURAS</v>
      </c>
      <c r="C38" s="37">
        <f>IFERROR(__xludf.DUMMYFUNCTION("""COMPUTED_VALUE"""),1500.0)</f>
        <v>1500</v>
      </c>
      <c r="D38" s="42" t="str">
        <f t="array" ref="D38">IFERROR(INDEX(Maestro!I$2:I1000, MATCH($A38, Maestro!C$2:C1000, 0)), "No encontrado")</f>
        <v>No encontrado</v>
      </c>
      <c r="E38" s="37"/>
      <c r="F38" s="37"/>
      <c r="G38" s="37"/>
      <c r="H38" s="37"/>
      <c r="I38" s="37"/>
      <c r="J38" s="52"/>
      <c r="O38" s="37"/>
      <c r="P38" s="37"/>
      <c r="Q38" s="37"/>
      <c r="R38" s="37"/>
      <c r="S38" s="37"/>
      <c r="T38" s="37"/>
      <c r="U38" s="37"/>
      <c r="V38" s="37"/>
      <c r="W38" s="37"/>
      <c r="X38" s="37"/>
      <c r="Y38" s="37"/>
      <c r="Z38" s="37"/>
    </row>
    <row r="39">
      <c r="A39" s="37"/>
      <c r="B39" s="37"/>
      <c r="C39" s="37"/>
      <c r="D39" s="37"/>
      <c r="E39" s="37"/>
      <c r="F39" s="37"/>
      <c r="G39" s="37"/>
      <c r="H39" s="37"/>
      <c r="I39" s="37"/>
      <c r="J39" s="52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</row>
    <row r="40">
      <c r="A40" s="37"/>
      <c r="B40" s="37"/>
      <c r="C40" s="37"/>
      <c r="D40" s="37"/>
      <c r="E40" s="37"/>
      <c r="F40" s="37"/>
      <c r="G40" s="37"/>
      <c r="H40" s="37"/>
      <c r="I40" s="37"/>
      <c r="J40" s="52"/>
      <c r="O40" s="37"/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</row>
    <row r="41">
      <c r="A41" s="37"/>
      <c r="B41" s="37"/>
      <c r="C41" s="37"/>
      <c r="D41" s="37"/>
      <c r="E41" s="37"/>
      <c r="F41" s="37"/>
      <c r="G41" s="37"/>
      <c r="H41" s="37"/>
      <c r="I41" s="37"/>
      <c r="J41" s="52"/>
      <c r="O41" s="37"/>
      <c r="P41" s="37"/>
      <c r="Q41" s="37"/>
      <c r="R41" s="37"/>
      <c r="S41" s="37"/>
      <c r="T41" s="37"/>
      <c r="U41" s="37"/>
      <c r="V41" s="37"/>
      <c r="W41" s="37"/>
      <c r="X41" s="37"/>
      <c r="Y41" s="37"/>
      <c r="Z41" s="37"/>
    </row>
    <row r="42">
      <c r="A42" s="37"/>
      <c r="B42" s="37"/>
      <c r="C42" s="37"/>
      <c r="D42" s="37"/>
      <c r="E42" s="37"/>
      <c r="F42" s="37"/>
      <c r="G42" s="37"/>
      <c r="H42" s="37"/>
      <c r="I42" s="37"/>
      <c r="J42" s="52"/>
      <c r="O42" s="37"/>
      <c r="P42" s="37"/>
      <c r="Q42" s="37"/>
      <c r="R42" s="37"/>
      <c r="S42" s="37"/>
      <c r="T42" s="37"/>
      <c r="U42" s="37"/>
      <c r="V42" s="37"/>
      <c r="W42" s="37"/>
      <c r="X42" s="37"/>
      <c r="Y42" s="37"/>
      <c r="Z42" s="37"/>
    </row>
    <row r="43">
      <c r="A43" s="37"/>
      <c r="B43" s="37"/>
      <c r="C43" s="37"/>
      <c r="D43" s="37"/>
      <c r="E43" s="37"/>
      <c r="F43" s="37"/>
      <c r="G43" s="37"/>
      <c r="H43" s="37"/>
      <c r="I43" s="37"/>
      <c r="J43" s="52"/>
      <c r="O43" s="37"/>
      <c r="P43" s="37"/>
      <c r="Q43" s="37"/>
      <c r="R43" s="37"/>
      <c r="S43" s="37"/>
      <c r="T43" s="37"/>
      <c r="U43" s="37"/>
      <c r="V43" s="37"/>
      <c r="W43" s="37"/>
      <c r="X43" s="37"/>
      <c r="Y43" s="37"/>
      <c r="Z43" s="37"/>
    </row>
    <row r="44">
      <c r="A44" s="37"/>
      <c r="B44" s="37"/>
      <c r="C44" s="37"/>
      <c r="D44" s="37"/>
      <c r="E44" s="37"/>
      <c r="F44" s="37"/>
      <c r="G44" s="37"/>
      <c r="H44" s="37"/>
      <c r="I44" s="37"/>
      <c r="J44" s="52"/>
      <c r="O44" s="37"/>
      <c r="P44" s="37"/>
      <c r="Q44" s="37"/>
      <c r="R44" s="37"/>
      <c r="S44" s="37"/>
      <c r="T44" s="37"/>
      <c r="U44" s="37"/>
      <c r="V44" s="37"/>
      <c r="W44" s="37"/>
      <c r="X44" s="37"/>
      <c r="Y44" s="37"/>
      <c r="Z44" s="37"/>
    </row>
    <row r="45">
      <c r="A45" s="37"/>
      <c r="B45" s="37"/>
      <c r="C45" s="37"/>
      <c r="D45" s="37"/>
      <c r="E45" s="37"/>
      <c r="F45" s="37"/>
      <c r="G45" s="37"/>
      <c r="H45" s="37"/>
      <c r="I45" s="37"/>
      <c r="J45" s="52"/>
      <c r="O45" s="37"/>
      <c r="P45" s="37"/>
      <c r="Q45" s="37"/>
      <c r="R45" s="37"/>
      <c r="S45" s="37"/>
      <c r="T45" s="37"/>
      <c r="U45" s="37"/>
      <c r="V45" s="37"/>
      <c r="W45" s="37"/>
      <c r="X45" s="37"/>
      <c r="Y45" s="37"/>
      <c r="Z45" s="37"/>
    </row>
    <row r="46">
      <c r="A46" s="37"/>
      <c r="B46" s="37"/>
      <c r="C46" s="37"/>
      <c r="D46" s="37"/>
      <c r="E46" s="37"/>
      <c r="F46" s="37"/>
      <c r="G46" s="37"/>
      <c r="H46" s="37"/>
      <c r="I46" s="37"/>
      <c r="J46" s="52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</row>
    <row r="47">
      <c r="A47" s="37"/>
      <c r="B47" s="37"/>
      <c r="C47" s="37"/>
      <c r="D47" s="37"/>
      <c r="E47" s="37"/>
      <c r="F47" s="37"/>
      <c r="G47" s="37"/>
      <c r="H47" s="37"/>
      <c r="I47" s="37"/>
      <c r="J47" s="52"/>
      <c r="O47" s="37"/>
      <c r="P47" s="37"/>
      <c r="Q47" s="37"/>
      <c r="R47" s="37"/>
      <c r="S47" s="37"/>
      <c r="T47" s="37"/>
      <c r="U47" s="37"/>
      <c r="V47" s="37"/>
      <c r="W47" s="37"/>
      <c r="X47" s="37"/>
      <c r="Y47" s="37"/>
      <c r="Z47" s="37"/>
    </row>
    <row r="48">
      <c r="A48" s="37"/>
      <c r="B48" s="37"/>
      <c r="C48" s="37"/>
      <c r="D48" s="37"/>
      <c r="E48" s="37"/>
      <c r="F48" s="37"/>
      <c r="G48" s="37"/>
      <c r="H48" s="37"/>
      <c r="I48" s="37"/>
      <c r="J48" s="52"/>
      <c r="O48" s="37"/>
      <c r="P48" s="37"/>
      <c r="Q48" s="37"/>
      <c r="R48" s="37"/>
      <c r="S48" s="37"/>
      <c r="T48" s="37"/>
      <c r="U48" s="37"/>
      <c r="V48" s="37"/>
      <c r="W48" s="37"/>
      <c r="X48" s="37"/>
      <c r="Y48" s="37"/>
      <c r="Z48" s="37"/>
    </row>
    <row r="49">
      <c r="A49" s="37"/>
      <c r="B49" s="37"/>
      <c r="C49" s="37"/>
      <c r="D49" s="37"/>
      <c r="E49" s="37"/>
      <c r="F49" s="37"/>
      <c r="G49" s="37"/>
      <c r="H49" s="37"/>
      <c r="I49" s="37"/>
      <c r="J49" s="52"/>
      <c r="O49" s="37"/>
      <c r="P49" s="37"/>
      <c r="Q49" s="37"/>
      <c r="R49" s="37"/>
      <c r="S49" s="37"/>
      <c r="T49" s="37"/>
      <c r="U49" s="37"/>
      <c r="V49" s="37"/>
      <c r="W49" s="37"/>
      <c r="X49" s="37"/>
      <c r="Y49" s="37"/>
      <c r="Z49" s="37"/>
    </row>
    <row r="50">
      <c r="A50" s="37"/>
      <c r="B50" s="37"/>
      <c r="C50" s="37"/>
      <c r="D50" s="37"/>
      <c r="E50" s="37"/>
      <c r="F50" s="37"/>
      <c r="G50" s="37"/>
      <c r="H50" s="37"/>
      <c r="I50" s="37"/>
      <c r="J50" s="52"/>
      <c r="O50" s="37"/>
      <c r="P50" s="37"/>
      <c r="Q50" s="37"/>
      <c r="R50" s="37"/>
      <c r="S50" s="37"/>
      <c r="T50" s="37"/>
      <c r="U50" s="37"/>
      <c r="V50" s="37"/>
      <c r="W50" s="37"/>
      <c r="X50" s="37"/>
      <c r="Y50" s="37"/>
      <c r="Z50" s="37"/>
    </row>
    <row r="51">
      <c r="A51" s="37"/>
      <c r="B51" s="37"/>
      <c r="C51" s="37"/>
      <c r="D51" s="37"/>
      <c r="E51" s="37"/>
      <c r="F51" s="37"/>
      <c r="G51" s="37"/>
      <c r="H51" s="37"/>
      <c r="I51" s="37"/>
      <c r="J51" s="52"/>
      <c r="O51" s="37"/>
      <c r="P51" s="37"/>
      <c r="Q51" s="37"/>
      <c r="R51" s="37"/>
      <c r="S51" s="37"/>
      <c r="T51" s="37"/>
      <c r="U51" s="37"/>
      <c r="V51" s="37"/>
      <c r="W51" s="37"/>
      <c r="X51" s="37"/>
      <c r="Y51" s="37"/>
      <c r="Z51" s="37"/>
    </row>
    <row r="52">
      <c r="A52" s="37"/>
      <c r="B52" s="37"/>
      <c r="C52" s="37"/>
      <c r="D52" s="37"/>
      <c r="E52" s="37"/>
      <c r="F52" s="37"/>
      <c r="G52" s="37"/>
      <c r="H52" s="37"/>
      <c r="I52" s="37"/>
      <c r="J52" s="52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</row>
    <row r="53">
      <c r="A53" s="37"/>
      <c r="B53" s="37"/>
      <c r="C53" s="37"/>
      <c r="D53" s="37"/>
      <c r="E53" s="37"/>
      <c r="F53" s="37"/>
      <c r="G53" s="37"/>
      <c r="H53" s="37"/>
      <c r="I53" s="37"/>
      <c r="J53" s="52"/>
      <c r="O53" s="37"/>
      <c r="P53" s="37"/>
      <c r="Q53" s="37"/>
      <c r="R53" s="37"/>
      <c r="S53" s="37"/>
      <c r="T53" s="37"/>
      <c r="U53" s="37"/>
      <c r="V53" s="37"/>
      <c r="W53" s="37"/>
      <c r="X53" s="37"/>
      <c r="Y53" s="37"/>
      <c r="Z53" s="37"/>
    </row>
    <row r="54">
      <c r="A54" s="37"/>
      <c r="B54" s="37"/>
      <c r="C54" s="37"/>
      <c r="D54" s="37"/>
      <c r="E54" s="37"/>
      <c r="F54" s="37"/>
      <c r="G54" s="37"/>
      <c r="H54" s="37"/>
      <c r="I54" s="37"/>
      <c r="J54" s="52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>
      <c r="A55" s="37"/>
      <c r="B55" s="37"/>
      <c r="C55" s="37"/>
      <c r="D55" s="37"/>
      <c r="E55" s="37"/>
      <c r="F55" s="37"/>
      <c r="G55" s="37"/>
      <c r="H55" s="37"/>
      <c r="I55" s="37"/>
      <c r="J55" s="52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>
      <c r="A56" s="37"/>
      <c r="B56" s="37"/>
      <c r="C56" s="37"/>
      <c r="D56" s="37"/>
      <c r="E56" s="37"/>
      <c r="F56" s="37"/>
      <c r="G56" s="37"/>
      <c r="H56" s="37"/>
      <c r="I56" s="37"/>
      <c r="J56" s="52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>
      <c r="A57" s="37"/>
      <c r="B57" s="37"/>
      <c r="C57" s="37"/>
      <c r="D57" s="37"/>
      <c r="E57" s="37"/>
      <c r="F57" s="37"/>
      <c r="G57" s="37"/>
      <c r="H57" s="37"/>
      <c r="I57" s="37"/>
      <c r="J57" s="52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>
      <c r="A58" s="37"/>
      <c r="B58" s="37"/>
      <c r="C58" s="37"/>
      <c r="D58" s="37"/>
      <c r="E58" s="37"/>
      <c r="F58" s="37"/>
      <c r="G58" s="37"/>
      <c r="H58" s="37"/>
      <c r="I58" s="37"/>
      <c r="J58" s="52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>
      <c r="A59" s="37"/>
      <c r="B59" s="37"/>
      <c r="C59" s="37"/>
      <c r="D59" s="37"/>
      <c r="E59" s="37"/>
      <c r="F59" s="37"/>
      <c r="G59" s="37"/>
      <c r="H59" s="37"/>
      <c r="I59" s="37"/>
      <c r="J59" s="52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>
      <c r="A60" s="37"/>
      <c r="B60" s="37"/>
      <c r="C60" s="37"/>
      <c r="D60" s="37"/>
      <c r="E60" s="37"/>
      <c r="F60" s="37"/>
      <c r="G60" s="37"/>
      <c r="H60" s="37"/>
      <c r="I60" s="37"/>
      <c r="J60" s="52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>
      <c r="A61" s="37"/>
      <c r="B61" s="37"/>
      <c r="C61" s="37"/>
      <c r="D61" s="37"/>
      <c r="E61" s="37"/>
      <c r="F61" s="37"/>
      <c r="G61" s="37"/>
      <c r="H61" s="37"/>
      <c r="I61" s="37"/>
      <c r="J61" s="52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>
      <c r="A62" s="37"/>
      <c r="B62" s="37"/>
      <c r="C62" s="37"/>
      <c r="D62" s="37"/>
      <c r="E62" s="37"/>
      <c r="F62" s="37"/>
      <c r="G62" s="37"/>
      <c r="H62" s="37"/>
      <c r="I62" s="37"/>
      <c r="J62" s="52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>
      <c r="A63" s="37"/>
      <c r="B63" s="37"/>
      <c r="C63" s="37"/>
      <c r="D63" s="37"/>
      <c r="E63" s="37"/>
      <c r="F63" s="37"/>
      <c r="G63" s="37"/>
      <c r="H63" s="37"/>
      <c r="I63" s="37"/>
      <c r="J63" s="52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>
      <c r="A64" s="37"/>
      <c r="B64" s="37"/>
      <c r="C64" s="37"/>
      <c r="D64" s="37"/>
      <c r="E64" s="37"/>
      <c r="F64" s="37"/>
      <c r="G64" s="37"/>
      <c r="H64" s="37"/>
      <c r="I64" s="37"/>
      <c r="J64" s="52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>
      <c r="A65" s="37"/>
      <c r="B65" s="37"/>
      <c r="C65" s="37"/>
      <c r="D65" s="37"/>
      <c r="E65" s="37"/>
      <c r="F65" s="37"/>
      <c r="G65" s="37"/>
      <c r="H65" s="37"/>
      <c r="I65" s="37"/>
      <c r="J65" s="52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>
      <c r="A66" s="37"/>
      <c r="B66" s="37"/>
      <c r="C66" s="37"/>
      <c r="D66" s="37"/>
      <c r="E66" s="37"/>
      <c r="F66" s="37"/>
      <c r="G66" s="37"/>
      <c r="H66" s="37"/>
      <c r="I66" s="37"/>
      <c r="J66" s="52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>
      <c r="A67" s="37"/>
      <c r="B67" s="37"/>
      <c r="C67" s="37"/>
      <c r="D67" s="37"/>
      <c r="E67" s="37"/>
      <c r="F67" s="37"/>
      <c r="G67" s="37"/>
      <c r="H67" s="37"/>
      <c r="I67" s="37"/>
      <c r="J67" s="52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>
      <c r="A68" s="37"/>
      <c r="B68" s="37"/>
      <c r="C68" s="37"/>
      <c r="D68" s="37"/>
      <c r="E68" s="37"/>
      <c r="F68" s="37"/>
      <c r="G68" s="37"/>
      <c r="H68" s="37"/>
      <c r="I68" s="37"/>
      <c r="J68" s="52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>
      <c r="A69" s="37"/>
      <c r="B69" s="37"/>
      <c r="C69" s="37"/>
      <c r="D69" s="37"/>
      <c r="E69" s="37"/>
      <c r="F69" s="37"/>
      <c r="G69" s="37"/>
      <c r="H69" s="37"/>
      <c r="I69" s="37"/>
      <c r="J69" s="52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>
      <c r="A70" s="37"/>
      <c r="B70" s="37"/>
      <c r="C70" s="37"/>
      <c r="D70" s="37"/>
      <c r="E70" s="37"/>
      <c r="F70" s="37"/>
      <c r="G70" s="37"/>
      <c r="H70" s="37"/>
      <c r="I70" s="37"/>
      <c r="J70" s="52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>
      <c r="A71" s="37"/>
      <c r="B71" s="37"/>
      <c r="C71" s="37"/>
      <c r="D71" s="37"/>
      <c r="E71" s="37"/>
      <c r="F71" s="37"/>
      <c r="G71" s="37"/>
      <c r="H71" s="37"/>
      <c r="I71" s="37"/>
      <c r="J71" s="52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>
      <c r="A72" s="37"/>
      <c r="B72" s="37"/>
      <c r="C72" s="37"/>
      <c r="D72" s="37"/>
      <c r="E72" s="37"/>
      <c r="F72" s="37"/>
      <c r="G72" s="37"/>
      <c r="H72" s="37"/>
      <c r="I72" s="37"/>
      <c r="J72" s="52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>
      <c r="A73" s="37"/>
      <c r="B73" s="37"/>
      <c r="C73" s="37"/>
      <c r="D73" s="37"/>
      <c r="E73" s="37"/>
      <c r="F73" s="37"/>
      <c r="G73" s="37"/>
      <c r="H73" s="37"/>
      <c r="I73" s="37"/>
      <c r="J73" s="52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>
      <c r="A74" s="37"/>
      <c r="B74" s="37"/>
      <c r="C74" s="37"/>
      <c r="D74" s="37"/>
      <c r="E74" s="37"/>
      <c r="F74" s="37"/>
      <c r="G74" s="37"/>
      <c r="H74" s="37"/>
      <c r="I74" s="37"/>
      <c r="J74" s="52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>
      <c r="A75" s="37"/>
      <c r="B75" s="37"/>
      <c r="C75" s="37"/>
      <c r="D75" s="37"/>
      <c r="E75" s="37"/>
      <c r="F75" s="37"/>
      <c r="G75" s="37"/>
      <c r="H75" s="37"/>
      <c r="I75" s="37"/>
      <c r="J75" s="52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>
      <c r="A76" s="37"/>
      <c r="B76" s="37"/>
      <c r="C76" s="37"/>
      <c r="D76" s="37"/>
      <c r="E76" s="37"/>
      <c r="F76" s="37"/>
      <c r="G76" s="37"/>
      <c r="H76" s="37"/>
      <c r="I76" s="37"/>
      <c r="J76" s="52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>
      <c r="A77" s="37"/>
      <c r="B77" s="37"/>
      <c r="C77" s="37"/>
      <c r="D77" s="37"/>
      <c r="E77" s="37"/>
      <c r="F77" s="37"/>
      <c r="G77" s="37"/>
      <c r="H77" s="37"/>
      <c r="I77" s="37"/>
      <c r="J77" s="52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>
      <c r="A78" s="37"/>
      <c r="B78" s="37"/>
      <c r="C78" s="37"/>
      <c r="D78" s="37"/>
      <c r="E78" s="37"/>
      <c r="F78" s="37"/>
      <c r="G78" s="37"/>
      <c r="H78" s="37"/>
      <c r="I78" s="37"/>
      <c r="J78" s="52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>
      <c r="A79" s="37"/>
      <c r="B79" s="37"/>
      <c r="C79" s="37"/>
      <c r="D79" s="37"/>
      <c r="E79" s="37"/>
      <c r="F79" s="37"/>
      <c r="G79" s="37"/>
      <c r="H79" s="37"/>
      <c r="I79" s="37"/>
      <c r="J79" s="52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>
      <c r="A80" s="37"/>
      <c r="B80" s="37"/>
      <c r="C80" s="37"/>
      <c r="D80" s="37"/>
      <c r="E80" s="37"/>
      <c r="F80" s="37"/>
      <c r="G80" s="37"/>
      <c r="H80" s="37"/>
      <c r="I80" s="37"/>
      <c r="J80" s="52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>
      <c r="A81" s="37"/>
      <c r="B81" s="37"/>
      <c r="C81" s="37"/>
      <c r="D81" s="37"/>
      <c r="E81" s="37"/>
      <c r="F81" s="37"/>
      <c r="G81" s="37"/>
      <c r="H81" s="37"/>
      <c r="I81" s="37"/>
      <c r="J81" s="52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>
      <c r="A82" s="37"/>
      <c r="B82" s="37"/>
      <c r="C82" s="37"/>
      <c r="D82" s="37"/>
      <c r="E82" s="37"/>
      <c r="F82" s="37"/>
      <c r="G82" s="37"/>
      <c r="H82" s="37"/>
      <c r="I82" s="37"/>
      <c r="J82" s="52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>
      <c r="A83" s="37"/>
      <c r="B83" s="37"/>
      <c r="C83" s="37"/>
      <c r="D83" s="37"/>
      <c r="E83" s="37"/>
      <c r="F83" s="37"/>
      <c r="G83" s="37"/>
      <c r="H83" s="37"/>
      <c r="I83" s="37"/>
      <c r="J83" s="52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>
      <c r="A84" s="37"/>
      <c r="B84" s="37"/>
      <c r="C84" s="37"/>
      <c r="D84" s="37"/>
      <c r="E84" s="37"/>
      <c r="F84" s="37"/>
      <c r="G84" s="37"/>
      <c r="H84" s="37"/>
      <c r="I84" s="37"/>
      <c r="J84" s="52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>
      <c r="A85" s="37"/>
      <c r="B85" s="37"/>
      <c r="C85" s="37"/>
      <c r="D85" s="37"/>
      <c r="E85" s="37"/>
      <c r="F85" s="37"/>
      <c r="G85" s="37"/>
      <c r="H85" s="37"/>
      <c r="I85" s="37"/>
      <c r="J85" s="52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>
      <c r="A86" s="37"/>
      <c r="B86" s="37"/>
      <c r="C86" s="37"/>
      <c r="D86" s="37"/>
      <c r="E86" s="37"/>
      <c r="F86" s="37"/>
      <c r="G86" s="37"/>
      <c r="H86" s="37"/>
      <c r="I86" s="37"/>
      <c r="J86" s="52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>
      <c r="A87" s="37"/>
      <c r="B87" s="37"/>
      <c r="C87" s="37"/>
      <c r="D87" s="37"/>
      <c r="E87" s="37"/>
      <c r="F87" s="37"/>
      <c r="G87" s="37"/>
      <c r="H87" s="37"/>
      <c r="I87" s="37"/>
      <c r="J87" s="52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>
      <c r="A88" s="37"/>
      <c r="B88" s="37"/>
      <c r="C88" s="37"/>
      <c r="D88" s="37"/>
      <c r="E88" s="37"/>
      <c r="F88" s="37"/>
      <c r="G88" s="37"/>
      <c r="H88" s="37"/>
      <c r="I88" s="37"/>
      <c r="J88" s="52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>
      <c r="A89" s="37"/>
      <c r="B89" s="37"/>
      <c r="C89" s="37"/>
      <c r="D89" s="37"/>
      <c r="E89" s="37"/>
      <c r="F89" s="37"/>
      <c r="G89" s="37"/>
      <c r="H89" s="37"/>
      <c r="I89" s="37"/>
      <c r="J89" s="52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>
      <c r="A90" s="37"/>
      <c r="B90" s="37"/>
      <c r="C90" s="37"/>
      <c r="D90" s="37"/>
      <c r="E90" s="37"/>
      <c r="F90" s="37"/>
      <c r="G90" s="37"/>
      <c r="H90" s="37"/>
      <c r="I90" s="37"/>
      <c r="J90" s="52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>
      <c r="A91" s="37"/>
      <c r="B91" s="37"/>
      <c r="C91" s="37"/>
      <c r="D91" s="37"/>
      <c r="E91" s="37"/>
      <c r="F91" s="37"/>
      <c r="G91" s="37"/>
      <c r="H91" s="37"/>
      <c r="I91" s="37"/>
      <c r="J91" s="52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>
      <c r="A92" s="37"/>
      <c r="B92" s="37"/>
      <c r="C92" s="37"/>
      <c r="D92" s="37"/>
      <c r="E92" s="37"/>
      <c r="F92" s="37"/>
      <c r="G92" s="37"/>
      <c r="H92" s="37"/>
      <c r="I92" s="37"/>
      <c r="J92" s="52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>
      <c r="A93" s="37"/>
      <c r="B93" s="37"/>
      <c r="C93" s="37"/>
      <c r="D93" s="37"/>
      <c r="E93" s="37"/>
      <c r="F93" s="37"/>
      <c r="G93" s="37"/>
      <c r="H93" s="37"/>
      <c r="I93" s="37"/>
      <c r="J93" s="52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>
      <c r="A94" s="37"/>
      <c r="B94" s="37"/>
      <c r="C94" s="37"/>
      <c r="D94" s="37"/>
      <c r="E94" s="37"/>
      <c r="F94" s="37"/>
      <c r="G94" s="37"/>
      <c r="H94" s="37"/>
      <c r="I94" s="37"/>
      <c r="J94" s="52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>
      <c r="A95" s="37"/>
      <c r="B95" s="37"/>
      <c r="C95" s="37"/>
      <c r="D95" s="37"/>
      <c r="E95" s="37"/>
      <c r="F95" s="37"/>
      <c r="G95" s="37"/>
      <c r="H95" s="37"/>
      <c r="I95" s="37"/>
      <c r="J95" s="52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>
      <c r="A96" s="37"/>
      <c r="B96" s="37"/>
      <c r="C96" s="37"/>
      <c r="D96" s="37"/>
      <c r="E96" s="37"/>
      <c r="F96" s="37"/>
      <c r="G96" s="37"/>
      <c r="H96" s="37"/>
      <c r="I96" s="37"/>
      <c r="J96" s="52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>
      <c r="A97" s="37"/>
      <c r="B97" s="37"/>
      <c r="C97" s="37"/>
      <c r="D97" s="37"/>
      <c r="E97" s="37"/>
      <c r="F97" s="37"/>
      <c r="G97" s="37"/>
      <c r="H97" s="37"/>
      <c r="I97" s="37"/>
      <c r="J97" s="52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>
      <c r="A98" s="37"/>
      <c r="B98" s="37"/>
      <c r="C98" s="37"/>
      <c r="D98" s="37"/>
      <c r="E98" s="37"/>
      <c r="F98" s="37"/>
      <c r="G98" s="37"/>
      <c r="H98" s="37"/>
      <c r="I98" s="37"/>
      <c r="J98" s="52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>
      <c r="A99" s="37"/>
      <c r="B99" s="37"/>
      <c r="C99" s="37"/>
      <c r="D99" s="37"/>
      <c r="E99" s="37"/>
      <c r="F99" s="37"/>
      <c r="G99" s="37"/>
      <c r="H99" s="37"/>
      <c r="I99" s="37"/>
      <c r="J99" s="52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>
      <c r="A100" s="37"/>
      <c r="B100" s="37"/>
      <c r="C100" s="37"/>
      <c r="D100" s="37"/>
      <c r="E100" s="37"/>
      <c r="F100" s="37"/>
      <c r="G100" s="37"/>
      <c r="H100" s="37"/>
      <c r="I100" s="37"/>
      <c r="J100" s="52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>
      <c r="A101" s="37"/>
      <c r="B101" s="37"/>
      <c r="C101" s="37"/>
      <c r="D101" s="37"/>
      <c r="E101" s="37"/>
      <c r="F101" s="37"/>
      <c r="G101" s="37"/>
      <c r="H101" s="37"/>
      <c r="I101" s="37"/>
      <c r="J101" s="52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>
      <c r="A102" s="37"/>
      <c r="B102" s="37"/>
      <c r="C102" s="37"/>
      <c r="D102" s="37"/>
      <c r="E102" s="37"/>
      <c r="F102" s="37"/>
      <c r="G102" s="37"/>
      <c r="H102" s="37"/>
      <c r="I102" s="37"/>
      <c r="J102" s="52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>
      <c r="A103" s="37"/>
      <c r="B103" s="37"/>
      <c r="C103" s="37"/>
      <c r="D103" s="37"/>
      <c r="E103" s="37"/>
      <c r="F103" s="37"/>
      <c r="G103" s="37"/>
      <c r="H103" s="37"/>
      <c r="I103" s="37"/>
      <c r="J103" s="52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>
      <c r="A104" s="37"/>
      <c r="B104" s="37"/>
      <c r="C104" s="37"/>
      <c r="D104" s="37"/>
      <c r="E104" s="37"/>
      <c r="F104" s="37"/>
      <c r="G104" s="37"/>
      <c r="H104" s="37"/>
      <c r="I104" s="37"/>
      <c r="J104" s="52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>
      <c r="A105" s="37"/>
      <c r="B105" s="37"/>
      <c r="C105" s="37"/>
      <c r="D105" s="37"/>
      <c r="E105" s="37"/>
      <c r="F105" s="37"/>
      <c r="G105" s="37"/>
      <c r="H105" s="37"/>
      <c r="I105" s="37"/>
      <c r="J105" s="52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>
      <c r="A106" s="37"/>
      <c r="B106" s="37"/>
      <c r="C106" s="37"/>
      <c r="D106" s="37"/>
      <c r="E106" s="37"/>
      <c r="F106" s="37"/>
      <c r="G106" s="37"/>
      <c r="H106" s="37"/>
      <c r="I106" s="37"/>
      <c r="J106" s="52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>
      <c r="A107" s="37"/>
      <c r="B107" s="37"/>
      <c r="C107" s="37"/>
      <c r="D107" s="37"/>
      <c r="E107" s="37"/>
      <c r="F107" s="37"/>
      <c r="G107" s="37"/>
      <c r="H107" s="37"/>
      <c r="I107" s="37"/>
      <c r="J107" s="52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>
      <c r="A108" s="37"/>
      <c r="B108" s="37"/>
      <c r="C108" s="37"/>
      <c r="D108" s="37"/>
      <c r="E108" s="37"/>
      <c r="F108" s="37"/>
      <c r="G108" s="37"/>
      <c r="H108" s="37"/>
      <c r="I108" s="37"/>
      <c r="J108" s="52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>
      <c r="A109" s="37"/>
      <c r="B109" s="37"/>
      <c r="C109" s="37"/>
      <c r="D109" s="37"/>
      <c r="E109" s="37"/>
      <c r="F109" s="37"/>
      <c r="G109" s="37"/>
      <c r="H109" s="37"/>
      <c r="I109" s="37"/>
      <c r="J109" s="52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>
      <c r="A110" s="37"/>
      <c r="B110" s="37"/>
      <c r="C110" s="37"/>
      <c r="D110" s="37"/>
      <c r="E110" s="37"/>
      <c r="F110" s="37"/>
      <c r="G110" s="37"/>
      <c r="H110" s="37"/>
      <c r="I110" s="37"/>
      <c r="J110" s="52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>
      <c r="A111" s="37"/>
      <c r="B111" s="37"/>
      <c r="C111" s="37"/>
      <c r="D111" s="37"/>
      <c r="E111" s="37"/>
      <c r="F111" s="37"/>
      <c r="G111" s="37"/>
      <c r="H111" s="37"/>
      <c r="I111" s="37"/>
      <c r="J111" s="52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>
      <c r="A112" s="37"/>
      <c r="B112" s="37"/>
      <c r="C112" s="37"/>
      <c r="D112" s="37"/>
      <c r="E112" s="37"/>
      <c r="F112" s="37"/>
      <c r="G112" s="37"/>
      <c r="H112" s="37"/>
      <c r="I112" s="37"/>
      <c r="J112" s="52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>
      <c r="A113" s="37"/>
      <c r="B113" s="37"/>
      <c r="C113" s="37"/>
      <c r="D113" s="37"/>
      <c r="E113" s="37"/>
      <c r="F113" s="37"/>
      <c r="G113" s="37"/>
      <c r="H113" s="37"/>
      <c r="I113" s="37"/>
      <c r="J113" s="52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>
      <c r="A114" s="37"/>
      <c r="B114" s="37"/>
      <c r="C114" s="37"/>
      <c r="D114" s="37"/>
      <c r="E114" s="37"/>
      <c r="F114" s="37"/>
      <c r="G114" s="37"/>
      <c r="H114" s="37"/>
      <c r="I114" s="37"/>
      <c r="J114" s="52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>
      <c r="A115" s="37"/>
      <c r="B115" s="37"/>
      <c r="C115" s="37"/>
      <c r="D115" s="37"/>
      <c r="E115" s="37"/>
      <c r="F115" s="37"/>
      <c r="G115" s="37"/>
      <c r="H115" s="37"/>
      <c r="I115" s="37"/>
      <c r="J115" s="52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>
      <c r="A116" s="37"/>
      <c r="B116" s="37"/>
      <c r="C116" s="37"/>
      <c r="D116" s="37"/>
      <c r="E116" s="37"/>
      <c r="F116" s="37"/>
      <c r="G116" s="37"/>
      <c r="H116" s="37"/>
      <c r="I116" s="37"/>
      <c r="J116" s="52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>
      <c r="A117" s="37"/>
      <c r="B117" s="37"/>
      <c r="C117" s="37"/>
      <c r="D117" s="37"/>
      <c r="E117" s="37"/>
      <c r="F117" s="37"/>
      <c r="G117" s="37"/>
      <c r="H117" s="37"/>
      <c r="I117" s="37"/>
      <c r="J117" s="52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>
      <c r="A118" s="37"/>
      <c r="B118" s="37"/>
      <c r="C118" s="37"/>
      <c r="D118" s="37"/>
      <c r="E118" s="37"/>
      <c r="F118" s="37"/>
      <c r="G118" s="37"/>
      <c r="H118" s="37"/>
      <c r="I118" s="37"/>
      <c r="J118" s="52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>
      <c r="A119" s="37"/>
      <c r="B119" s="37"/>
      <c r="C119" s="37"/>
      <c r="D119" s="37"/>
      <c r="E119" s="37"/>
      <c r="F119" s="37"/>
      <c r="G119" s="37"/>
      <c r="H119" s="37"/>
      <c r="I119" s="37"/>
      <c r="J119" s="52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>
      <c r="A120" s="37"/>
      <c r="B120" s="37"/>
      <c r="C120" s="37"/>
      <c r="D120" s="37"/>
      <c r="E120" s="37"/>
      <c r="F120" s="37"/>
      <c r="G120" s="37"/>
      <c r="H120" s="37"/>
      <c r="I120" s="37"/>
      <c r="J120" s="52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>
      <c r="A121" s="37"/>
      <c r="B121" s="37"/>
      <c r="C121" s="37"/>
      <c r="D121" s="37"/>
      <c r="E121" s="37"/>
      <c r="F121" s="37"/>
      <c r="G121" s="37"/>
      <c r="H121" s="37"/>
      <c r="I121" s="37"/>
      <c r="J121" s="52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>
      <c r="A122" s="37"/>
      <c r="B122" s="37"/>
      <c r="C122" s="37"/>
      <c r="D122" s="37"/>
      <c r="E122" s="37"/>
      <c r="F122" s="37"/>
      <c r="G122" s="37"/>
      <c r="H122" s="37"/>
      <c r="I122" s="37"/>
      <c r="J122" s="52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>
      <c r="A123" s="37"/>
      <c r="B123" s="37"/>
      <c r="C123" s="37"/>
      <c r="D123" s="37"/>
      <c r="E123" s="37"/>
      <c r="F123" s="37"/>
      <c r="G123" s="37"/>
      <c r="H123" s="37"/>
      <c r="I123" s="37"/>
      <c r="J123" s="52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>
      <c r="A124" s="37"/>
      <c r="B124" s="37"/>
      <c r="C124" s="37"/>
      <c r="D124" s="37"/>
      <c r="E124" s="37"/>
      <c r="F124" s="37"/>
      <c r="G124" s="37"/>
      <c r="H124" s="37"/>
      <c r="I124" s="37"/>
      <c r="J124" s="52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>
      <c r="A125" s="37"/>
      <c r="B125" s="37"/>
      <c r="C125" s="37"/>
      <c r="D125" s="37"/>
      <c r="E125" s="37"/>
      <c r="F125" s="37"/>
      <c r="G125" s="37"/>
      <c r="H125" s="37"/>
      <c r="I125" s="37"/>
      <c r="J125" s="52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>
      <c r="A126" s="37"/>
      <c r="B126" s="37"/>
      <c r="C126" s="37"/>
      <c r="D126" s="37"/>
      <c r="E126" s="37"/>
      <c r="F126" s="37"/>
      <c r="G126" s="37"/>
      <c r="H126" s="37"/>
      <c r="I126" s="37"/>
      <c r="J126" s="52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>
      <c r="A127" s="37"/>
      <c r="B127" s="37"/>
      <c r="C127" s="37"/>
      <c r="D127" s="37"/>
      <c r="E127" s="37"/>
      <c r="F127" s="37"/>
      <c r="G127" s="37"/>
      <c r="H127" s="37"/>
      <c r="I127" s="37"/>
      <c r="J127" s="52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>
      <c r="A128" s="37"/>
      <c r="B128" s="37"/>
      <c r="C128" s="37"/>
      <c r="D128" s="37"/>
      <c r="E128" s="37"/>
      <c r="F128" s="37"/>
      <c r="G128" s="37"/>
      <c r="H128" s="37"/>
      <c r="I128" s="37"/>
      <c r="J128" s="52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>
      <c r="A129" s="37"/>
      <c r="B129" s="37"/>
      <c r="C129" s="37"/>
      <c r="D129" s="37"/>
      <c r="E129" s="37"/>
      <c r="F129" s="37"/>
      <c r="G129" s="37"/>
      <c r="H129" s="37"/>
      <c r="I129" s="37"/>
      <c r="J129" s="52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>
      <c r="A130" s="37"/>
      <c r="B130" s="37"/>
      <c r="C130" s="37"/>
      <c r="D130" s="37"/>
      <c r="E130" s="37"/>
      <c r="F130" s="37"/>
      <c r="G130" s="37"/>
      <c r="H130" s="37"/>
      <c r="I130" s="37"/>
      <c r="J130" s="52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>
      <c r="A131" s="37"/>
      <c r="B131" s="37"/>
      <c r="C131" s="37"/>
      <c r="D131" s="37"/>
      <c r="E131" s="37"/>
      <c r="F131" s="37"/>
      <c r="G131" s="37"/>
      <c r="H131" s="37"/>
      <c r="I131" s="37"/>
      <c r="J131" s="52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>
      <c r="A132" s="37"/>
      <c r="B132" s="37"/>
      <c r="C132" s="37"/>
      <c r="D132" s="37"/>
      <c r="E132" s="37"/>
      <c r="F132" s="37"/>
      <c r="G132" s="37"/>
      <c r="H132" s="37"/>
      <c r="I132" s="37"/>
      <c r="J132" s="52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>
      <c r="A133" s="37"/>
      <c r="B133" s="37"/>
      <c r="C133" s="37"/>
      <c r="D133" s="37"/>
      <c r="E133" s="37"/>
      <c r="F133" s="37"/>
      <c r="G133" s="37"/>
      <c r="H133" s="37"/>
      <c r="I133" s="37"/>
      <c r="J133" s="52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>
      <c r="A134" s="37"/>
      <c r="B134" s="37"/>
      <c r="C134" s="37"/>
      <c r="D134" s="37"/>
      <c r="E134" s="37"/>
      <c r="F134" s="37"/>
      <c r="G134" s="37"/>
      <c r="H134" s="37"/>
      <c r="I134" s="37"/>
      <c r="J134" s="52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>
      <c r="A135" s="37"/>
      <c r="B135" s="37"/>
      <c r="C135" s="37"/>
      <c r="D135" s="37"/>
      <c r="E135" s="37"/>
      <c r="F135" s="37"/>
      <c r="G135" s="37"/>
      <c r="H135" s="37"/>
      <c r="I135" s="37"/>
      <c r="J135" s="52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>
      <c r="A136" s="37"/>
      <c r="B136" s="37"/>
      <c r="C136" s="37"/>
      <c r="D136" s="37"/>
      <c r="E136" s="37"/>
      <c r="F136" s="37"/>
      <c r="G136" s="37"/>
      <c r="H136" s="37"/>
      <c r="I136" s="37"/>
      <c r="J136" s="52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>
      <c r="A137" s="37"/>
      <c r="B137" s="37"/>
      <c r="C137" s="37"/>
      <c r="D137" s="37"/>
      <c r="E137" s="37"/>
      <c r="F137" s="37"/>
      <c r="G137" s="37"/>
      <c r="H137" s="37"/>
      <c r="I137" s="37"/>
      <c r="J137" s="52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>
      <c r="A138" s="37"/>
      <c r="B138" s="37"/>
      <c r="C138" s="37"/>
      <c r="D138" s="37"/>
      <c r="E138" s="37"/>
      <c r="F138" s="37"/>
      <c r="G138" s="37"/>
      <c r="H138" s="37"/>
      <c r="I138" s="37"/>
      <c r="J138" s="52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>
      <c r="A139" s="37"/>
      <c r="B139" s="37"/>
      <c r="C139" s="37"/>
      <c r="D139" s="37"/>
      <c r="E139" s="37"/>
      <c r="F139" s="37"/>
      <c r="G139" s="37"/>
      <c r="H139" s="37"/>
      <c r="I139" s="37"/>
      <c r="J139" s="52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>
      <c r="A140" s="37"/>
      <c r="B140" s="37"/>
      <c r="C140" s="37"/>
      <c r="D140" s="37"/>
      <c r="E140" s="37"/>
      <c r="F140" s="37"/>
      <c r="G140" s="37"/>
      <c r="H140" s="37"/>
      <c r="I140" s="37"/>
      <c r="J140" s="52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>
      <c r="A141" s="37"/>
      <c r="B141" s="37"/>
      <c r="C141" s="37"/>
      <c r="D141" s="37"/>
      <c r="E141" s="37"/>
      <c r="F141" s="37"/>
      <c r="G141" s="37"/>
      <c r="H141" s="37"/>
      <c r="I141" s="37"/>
      <c r="J141" s="52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>
      <c r="A142" s="37"/>
      <c r="B142" s="37"/>
      <c r="C142" s="37"/>
      <c r="D142" s="37"/>
      <c r="E142" s="37"/>
      <c r="F142" s="37"/>
      <c r="G142" s="37"/>
      <c r="H142" s="37"/>
      <c r="I142" s="37"/>
      <c r="J142" s="52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>
      <c r="A143" s="37"/>
      <c r="B143" s="37"/>
      <c r="C143" s="37"/>
      <c r="D143" s="37"/>
      <c r="E143" s="37"/>
      <c r="F143" s="37"/>
      <c r="G143" s="37"/>
      <c r="H143" s="37"/>
      <c r="I143" s="37"/>
      <c r="J143" s="52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>
      <c r="A144" s="37"/>
      <c r="B144" s="37"/>
      <c r="C144" s="37"/>
      <c r="D144" s="37"/>
      <c r="E144" s="37"/>
      <c r="F144" s="37"/>
      <c r="G144" s="37"/>
      <c r="H144" s="37"/>
      <c r="I144" s="37"/>
      <c r="J144" s="52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>
      <c r="A145" s="37"/>
      <c r="B145" s="37"/>
      <c r="C145" s="37"/>
      <c r="D145" s="37"/>
      <c r="E145" s="37"/>
      <c r="F145" s="37"/>
      <c r="G145" s="37"/>
      <c r="H145" s="37"/>
      <c r="I145" s="37"/>
      <c r="J145" s="52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>
      <c r="A146" s="37"/>
      <c r="B146" s="37"/>
      <c r="C146" s="37"/>
      <c r="D146" s="37"/>
      <c r="E146" s="37"/>
      <c r="F146" s="37"/>
      <c r="G146" s="37"/>
      <c r="H146" s="37"/>
      <c r="I146" s="37"/>
      <c r="J146" s="52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>
      <c r="A147" s="37"/>
      <c r="B147" s="37"/>
      <c r="C147" s="37"/>
      <c r="D147" s="37"/>
      <c r="E147" s="37"/>
      <c r="F147" s="37"/>
      <c r="G147" s="37"/>
      <c r="H147" s="37"/>
      <c r="I147" s="37"/>
      <c r="J147" s="52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>
      <c r="A148" s="37"/>
      <c r="B148" s="37"/>
      <c r="C148" s="37"/>
      <c r="D148" s="37"/>
      <c r="E148" s="37"/>
      <c r="F148" s="37"/>
      <c r="G148" s="37"/>
      <c r="H148" s="37"/>
      <c r="I148" s="37"/>
      <c r="J148" s="52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>
      <c r="A149" s="37"/>
      <c r="B149" s="37"/>
      <c r="C149" s="37"/>
      <c r="D149" s="37"/>
      <c r="E149" s="37"/>
      <c r="F149" s="37"/>
      <c r="G149" s="37"/>
      <c r="H149" s="37"/>
      <c r="I149" s="37"/>
      <c r="J149" s="52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>
      <c r="A150" s="37"/>
      <c r="B150" s="37"/>
      <c r="C150" s="37"/>
      <c r="D150" s="37"/>
      <c r="E150" s="37"/>
      <c r="F150" s="37"/>
      <c r="G150" s="37"/>
      <c r="H150" s="37"/>
      <c r="I150" s="37"/>
      <c r="J150" s="52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>
      <c r="A151" s="37"/>
      <c r="B151" s="37"/>
      <c r="C151" s="37"/>
      <c r="D151" s="37"/>
      <c r="E151" s="37"/>
      <c r="F151" s="37"/>
      <c r="G151" s="37"/>
      <c r="H151" s="37"/>
      <c r="I151" s="37"/>
      <c r="J151" s="52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>
      <c r="A152" s="37"/>
      <c r="B152" s="37"/>
      <c r="C152" s="37"/>
      <c r="D152" s="37"/>
      <c r="E152" s="37"/>
      <c r="F152" s="37"/>
      <c r="G152" s="37"/>
      <c r="H152" s="37"/>
      <c r="I152" s="37"/>
      <c r="J152" s="52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>
      <c r="A153" s="37"/>
      <c r="B153" s="37"/>
      <c r="C153" s="37"/>
      <c r="D153" s="37"/>
      <c r="E153" s="37"/>
      <c r="F153" s="37"/>
      <c r="G153" s="37"/>
      <c r="H153" s="37"/>
      <c r="I153" s="37"/>
      <c r="J153" s="52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>
      <c r="A154" s="37"/>
      <c r="B154" s="37"/>
      <c r="C154" s="37"/>
      <c r="D154" s="37"/>
      <c r="E154" s="37"/>
      <c r="F154" s="37"/>
      <c r="G154" s="37"/>
      <c r="H154" s="37"/>
      <c r="I154" s="37"/>
      <c r="J154" s="52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>
      <c r="A155" s="37"/>
      <c r="B155" s="37"/>
      <c r="C155" s="37"/>
      <c r="D155" s="37"/>
      <c r="E155" s="37"/>
      <c r="F155" s="37"/>
      <c r="G155" s="37"/>
      <c r="H155" s="37"/>
      <c r="I155" s="37"/>
      <c r="J155" s="52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>
      <c r="A156" s="37"/>
      <c r="B156" s="37"/>
      <c r="C156" s="37"/>
      <c r="D156" s="37"/>
      <c r="E156" s="37"/>
      <c r="F156" s="37"/>
      <c r="G156" s="37"/>
      <c r="H156" s="37"/>
      <c r="I156" s="37"/>
      <c r="J156" s="52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>
      <c r="A157" s="37"/>
      <c r="B157" s="37"/>
      <c r="C157" s="37"/>
      <c r="D157" s="37"/>
      <c r="E157" s="37"/>
      <c r="F157" s="37"/>
      <c r="G157" s="37"/>
      <c r="H157" s="37"/>
      <c r="I157" s="37"/>
      <c r="J157" s="52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>
      <c r="A158" s="37"/>
      <c r="B158" s="37"/>
      <c r="C158" s="37"/>
      <c r="D158" s="37"/>
      <c r="E158" s="37"/>
      <c r="F158" s="37"/>
      <c r="G158" s="37"/>
      <c r="H158" s="37"/>
      <c r="I158" s="37"/>
      <c r="J158" s="52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>
      <c r="A159" s="37"/>
      <c r="B159" s="37"/>
      <c r="C159" s="37"/>
      <c r="D159" s="37"/>
      <c r="E159" s="37"/>
      <c r="F159" s="37"/>
      <c r="G159" s="37"/>
      <c r="H159" s="37"/>
      <c r="I159" s="37"/>
      <c r="J159" s="52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>
      <c r="A160" s="37"/>
      <c r="B160" s="37"/>
      <c r="C160" s="37"/>
      <c r="D160" s="37"/>
      <c r="E160" s="37"/>
      <c r="F160" s="37"/>
      <c r="G160" s="37"/>
      <c r="H160" s="37"/>
      <c r="I160" s="37"/>
      <c r="J160" s="52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>
      <c r="A161" s="37"/>
      <c r="B161" s="37"/>
      <c r="C161" s="37"/>
      <c r="D161" s="37"/>
      <c r="E161" s="37"/>
      <c r="F161" s="37"/>
      <c r="G161" s="37"/>
      <c r="H161" s="37"/>
      <c r="I161" s="37"/>
      <c r="J161" s="52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>
      <c r="A162" s="37"/>
      <c r="B162" s="37"/>
      <c r="C162" s="37"/>
      <c r="D162" s="37"/>
      <c r="E162" s="37"/>
      <c r="F162" s="37"/>
      <c r="G162" s="37"/>
      <c r="H162" s="37"/>
      <c r="I162" s="37"/>
      <c r="J162" s="52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>
      <c r="A163" s="37"/>
      <c r="B163" s="37"/>
      <c r="C163" s="37"/>
      <c r="D163" s="37"/>
      <c r="E163" s="37"/>
      <c r="F163" s="37"/>
      <c r="G163" s="37"/>
      <c r="H163" s="37"/>
      <c r="I163" s="37"/>
      <c r="J163" s="52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>
      <c r="A164" s="37"/>
      <c r="B164" s="37"/>
      <c r="C164" s="37"/>
      <c r="D164" s="37"/>
      <c r="E164" s="37"/>
      <c r="F164" s="37"/>
      <c r="G164" s="37"/>
      <c r="H164" s="37"/>
      <c r="I164" s="37"/>
      <c r="J164" s="52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>
      <c r="A165" s="37"/>
      <c r="B165" s="37"/>
      <c r="C165" s="37"/>
      <c r="D165" s="37"/>
      <c r="E165" s="37"/>
      <c r="F165" s="37"/>
      <c r="G165" s="37"/>
      <c r="H165" s="37"/>
      <c r="I165" s="37"/>
      <c r="J165" s="52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>
      <c r="A166" s="37"/>
      <c r="B166" s="37"/>
      <c r="C166" s="37"/>
      <c r="D166" s="37"/>
      <c r="E166" s="37"/>
      <c r="F166" s="37"/>
      <c r="G166" s="37"/>
      <c r="H166" s="37"/>
      <c r="I166" s="37"/>
      <c r="J166" s="52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>
      <c r="A167" s="37"/>
      <c r="B167" s="37"/>
      <c r="C167" s="37"/>
      <c r="D167" s="37"/>
      <c r="E167" s="37"/>
      <c r="F167" s="37"/>
      <c r="G167" s="37"/>
      <c r="H167" s="37"/>
      <c r="I167" s="37"/>
      <c r="J167" s="52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>
      <c r="A168" s="37"/>
      <c r="B168" s="37"/>
      <c r="C168" s="37"/>
      <c r="D168" s="37"/>
      <c r="E168" s="37"/>
      <c r="F168" s="37"/>
      <c r="G168" s="37"/>
      <c r="H168" s="37"/>
      <c r="I168" s="37"/>
      <c r="J168" s="52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>
      <c r="A169" s="37"/>
      <c r="B169" s="37"/>
      <c r="C169" s="37"/>
      <c r="D169" s="37"/>
      <c r="E169" s="37"/>
      <c r="F169" s="37"/>
      <c r="G169" s="37"/>
      <c r="H169" s="37"/>
      <c r="I169" s="37"/>
      <c r="J169" s="52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>
      <c r="A170" s="37"/>
      <c r="B170" s="37"/>
      <c r="C170" s="37"/>
      <c r="D170" s="37"/>
      <c r="E170" s="37"/>
      <c r="F170" s="37"/>
      <c r="G170" s="37"/>
      <c r="H170" s="37"/>
      <c r="I170" s="37"/>
      <c r="J170" s="52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>
      <c r="A171" s="37"/>
      <c r="B171" s="37"/>
      <c r="C171" s="37"/>
      <c r="D171" s="37"/>
      <c r="E171" s="37"/>
      <c r="F171" s="37"/>
      <c r="G171" s="37"/>
      <c r="H171" s="37"/>
      <c r="I171" s="37"/>
      <c r="J171" s="52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>
      <c r="A172" s="37"/>
      <c r="B172" s="37"/>
      <c r="C172" s="37"/>
      <c r="D172" s="37"/>
      <c r="E172" s="37"/>
      <c r="F172" s="37"/>
      <c r="G172" s="37"/>
      <c r="H172" s="37"/>
      <c r="I172" s="37"/>
      <c r="J172" s="52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>
      <c r="A173" s="37"/>
      <c r="B173" s="37"/>
      <c r="C173" s="37"/>
      <c r="D173" s="37"/>
      <c r="E173" s="37"/>
      <c r="F173" s="37"/>
      <c r="G173" s="37"/>
      <c r="H173" s="37"/>
      <c r="I173" s="37"/>
      <c r="J173" s="52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>
      <c r="A174" s="37"/>
      <c r="B174" s="37"/>
      <c r="C174" s="37"/>
      <c r="D174" s="37"/>
      <c r="E174" s="37"/>
      <c r="F174" s="37"/>
      <c r="G174" s="37"/>
      <c r="H174" s="37"/>
      <c r="I174" s="37"/>
      <c r="J174" s="52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>
      <c r="A175" s="37"/>
      <c r="B175" s="37"/>
      <c r="C175" s="37"/>
      <c r="D175" s="37"/>
      <c r="E175" s="37"/>
      <c r="F175" s="37"/>
      <c r="G175" s="37"/>
      <c r="H175" s="37"/>
      <c r="I175" s="37"/>
      <c r="J175" s="52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>
      <c r="A176" s="37"/>
      <c r="B176" s="37"/>
      <c r="C176" s="37"/>
      <c r="D176" s="37"/>
      <c r="E176" s="37"/>
      <c r="F176" s="37"/>
      <c r="G176" s="37"/>
      <c r="H176" s="37"/>
      <c r="I176" s="37"/>
      <c r="J176" s="52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>
      <c r="A177" s="37"/>
      <c r="B177" s="37"/>
      <c r="C177" s="37"/>
      <c r="D177" s="37"/>
      <c r="E177" s="37"/>
      <c r="F177" s="37"/>
      <c r="G177" s="37"/>
      <c r="H177" s="37"/>
      <c r="I177" s="37"/>
      <c r="J177" s="52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>
      <c r="A178" s="37"/>
      <c r="B178" s="37"/>
      <c r="C178" s="37"/>
      <c r="D178" s="37"/>
      <c r="E178" s="37"/>
      <c r="F178" s="37"/>
      <c r="G178" s="37"/>
      <c r="H178" s="37"/>
      <c r="I178" s="37"/>
      <c r="J178" s="52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>
      <c r="A179" s="37"/>
      <c r="B179" s="37"/>
      <c r="C179" s="37"/>
      <c r="D179" s="37"/>
      <c r="E179" s="37"/>
      <c r="F179" s="37"/>
      <c r="G179" s="37"/>
      <c r="H179" s="37"/>
      <c r="I179" s="37"/>
      <c r="J179" s="52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>
      <c r="A180" s="37"/>
      <c r="B180" s="37"/>
      <c r="C180" s="37"/>
      <c r="D180" s="37"/>
      <c r="E180" s="37"/>
      <c r="F180" s="37"/>
      <c r="G180" s="37"/>
      <c r="H180" s="37"/>
      <c r="I180" s="37"/>
      <c r="J180" s="52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>
      <c r="A181" s="37"/>
      <c r="B181" s="37"/>
      <c r="C181" s="37"/>
      <c r="D181" s="37"/>
      <c r="E181" s="37"/>
      <c r="F181" s="37"/>
      <c r="G181" s="37"/>
      <c r="H181" s="37"/>
      <c r="I181" s="37"/>
      <c r="J181" s="52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>
      <c r="A182" s="37"/>
      <c r="B182" s="37"/>
      <c r="C182" s="37"/>
      <c r="D182" s="37"/>
      <c r="E182" s="37"/>
      <c r="F182" s="37"/>
      <c r="G182" s="37"/>
      <c r="H182" s="37"/>
      <c r="I182" s="37"/>
      <c r="J182" s="52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>
      <c r="A183" s="37"/>
      <c r="B183" s="37"/>
      <c r="C183" s="37"/>
      <c r="D183" s="37"/>
      <c r="E183" s="37"/>
      <c r="F183" s="37"/>
      <c r="G183" s="37"/>
      <c r="H183" s="37"/>
      <c r="I183" s="37"/>
      <c r="J183" s="52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>
      <c r="A184" s="37"/>
      <c r="B184" s="37"/>
      <c r="C184" s="37"/>
      <c r="D184" s="37"/>
      <c r="E184" s="37"/>
      <c r="F184" s="37"/>
      <c r="G184" s="37"/>
      <c r="H184" s="37"/>
      <c r="I184" s="37"/>
      <c r="J184" s="52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>
      <c r="A185" s="37"/>
      <c r="B185" s="37"/>
      <c r="C185" s="37"/>
      <c r="D185" s="37"/>
      <c r="E185" s="37"/>
      <c r="F185" s="37"/>
      <c r="G185" s="37"/>
      <c r="H185" s="37"/>
      <c r="I185" s="37"/>
      <c r="J185" s="52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>
      <c r="A186" s="37"/>
      <c r="B186" s="37"/>
      <c r="C186" s="37"/>
      <c r="D186" s="37"/>
      <c r="E186" s="37"/>
      <c r="F186" s="37"/>
      <c r="G186" s="37"/>
      <c r="H186" s="37"/>
      <c r="I186" s="37"/>
      <c r="J186" s="52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>
      <c r="A187" s="37"/>
      <c r="B187" s="37"/>
      <c r="C187" s="37"/>
      <c r="D187" s="37"/>
      <c r="E187" s="37"/>
      <c r="F187" s="37"/>
      <c r="G187" s="37"/>
      <c r="H187" s="37"/>
      <c r="I187" s="37"/>
      <c r="J187" s="52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>
      <c r="A188" s="37"/>
      <c r="B188" s="37"/>
      <c r="C188" s="37"/>
      <c r="D188" s="37"/>
      <c r="E188" s="37"/>
      <c r="F188" s="37"/>
      <c r="G188" s="37"/>
      <c r="H188" s="37"/>
      <c r="I188" s="37"/>
      <c r="J188" s="52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>
      <c r="A189" s="37"/>
      <c r="B189" s="37"/>
      <c r="C189" s="37"/>
      <c r="D189" s="37"/>
      <c r="E189" s="37"/>
      <c r="F189" s="37"/>
      <c r="G189" s="37"/>
      <c r="H189" s="37"/>
      <c r="I189" s="37"/>
      <c r="J189" s="52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>
      <c r="A190" s="37"/>
      <c r="B190" s="37"/>
      <c r="C190" s="37"/>
      <c r="D190" s="37"/>
      <c r="E190" s="37"/>
      <c r="F190" s="37"/>
      <c r="G190" s="37"/>
      <c r="H190" s="37"/>
      <c r="I190" s="37"/>
      <c r="J190" s="52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>
      <c r="A191" s="37"/>
      <c r="B191" s="37"/>
      <c r="C191" s="37"/>
      <c r="D191" s="37"/>
      <c r="E191" s="37"/>
      <c r="F191" s="37"/>
      <c r="G191" s="37"/>
      <c r="H191" s="37"/>
      <c r="I191" s="37"/>
      <c r="J191" s="52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>
      <c r="A192" s="37"/>
      <c r="B192" s="37"/>
      <c r="C192" s="37"/>
      <c r="D192" s="37"/>
      <c r="E192" s="37"/>
      <c r="F192" s="37"/>
      <c r="G192" s="37"/>
      <c r="H192" s="37"/>
      <c r="I192" s="37"/>
      <c r="J192" s="52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>
      <c r="A193" s="37"/>
      <c r="B193" s="37"/>
      <c r="C193" s="37"/>
      <c r="D193" s="37"/>
      <c r="E193" s="37"/>
      <c r="F193" s="37"/>
      <c r="G193" s="37"/>
      <c r="H193" s="37"/>
      <c r="I193" s="37"/>
      <c r="J193" s="52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>
      <c r="A194" s="37"/>
      <c r="B194" s="37"/>
      <c r="C194" s="37"/>
      <c r="D194" s="37"/>
      <c r="E194" s="37"/>
      <c r="F194" s="37"/>
      <c r="G194" s="37"/>
      <c r="H194" s="37"/>
      <c r="I194" s="37"/>
      <c r="J194" s="52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>
      <c r="A195" s="37"/>
      <c r="B195" s="37"/>
      <c r="C195" s="37"/>
      <c r="D195" s="37"/>
      <c r="E195" s="37"/>
      <c r="F195" s="37"/>
      <c r="G195" s="37"/>
      <c r="H195" s="37"/>
      <c r="I195" s="37"/>
      <c r="J195" s="52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>
      <c r="A196" s="37"/>
      <c r="B196" s="37"/>
      <c r="C196" s="37"/>
      <c r="D196" s="37"/>
      <c r="E196" s="37"/>
      <c r="F196" s="37"/>
      <c r="G196" s="37"/>
      <c r="H196" s="37"/>
      <c r="I196" s="37"/>
      <c r="J196" s="52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>
      <c r="A197" s="37"/>
      <c r="B197" s="37"/>
      <c r="C197" s="37"/>
      <c r="D197" s="37"/>
      <c r="E197" s="37"/>
      <c r="F197" s="37"/>
      <c r="G197" s="37"/>
      <c r="H197" s="37"/>
      <c r="I197" s="37"/>
      <c r="J197" s="52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>
      <c r="A198" s="37"/>
      <c r="B198" s="37"/>
      <c r="C198" s="37"/>
      <c r="D198" s="37"/>
      <c r="E198" s="37"/>
      <c r="F198" s="37"/>
      <c r="G198" s="37"/>
      <c r="H198" s="37"/>
      <c r="I198" s="37"/>
      <c r="J198" s="52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>
      <c r="A199" s="37"/>
      <c r="B199" s="37"/>
      <c r="C199" s="37"/>
      <c r="D199" s="37"/>
      <c r="E199" s="37"/>
      <c r="F199" s="37"/>
      <c r="G199" s="37"/>
      <c r="H199" s="37"/>
      <c r="I199" s="37"/>
      <c r="J199" s="52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>
      <c r="A200" s="37"/>
      <c r="B200" s="37"/>
      <c r="C200" s="37"/>
      <c r="D200" s="37"/>
      <c r="E200" s="37"/>
      <c r="F200" s="37"/>
      <c r="G200" s="37"/>
      <c r="H200" s="37"/>
      <c r="I200" s="37"/>
      <c r="J200" s="52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>
      <c r="A201" s="37"/>
      <c r="B201" s="37"/>
      <c r="C201" s="37"/>
      <c r="D201" s="37"/>
      <c r="E201" s="37"/>
      <c r="F201" s="37"/>
      <c r="G201" s="37"/>
      <c r="H201" s="37"/>
      <c r="I201" s="37"/>
      <c r="J201" s="52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>
      <c r="A202" s="37"/>
      <c r="B202" s="37"/>
      <c r="C202" s="37"/>
      <c r="D202" s="37"/>
      <c r="E202" s="37"/>
      <c r="F202" s="37"/>
      <c r="G202" s="37"/>
      <c r="H202" s="37"/>
      <c r="I202" s="37"/>
      <c r="J202" s="52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>
      <c r="A203" s="37"/>
      <c r="B203" s="37"/>
      <c r="C203" s="37"/>
      <c r="D203" s="37"/>
      <c r="E203" s="37"/>
      <c r="F203" s="37"/>
      <c r="G203" s="37"/>
      <c r="H203" s="37"/>
      <c r="I203" s="37"/>
      <c r="J203" s="52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>
      <c r="A204" s="37"/>
      <c r="B204" s="37"/>
      <c r="C204" s="37"/>
      <c r="D204" s="37"/>
      <c r="E204" s="37"/>
      <c r="F204" s="37"/>
      <c r="G204" s="37"/>
      <c r="H204" s="37"/>
      <c r="I204" s="37"/>
      <c r="J204" s="52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>
      <c r="A205" s="37"/>
      <c r="B205" s="37"/>
      <c r="C205" s="37"/>
      <c r="D205" s="37"/>
      <c r="E205" s="37"/>
      <c r="F205" s="37"/>
      <c r="G205" s="37"/>
      <c r="H205" s="37"/>
      <c r="I205" s="37"/>
      <c r="J205" s="52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>
      <c r="A206" s="37"/>
      <c r="B206" s="37"/>
      <c r="C206" s="37"/>
      <c r="D206" s="37"/>
      <c r="E206" s="37"/>
      <c r="F206" s="37"/>
      <c r="G206" s="37"/>
      <c r="H206" s="37"/>
      <c r="I206" s="37"/>
      <c r="J206" s="52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>
      <c r="A207" s="37"/>
      <c r="B207" s="37"/>
      <c r="C207" s="37"/>
      <c r="D207" s="37"/>
      <c r="E207" s="37"/>
      <c r="F207" s="37"/>
      <c r="G207" s="37"/>
      <c r="H207" s="37"/>
      <c r="I207" s="37"/>
      <c r="J207" s="52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>
      <c r="A208" s="37"/>
      <c r="B208" s="37"/>
      <c r="C208" s="37"/>
      <c r="D208" s="37"/>
      <c r="E208" s="37"/>
      <c r="F208" s="37"/>
      <c r="G208" s="37"/>
      <c r="H208" s="37"/>
      <c r="I208" s="37"/>
      <c r="J208" s="52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>
      <c r="A209" s="37"/>
      <c r="B209" s="37"/>
      <c r="C209" s="37"/>
      <c r="D209" s="37"/>
      <c r="E209" s="37"/>
      <c r="F209" s="37"/>
      <c r="G209" s="37"/>
      <c r="H209" s="37"/>
      <c r="I209" s="37"/>
      <c r="J209" s="52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>
      <c r="A210" s="37"/>
      <c r="B210" s="37"/>
      <c r="C210" s="37"/>
      <c r="D210" s="37"/>
      <c r="E210" s="37"/>
      <c r="F210" s="37"/>
      <c r="G210" s="37"/>
      <c r="H210" s="37"/>
      <c r="I210" s="37"/>
      <c r="J210" s="52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>
      <c r="A211" s="37"/>
      <c r="B211" s="37"/>
      <c r="C211" s="37"/>
      <c r="D211" s="37"/>
      <c r="E211" s="37"/>
      <c r="F211" s="37"/>
      <c r="G211" s="37"/>
      <c r="H211" s="37"/>
      <c r="I211" s="37"/>
      <c r="J211" s="52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>
      <c r="A212" s="37"/>
      <c r="B212" s="37"/>
      <c r="C212" s="37"/>
      <c r="D212" s="37"/>
      <c r="E212" s="37"/>
      <c r="F212" s="37"/>
      <c r="G212" s="37"/>
      <c r="H212" s="37"/>
      <c r="I212" s="37"/>
      <c r="J212" s="52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>
      <c r="A213" s="37"/>
      <c r="B213" s="37"/>
      <c r="C213" s="37"/>
      <c r="D213" s="37"/>
      <c r="E213" s="37"/>
      <c r="F213" s="37"/>
      <c r="G213" s="37"/>
      <c r="H213" s="37"/>
      <c r="I213" s="37"/>
      <c r="J213" s="52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>
      <c r="A214" s="37"/>
      <c r="B214" s="37"/>
      <c r="C214" s="37"/>
      <c r="D214" s="37"/>
      <c r="E214" s="37"/>
      <c r="F214" s="37"/>
      <c r="G214" s="37"/>
      <c r="H214" s="37"/>
      <c r="I214" s="37"/>
      <c r="J214" s="52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>
      <c r="A215" s="37"/>
      <c r="B215" s="37"/>
      <c r="C215" s="37"/>
      <c r="D215" s="37"/>
      <c r="E215" s="37"/>
      <c r="F215" s="37"/>
      <c r="G215" s="37"/>
      <c r="H215" s="37"/>
      <c r="I215" s="37"/>
      <c r="J215" s="52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>
      <c r="A216" s="37"/>
      <c r="B216" s="37"/>
      <c r="C216" s="37"/>
      <c r="D216" s="37"/>
      <c r="E216" s="37"/>
      <c r="F216" s="37"/>
      <c r="G216" s="37"/>
      <c r="H216" s="37"/>
      <c r="I216" s="37"/>
      <c r="J216" s="52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>
      <c r="A217" s="37"/>
      <c r="B217" s="37"/>
      <c r="C217" s="37"/>
      <c r="D217" s="37"/>
      <c r="E217" s="37"/>
      <c r="F217" s="37"/>
      <c r="G217" s="37"/>
      <c r="H217" s="37"/>
      <c r="I217" s="37"/>
      <c r="J217" s="52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>
      <c r="A218" s="37"/>
      <c r="B218" s="37"/>
      <c r="C218" s="37"/>
      <c r="D218" s="37"/>
      <c r="E218" s="37"/>
      <c r="F218" s="37"/>
      <c r="G218" s="37"/>
      <c r="H218" s="37"/>
      <c r="I218" s="37"/>
      <c r="J218" s="52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>
      <c r="A219" s="37"/>
      <c r="B219" s="37"/>
      <c r="C219" s="37"/>
      <c r="D219" s="37"/>
      <c r="E219" s="37"/>
      <c r="F219" s="37"/>
      <c r="G219" s="37"/>
      <c r="H219" s="37"/>
      <c r="I219" s="37"/>
      <c r="J219" s="52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>
      <c r="A220" s="37"/>
      <c r="B220" s="37"/>
      <c r="C220" s="37"/>
      <c r="D220" s="37"/>
      <c r="E220" s="37"/>
      <c r="F220" s="37"/>
      <c r="G220" s="37"/>
      <c r="H220" s="37"/>
      <c r="I220" s="37"/>
      <c r="J220" s="52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>
      <c r="A221" s="37"/>
      <c r="B221" s="37"/>
      <c r="C221" s="37"/>
      <c r="D221" s="37"/>
      <c r="E221" s="37"/>
      <c r="F221" s="37"/>
      <c r="G221" s="37"/>
      <c r="H221" s="37"/>
      <c r="I221" s="37"/>
      <c r="J221" s="52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>
      <c r="A222" s="37"/>
      <c r="B222" s="37"/>
      <c r="C222" s="37"/>
      <c r="D222" s="37"/>
      <c r="E222" s="37"/>
      <c r="F222" s="37"/>
      <c r="G222" s="37"/>
      <c r="H222" s="37"/>
      <c r="I222" s="37"/>
      <c r="J222" s="52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>
      <c r="A223" s="37"/>
      <c r="B223" s="37"/>
      <c r="C223" s="37"/>
      <c r="D223" s="37"/>
      <c r="E223" s="37"/>
      <c r="F223" s="37"/>
      <c r="G223" s="37"/>
      <c r="H223" s="37"/>
      <c r="I223" s="37"/>
      <c r="J223" s="52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>
      <c r="A224" s="37"/>
      <c r="B224" s="37"/>
      <c r="C224" s="37"/>
      <c r="D224" s="37"/>
      <c r="E224" s="37"/>
      <c r="F224" s="37"/>
      <c r="G224" s="37"/>
      <c r="H224" s="37"/>
      <c r="I224" s="37"/>
      <c r="J224" s="52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>
      <c r="A225" s="37"/>
      <c r="B225" s="37"/>
      <c r="C225" s="37"/>
      <c r="D225" s="37"/>
      <c r="E225" s="37"/>
      <c r="F225" s="37"/>
      <c r="G225" s="37"/>
      <c r="H225" s="37"/>
      <c r="I225" s="37"/>
      <c r="J225" s="52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>
      <c r="A226" s="37"/>
      <c r="B226" s="37"/>
      <c r="C226" s="37"/>
      <c r="D226" s="37"/>
      <c r="E226" s="37"/>
      <c r="F226" s="37"/>
      <c r="G226" s="37"/>
      <c r="H226" s="37"/>
      <c r="I226" s="37"/>
      <c r="J226" s="52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>
      <c r="A227" s="37"/>
      <c r="B227" s="37"/>
      <c r="C227" s="37"/>
      <c r="D227" s="37"/>
      <c r="E227" s="37"/>
      <c r="F227" s="37"/>
      <c r="G227" s="37"/>
      <c r="H227" s="37"/>
      <c r="I227" s="37"/>
      <c r="J227" s="52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>
      <c r="A228" s="37"/>
      <c r="B228" s="37"/>
      <c r="C228" s="37"/>
      <c r="D228" s="37"/>
      <c r="E228" s="37"/>
      <c r="F228" s="37"/>
      <c r="G228" s="37"/>
      <c r="H228" s="37"/>
      <c r="I228" s="37"/>
      <c r="J228" s="52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>
      <c r="A229" s="37"/>
      <c r="B229" s="37"/>
      <c r="C229" s="37"/>
      <c r="D229" s="37"/>
      <c r="E229" s="37"/>
      <c r="F229" s="37"/>
      <c r="G229" s="37"/>
      <c r="H229" s="37"/>
      <c r="I229" s="37"/>
      <c r="J229" s="52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>
      <c r="A230" s="37"/>
      <c r="B230" s="37"/>
      <c r="C230" s="37"/>
      <c r="D230" s="37"/>
      <c r="E230" s="37"/>
      <c r="F230" s="37"/>
      <c r="G230" s="37"/>
      <c r="H230" s="37"/>
      <c r="I230" s="37"/>
      <c r="J230" s="52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>
      <c r="A231" s="37"/>
      <c r="B231" s="37"/>
      <c r="C231" s="37"/>
      <c r="D231" s="37"/>
      <c r="E231" s="37"/>
      <c r="F231" s="37"/>
      <c r="G231" s="37"/>
      <c r="H231" s="37"/>
      <c r="I231" s="37"/>
      <c r="J231" s="52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>
      <c r="A232" s="37"/>
      <c r="B232" s="37"/>
      <c r="C232" s="37"/>
      <c r="D232" s="37"/>
      <c r="E232" s="37"/>
      <c r="F232" s="37"/>
      <c r="G232" s="37"/>
      <c r="H232" s="37"/>
      <c r="I232" s="37"/>
      <c r="J232" s="52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>
      <c r="A233" s="37"/>
      <c r="B233" s="37"/>
      <c r="C233" s="37"/>
      <c r="D233" s="37"/>
      <c r="E233" s="37"/>
      <c r="F233" s="37"/>
      <c r="G233" s="37"/>
      <c r="H233" s="37"/>
      <c r="I233" s="37"/>
      <c r="J233" s="52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>
      <c r="A234" s="37"/>
      <c r="B234" s="37"/>
      <c r="C234" s="37"/>
      <c r="D234" s="37"/>
      <c r="E234" s="37"/>
      <c r="F234" s="37"/>
      <c r="G234" s="37"/>
      <c r="H234" s="37"/>
      <c r="I234" s="37"/>
      <c r="J234" s="52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>
      <c r="A235" s="37"/>
      <c r="B235" s="37"/>
      <c r="C235" s="37"/>
      <c r="D235" s="37"/>
      <c r="E235" s="37"/>
      <c r="F235" s="37"/>
      <c r="G235" s="37"/>
      <c r="H235" s="37"/>
      <c r="I235" s="37"/>
      <c r="J235" s="52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>
      <c r="A236" s="37"/>
      <c r="B236" s="37"/>
      <c r="C236" s="37"/>
      <c r="D236" s="37"/>
      <c r="E236" s="37"/>
      <c r="F236" s="37"/>
      <c r="G236" s="37"/>
      <c r="H236" s="37"/>
      <c r="I236" s="37"/>
      <c r="J236" s="52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>
      <c r="A237" s="37"/>
      <c r="B237" s="37"/>
      <c r="C237" s="37"/>
      <c r="D237" s="37"/>
      <c r="E237" s="37"/>
      <c r="F237" s="37"/>
      <c r="G237" s="37"/>
      <c r="H237" s="37"/>
      <c r="I237" s="37"/>
      <c r="J237" s="52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>
      <c r="A238" s="37"/>
      <c r="B238" s="37"/>
      <c r="C238" s="37"/>
      <c r="D238" s="37"/>
      <c r="E238" s="37"/>
      <c r="F238" s="37"/>
      <c r="G238" s="37"/>
      <c r="H238" s="37"/>
      <c r="I238" s="37"/>
      <c r="J238" s="52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>
      <c r="A239" s="37"/>
      <c r="B239" s="37"/>
      <c r="C239" s="37"/>
      <c r="D239" s="37"/>
      <c r="E239" s="37"/>
      <c r="F239" s="37"/>
      <c r="G239" s="37"/>
      <c r="H239" s="37"/>
      <c r="I239" s="37"/>
      <c r="J239" s="52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>
      <c r="A240" s="37"/>
      <c r="B240" s="37"/>
      <c r="C240" s="37"/>
      <c r="D240" s="37"/>
      <c r="E240" s="37"/>
      <c r="F240" s="37"/>
      <c r="G240" s="37"/>
      <c r="H240" s="37"/>
      <c r="I240" s="37"/>
      <c r="J240" s="52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>
      <c r="A241" s="37"/>
      <c r="B241" s="37"/>
      <c r="C241" s="37"/>
      <c r="D241" s="37"/>
      <c r="E241" s="37"/>
      <c r="F241" s="37"/>
      <c r="G241" s="37"/>
      <c r="H241" s="37"/>
      <c r="I241" s="37"/>
      <c r="J241" s="52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>
      <c r="A242" s="37"/>
      <c r="B242" s="37"/>
      <c r="C242" s="37"/>
      <c r="D242" s="37"/>
      <c r="E242" s="37"/>
      <c r="F242" s="37"/>
      <c r="G242" s="37"/>
      <c r="H242" s="37"/>
      <c r="I242" s="37"/>
      <c r="J242" s="52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>
      <c r="A243" s="37"/>
      <c r="B243" s="37"/>
      <c r="C243" s="37"/>
      <c r="D243" s="37"/>
      <c r="E243" s="37"/>
      <c r="F243" s="37"/>
      <c r="G243" s="37"/>
      <c r="H243" s="37"/>
      <c r="I243" s="37"/>
      <c r="J243" s="52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>
      <c r="A244" s="37"/>
      <c r="B244" s="37"/>
      <c r="C244" s="37"/>
      <c r="D244" s="37"/>
      <c r="E244" s="37"/>
      <c r="F244" s="37"/>
      <c r="G244" s="37"/>
      <c r="H244" s="37"/>
      <c r="I244" s="37"/>
      <c r="J244" s="52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>
      <c r="A245" s="37"/>
      <c r="B245" s="37"/>
      <c r="C245" s="37"/>
      <c r="D245" s="37"/>
      <c r="E245" s="37"/>
      <c r="F245" s="37"/>
      <c r="G245" s="37"/>
      <c r="H245" s="37"/>
      <c r="I245" s="37"/>
      <c r="J245" s="52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>
      <c r="A246" s="37"/>
      <c r="B246" s="37"/>
      <c r="C246" s="37"/>
      <c r="D246" s="37"/>
      <c r="E246" s="37"/>
      <c r="F246" s="37"/>
      <c r="G246" s="37"/>
      <c r="H246" s="37"/>
      <c r="I246" s="37"/>
      <c r="J246" s="52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>
      <c r="A247" s="37"/>
      <c r="B247" s="37"/>
      <c r="C247" s="37"/>
      <c r="D247" s="37"/>
      <c r="E247" s="37"/>
      <c r="F247" s="37"/>
      <c r="G247" s="37"/>
      <c r="H247" s="37"/>
      <c r="I247" s="37"/>
      <c r="J247" s="52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>
      <c r="A248" s="37"/>
      <c r="B248" s="37"/>
      <c r="C248" s="37"/>
      <c r="D248" s="37"/>
      <c r="E248" s="37"/>
      <c r="F248" s="37"/>
      <c r="G248" s="37"/>
      <c r="H248" s="37"/>
      <c r="I248" s="37"/>
      <c r="J248" s="52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>
      <c r="A249" s="37"/>
      <c r="B249" s="37"/>
      <c r="C249" s="37"/>
      <c r="D249" s="37"/>
      <c r="E249" s="37"/>
      <c r="F249" s="37"/>
      <c r="G249" s="37"/>
      <c r="H249" s="37"/>
      <c r="I249" s="37"/>
      <c r="J249" s="52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>
      <c r="A250" s="37"/>
      <c r="B250" s="37"/>
      <c r="C250" s="37"/>
      <c r="D250" s="37"/>
      <c r="E250" s="37"/>
      <c r="F250" s="37"/>
      <c r="G250" s="37"/>
      <c r="H250" s="37"/>
      <c r="I250" s="37"/>
      <c r="J250" s="52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>
      <c r="A251" s="37"/>
      <c r="B251" s="37"/>
      <c r="C251" s="37"/>
      <c r="D251" s="37"/>
      <c r="E251" s="37"/>
      <c r="F251" s="37"/>
      <c r="G251" s="37"/>
      <c r="H251" s="37"/>
      <c r="I251" s="37"/>
      <c r="J251" s="52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>
      <c r="A252" s="37"/>
      <c r="B252" s="37"/>
      <c r="C252" s="37"/>
      <c r="D252" s="37"/>
      <c r="E252" s="37"/>
      <c r="F252" s="37"/>
      <c r="G252" s="37"/>
      <c r="H252" s="37"/>
      <c r="I252" s="37"/>
      <c r="J252" s="52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>
      <c r="A253" s="37"/>
      <c r="B253" s="37"/>
      <c r="C253" s="37"/>
      <c r="D253" s="37"/>
      <c r="E253" s="37"/>
      <c r="F253" s="37"/>
      <c r="G253" s="37"/>
      <c r="H253" s="37"/>
      <c r="I253" s="37"/>
      <c r="J253" s="52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>
      <c r="A254" s="37"/>
      <c r="B254" s="37"/>
      <c r="C254" s="37"/>
      <c r="D254" s="37"/>
      <c r="E254" s="37"/>
      <c r="F254" s="37"/>
      <c r="G254" s="37"/>
      <c r="H254" s="37"/>
      <c r="I254" s="37"/>
      <c r="J254" s="52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>
      <c r="A255" s="37"/>
      <c r="B255" s="37"/>
      <c r="C255" s="37"/>
      <c r="D255" s="37"/>
      <c r="E255" s="37"/>
      <c r="F255" s="37"/>
      <c r="G255" s="37"/>
      <c r="H255" s="37"/>
      <c r="I255" s="37"/>
      <c r="J255" s="52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>
      <c r="A256" s="37"/>
      <c r="B256" s="37"/>
      <c r="C256" s="37"/>
      <c r="D256" s="37"/>
      <c r="E256" s="37"/>
      <c r="F256" s="37"/>
      <c r="G256" s="37"/>
      <c r="H256" s="37"/>
      <c r="I256" s="37"/>
      <c r="J256" s="52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>
      <c r="A257" s="37"/>
      <c r="B257" s="37"/>
      <c r="C257" s="37"/>
      <c r="D257" s="37"/>
      <c r="E257" s="37"/>
      <c r="F257" s="37"/>
      <c r="G257" s="37"/>
      <c r="H257" s="37"/>
      <c r="I257" s="37"/>
      <c r="J257" s="52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>
      <c r="A258" s="37"/>
      <c r="B258" s="37"/>
      <c r="C258" s="37"/>
      <c r="D258" s="37"/>
      <c r="E258" s="37"/>
      <c r="F258" s="37"/>
      <c r="G258" s="37"/>
      <c r="H258" s="37"/>
      <c r="I258" s="37"/>
      <c r="J258" s="52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>
      <c r="A259" s="37"/>
      <c r="B259" s="37"/>
      <c r="C259" s="37"/>
      <c r="D259" s="37"/>
      <c r="E259" s="37"/>
      <c r="F259" s="37"/>
      <c r="G259" s="37"/>
      <c r="H259" s="37"/>
      <c r="I259" s="37"/>
      <c r="J259" s="52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>
      <c r="A260" s="37"/>
      <c r="B260" s="37"/>
      <c r="C260" s="37"/>
      <c r="D260" s="37"/>
      <c r="E260" s="37"/>
      <c r="F260" s="37"/>
      <c r="G260" s="37"/>
      <c r="H260" s="37"/>
      <c r="I260" s="37"/>
      <c r="J260" s="52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>
      <c r="A261" s="37"/>
      <c r="B261" s="37"/>
      <c r="C261" s="37"/>
      <c r="D261" s="37"/>
      <c r="E261" s="37"/>
      <c r="F261" s="37"/>
      <c r="G261" s="37"/>
      <c r="H261" s="37"/>
      <c r="I261" s="37"/>
      <c r="J261" s="52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>
      <c r="A262" s="37"/>
      <c r="B262" s="37"/>
      <c r="C262" s="37"/>
      <c r="D262" s="37"/>
      <c r="E262" s="37"/>
      <c r="F262" s="37"/>
      <c r="G262" s="37"/>
      <c r="H262" s="37"/>
      <c r="I262" s="37"/>
      <c r="J262" s="52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>
      <c r="A263" s="37"/>
      <c r="B263" s="37"/>
      <c r="C263" s="37"/>
      <c r="D263" s="37"/>
      <c r="E263" s="37"/>
      <c r="F263" s="37"/>
      <c r="G263" s="37"/>
      <c r="H263" s="37"/>
      <c r="I263" s="37"/>
      <c r="J263" s="52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>
      <c r="A264" s="37"/>
      <c r="B264" s="37"/>
      <c r="C264" s="37"/>
      <c r="D264" s="37"/>
      <c r="E264" s="37"/>
      <c r="F264" s="37"/>
      <c r="G264" s="37"/>
      <c r="H264" s="37"/>
      <c r="I264" s="37"/>
      <c r="J264" s="52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>
      <c r="A265" s="37"/>
      <c r="B265" s="37"/>
      <c r="C265" s="37"/>
      <c r="D265" s="37"/>
      <c r="E265" s="37"/>
      <c r="F265" s="37"/>
      <c r="G265" s="37"/>
      <c r="H265" s="37"/>
      <c r="I265" s="37"/>
      <c r="J265" s="52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>
      <c r="A266" s="37"/>
      <c r="B266" s="37"/>
      <c r="C266" s="37"/>
      <c r="D266" s="37"/>
      <c r="E266" s="37"/>
      <c r="F266" s="37"/>
      <c r="G266" s="37"/>
      <c r="H266" s="37"/>
      <c r="I266" s="37"/>
      <c r="J266" s="52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>
      <c r="A267" s="37"/>
      <c r="B267" s="37"/>
      <c r="C267" s="37"/>
      <c r="D267" s="37"/>
      <c r="E267" s="37"/>
      <c r="F267" s="37"/>
      <c r="G267" s="37"/>
      <c r="H267" s="37"/>
      <c r="I267" s="37"/>
      <c r="J267" s="52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>
      <c r="A268" s="37"/>
      <c r="B268" s="37"/>
      <c r="C268" s="37"/>
      <c r="D268" s="37"/>
      <c r="E268" s="37"/>
      <c r="F268" s="37"/>
      <c r="G268" s="37"/>
      <c r="H268" s="37"/>
      <c r="I268" s="37"/>
      <c r="J268" s="52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>
      <c r="A269" s="37"/>
      <c r="B269" s="37"/>
      <c r="C269" s="37"/>
      <c r="D269" s="37"/>
      <c r="E269" s="37"/>
      <c r="F269" s="37"/>
      <c r="G269" s="37"/>
      <c r="H269" s="37"/>
      <c r="I269" s="37"/>
      <c r="J269" s="52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>
      <c r="A270" s="37"/>
      <c r="B270" s="37"/>
      <c r="C270" s="37"/>
      <c r="D270" s="37"/>
      <c r="E270" s="37"/>
      <c r="F270" s="37"/>
      <c r="G270" s="37"/>
      <c r="H270" s="37"/>
      <c r="I270" s="37"/>
      <c r="J270" s="52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>
      <c r="A271" s="37"/>
      <c r="B271" s="37"/>
      <c r="C271" s="37"/>
      <c r="D271" s="37"/>
      <c r="E271" s="37"/>
      <c r="F271" s="37"/>
      <c r="G271" s="37"/>
      <c r="H271" s="37"/>
      <c r="I271" s="37"/>
      <c r="J271" s="52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>
      <c r="A272" s="37"/>
      <c r="B272" s="37"/>
      <c r="C272" s="37"/>
      <c r="D272" s="37"/>
      <c r="E272" s="37"/>
      <c r="F272" s="37"/>
      <c r="G272" s="37"/>
      <c r="H272" s="37"/>
      <c r="I272" s="37"/>
      <c r="J272" s="52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>
      <c r="A273" s="37"/>
      <c r="B273" s="37"/>
      <c r="C273" s="37"/>
      <c r="D273" s="37"/>
      <c r="E273" s="37"/>
      <c r="F273" s="37"/>
      <c r="G273" s="37"/>
      <c r="H273" s="37"/>
      <c r="I273" s="37"/>
      <c r="J273" s="52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>
      <c r="A274" s="37"/>
      <c r="B274" s="37"/>
      <c r="C274" s="37"/>
      <c r="D274" s="37"/>
      <c r="E274" s="37"/>
      <c r="F274" s="37"/>
      <c r="G274" s="37"/>
      <c r="H274" s="37"/>
      <c r="I274" s="37"/>
      <c r="J274" s="52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>
      <c r="A275" s="37"/>
      <c r="B275" s="37"/>
      <c r="C275" s="37"/>
      <c r="D275" s="37"/>
      <c r="E275" s="37"/>
      <c r="F275" s="37"/>
      <c r="G275" s="37"/>
      <c r="H275" s="37"/>
      <c r="I275" s="37"/>
      <c r="J275" s="52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>
      <c r="A276" s="37"/>
      <c r="B276" s="37"/>
      <c r="C276" s="37"/>
      <c r="D276" s="37"/>
      <c r="E276" s="37"/>
      <c r="F276" s="37"/>
      <c r="G276" s="37"/>
      <c r="H276" s="37"/>
      <c r="I276" s="37"/>
      <c r="J276" s="52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>
      <c r="A277" s="37"/>
      <c r="B277" s="37"/>
      <c r="C277" s="37"/>
      <c r="D277" s="37"/>
      <c r="E277" s="37"/>
      <c r="F277" s="37"/>
      <c r="G277" s="37"/>
      <c r="H277" s="37"/>
      <c r="I277" s="37"/>
      <c r="J277" s="52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>
      <c r="A278" s="37"/>
      <c r="B278" s="37"/>
      <c r="C278" s="37"/>
      <c r="D278" s="37"/>
      <c r="E278" s="37"/>
      <c r="F278" s="37"/>
      <c r="G278" s="37"/>
      <c r="H278" s="37"/>
      <c r="I278" s="37"/>
      <c r="J278" s="52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>
      <c r="A279" s="37"/>
      <c r="B279" s="37"/>
      <c r="C279" s="37"/>
      <c r="D279" s="37"/>
      <c r="E279" s="37"/>
      <c r="F279" s="37"/>
      <c r="G279" s="37"/>
      <c r="H279" s="37"/>
      <c r="I279" s="37"/>
      <c r="J279" s="52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>
      <c r="A280" s="37"/>
      <c r="B280" s="37"/>
      <c r="C280" s="37"/>
      <c r="D280" s="37"/>
      <c r="E280" s="37"/>
      <c r="F280" s="37"/>
      <c r="G280" s="37"/>
      <c r="H280" s="37"/>
      <c r="I280" s="37"/>
      <c r="J280" s="52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>
      <c r="A281" s="37"/>
      <c r="B281" s="37"/>
      <c r="C281" s="37"/>
      <c r="D281" s="37"/>
      <c r="E281" s="37"/>
      <c r="F281" s="37"/>
      <c r="G281" s="37"/>
      <c r="H281" s="37"/>
      <c r="I281" s="37"/>
      <c r="J281" s="52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>
      <c r="A282" s="37"/>
      <c r="B282" s="37"/>
      <c r="C282" s="37"/>
      <c r="D282" s="37"/>
      <c r="E282" s="37"/>
      <c r="F282" s="37"/>
      <c r="G282" s="37"/>
      <c r="H282" s="37"/>
      <c r="I282" s="37"/>
      <c r="J282" s="52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>
      <c r="A283" s="37"/>
      <c r="B283" s="37"/>
      <c r="C283" s="37"/>
      <c r="D283" s="37"/>
      <c r="E283" s="37"/>
      <c r="F283" s="37"/>
      <c r="G283" s="37"/>
      <c r="H283" s="37"/>
      <c r="I283" s="37"/>
      <c r="J283" s="52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>
      <c r="A284" s="37"/>
      <c r="B284" s="37"/>
      <c r="C284" s="37"/>
      <c r="D284" s="37"/>
      <c r="E284" s="37"/>
      <c r="F284" s="37"/>
      <c r="G284" s="37"/>
      <c r="H284" s="37"/>
      <c r="I284" s="37"/>
      <c r="J284" s="52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>
      <c r="A285" s="37"/>
      <c r="B285" s="37"/>
      <c r="C285" s="37"/>
      <c r="D285" s="37"/>
      <c r="E285" s="37"/>
      <c r="F285" s="37"/>
      <c r="G285" s="37"/>
      <c r="H285" s="37"/>
      <c r="I285" s="37"/>
      <c r="J285" s="52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>
      <c r="A286" s="37"/>
      <c r="B286" s="37"/>
      <c r="C286" s="37"/>
      <c r="D286" s="37"/>
      <c r="E286" s="37"/>
      <c r="F286" s="37"/>
      <c r="G286" s="37"/>
      <c r="H286" s="37"/>
      <c r="I286" s="37"/>
      <c r="J286" s="52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>
      <c r="A287" s="37"/>
      <c r="B287" s="37"/>
      <c r="C287" s="37"/>
      <c r="D287" s="37"/>
      <c r="E287" s="37"/>
      <c r="F287" s="37"/>
      <c r="G287" s="37"/>
      <c r="H287" s="37"/>
      <c r="I287" s="37"/>
      <c r="J287" s="52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>
      <c r="A288" s="37"/>
      <c r="B288" s="37"/>
      <c r="C288" s="37"/>
      <c r="D288" s="37"/>
      <c r="E288" s="37"/>
      <c r="F288" s="37"/>
      <c r="G288" s="37"/>
      <c r="H288" s="37"/>
      <c r="I288" s="37"/>
      <c r="J288" s="52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>
      <c r="A289" s="37"/>
      <c r="B289" s="37"/>
      <c r="C289" s="37"/>
      <c r="D289" s="37"/>
      <c r="E289" s="37"/>
      <c r="F289" s="37"/>
      <c r="G289" s="37"/>
      <c r="H289" s="37"/>
      <c r="I289" s="37"/>
      <c r="J289" s="52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>
      <c r="A290" s="37"/>
      <c r="B290" s="37"/>
      <c r="C290" s="37"/>
      <c r="D290" s="37"/>
      <c r="E290" s="37"/>
      <c r="F290" s="37"/>
      <c r="G290" s="37"/>
      <c r="H290" s="37"/>
      <c r="I290" s="37"/>
      <c r="J290" s="52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>
      <c r="A291" s="37"/>
      <c r="B291" s="37"/>
      <c r="C291" s="37"/>
      <c r="D291" s="37"/>
      <c r="E291" s="37"/>
      <c r="F291" s="37"/>
      <c r="G291" s="37"/>
      <c r="H291" s="37"/>
      <c r="I291" s="37"/>
      <c r="J291" s="52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>
      <c r="A292" s="37"/>
      <c r="B292" s="37"/>
      <c r="C292" s="37"/>
      <c r="D292" s="37"/>
      <c r="E292" s="37"/>
      <c r="F292" s="37"/>
      <c r="G292" s="37"/>
      <c r="H292" s="37"/>
      <c r="I292" s="37"/>
      <c r="J292" s="52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>
      <c r="A293" s="37"/>
      <c r="B293" s="37"/>
      <c r="C293" s="37"/>
      <c r="D293" s="37"/>
      <c r="E293" s="37"/>
      <c r="F293" s="37"/>
      <c r="G293" s="37"/>
      <c r="H293" s="37"/>
      <c r="I293" s="37"/>
      <c r="J293" s="52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>
      <c r="A294" s="37"/>
      <c r="B294" s="37"/>
      <c r="C294" s="37"/>
      <c r="D294" s="37"/>
      <c r="E294" s="37"/>
      <c r="F294" s="37"/>
      <c r="G294" s="37"/>
      <c r="H294" s="37"/>
      <c r="I294" s="37"/>
      <c r="J294" s="52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>
      <c r="A295" s="37"/>
      <c r="B295" s="37"/>
      <c r="C295" s="37"/>
      <c r="D295" s="37"/>
      <c r="E295" s="37"/>
      <c r="F295" s="37"/>
      <c r="G295" s="37"/>
      <c r="H295" s="37"/>
      <c r="I295" s="37"/>
      <c r="J295" s="52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>
      <c r="A296" s="37"/>
      <c r="B296" s="37"/>
      <c r="C296" s="37"/>
      <c r="D296" s="37"/>
      <c r="E296" s="37"/>
      <c r="F296" s="37"/>
      <c r="G296" s="37"/>
      <c r="H296" s="37"/>
      <c r="I296" s="37"/>
      <c r="J296" s="52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>
      <c r="A297" s="37"/>
      <c r="B297" s="37"/>
      <c r="C297" s="37"/>
      <c r="D297" s="37"/>
      <c r="E297" s="37"/>
      <c r="F297" s="37"/>
      <c r="G297" s="37"/>
      <c r="H297" s="37"/>
      <c r="I297" s="37"/>
      <c r="J297" s="52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>
      <c r="A298" s="37"/>
      <c r="B298" s="37"/>
      <c r="C298" s="37"/>
      <c r="D298" s="37"/>
      <c r="E298" s="37"/>
      <c r="F298" s="37"/>
      <c r="G298" s="37"/>
      <c r="H298" s="37"/>
      <c r="I298" s="37"/>
      <c r="J298" s="52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>
      <c r="A299" s="37"/>
      <c r="B299" s="37"/>
      <c r="C299" s="37"/>
      <c r="D299" s="37"/>
      <c r="E299" s="37"/>
      <c r="F299" s="37"/>
      <c r="G299" s="37"/>
      <c r="H299" s="37"/>
      <c r="I299" s="37"/>
      <c r="J299" s="52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>
      <c r="A300" s="37"/>
      <c r="B300" s="37"/>
      <c r="C300" s="37"/>
      <c r="D300" s="37"/>
      <c r="E300" s="37"/>
      <c r="F300" s="37"/>
      <c r="G300" s="37"/>
      <c r="H300" s="37"/>
      <c r="I300" s="37"/>
      <c r="J300" s="52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>
      <c r="A301" s="37"/>
      <c r="B301" s="37"/>
      <c r="C301" s="37"/>
      <c r="D301" s="37"/>
      <c r="E301" s="37"/>
      <c r="F301" s="37"/>
      <c r="G301" s="37"/>
      <c r="H301" s="37"/>
      <c r="I301" s="37"/>
      <c r="J301" s="52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>
      <c r="A302" s="37"/>
      <c r="B302" s="37"/>
      <c r="C302" s="37"/>
      <c r="D302" s="37"/>
      <c r="E302" s="37"/>
      <c r="F302" s="37"/>
      <c r="G302" s="37"/>
      <c r="H302" s="37"/>
      <c r="I302" s="37"/>
      <c r="J302" s="52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>
      <c r="A303" s="37"/>
      <c r="B303" s="37"/>
      <c r="C303" s="37"/>
      <c r="D303" s="37"/>
      <c r="E303" s="37"/>
      <c r="F303" s="37"/>
      <c r="G303" s="37"/>
      <c r="H303" s="37"/>
      <c r="I303" s="37"/>
      <c r="J303" s="52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>
      <c r="A304" s="37"/>
      <c r="B304" s="37"/>
      <c r="C304" s="37"/>
      <c r="D304" s="37"/>
      <c r="E304" s="37"/>
      <c r="F304" s="37"/>
      <c r="G304" s="37"/>
      <c r="H304" s="37"/>
      <c r="I304" s="37"/>
      <c r="J304" s="52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>
      <c r="A305" s="37"/>
      <c r="B305" s="37"/>
      <c r="C305" s="37"/>
      <c r="D305" s="37"/>
      <c r="E305" s="37"/>
      <c r="F305" s="37"/>
      <c r="G305" s="37"/>
      <c r="H305" s="37"/>
      <c r="I305" s="37"/>
      <c r="J305" s="52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>
      <c r="A306" s="37"/>
      <c r="B306" s="37"/>
      <c r="C306" s="37"/>
      <c r="D306" s="37"/>
      <c r="E306" s="37"/>
      <c r="F306" s="37"/>
      <c r="G306" s="37"/>
      <c r="H306" s="37"/>
      <c r="I306" s="37"/>
      <c r="J306" s="52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>
      <c r="A307" s="37"/>
      <c r="B307" s="37"/>
      <c r="C307" s="37"/>
      <c r="D307" s="37"/>
      <c r="E307" s="37"/>
      <c r="F307" s="37"/>
      <c r="G307" s="37"/>
      <c r="H307" s="37"/>
      <c r="I307" s="37"/>
      <c r="J307" s="52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>
      <c r="A308" s="37"/>
      <c r="B308" s="37"/>
      <c r="C308" s="37"/>
      <c r="D308" s="37"/>
      <c r="E308" s="37"/>
      <c r="F308" s="37"/>
      <c r="G308" s="37"/>
      <c r="H308" s="37"/>
      <c r="I308" s="37"/>
      <c r="J308" s="52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>
      <c r="A309" s="37"/>
      <c r="B309" s="37"/>
      <c r="C309" s="37"/>
      <c r="D309" s="37"/>
      <c r="E309" s="37"/>
      <c r="F309" s="37"/>
      <c r="G309" s="37"/>
      <c r="H309" s="37"/>
      <c r="I309" s="37"/>
      <c r="J309" s="52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>
      <c r="A310" s="37"/>
      <c r="B310" s="37"/>
      <c r="C310" s="37"/>
      <c r="D310" s="37"/>
      <c r="E310" s="37"/>
      <c r="F310" s="37"/>
      <c r="G310" s="37"/>
      <c r="H310" s="37"/>
      <c r="I310" s="37"/>
      <c r="J310" s="52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>
      <c r="A311" s="37"/>
      <c r="B311" s="37"/>
      <c r="C311" s="37"/>
      <c r="D311" s="37"/>
      <c r="E311" s="37"/>
      <c r="F311" s="37"/>
      <c r="G311" s="37"/>
      <c r="H311" s="37"/>
      <c r="I311" s="37"/>
      <c r="J311" s="52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>
      <c r="A312" s="37"/>
      <c r="B312" s="37"/>
      <c r="C312" s="37"/>
      <c r="D312" s="37"/>
      <c r="E312" s="37"/>
      <c r="F312" s="37"/>
      <c r="G312" s="37"/>
      <c r="H312" s="37"/>
      <c r="I312" s="37"/>
      <c r="J312" s="52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>
      <c r="A313" s="37"/>
      <c r="B313" s="37"/>
      <c r="C313" s="37"/>
      <c r="D313" s="37"/>
      <c r="E313" s="37"/>
      <c r="F313" s="37"/>
      <c r="G313" s="37"/>
      <c r="H313" s="37"/>
      <c r="I313" s="37"/>
      <c r="J313" s="52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>
      <c r="A314" s="37"/>
      <c r="B314" s="37"/>
      <c r="C314" s="37"/>
      <c r="D314" s="37"/>
      <c r="E314" s="37"/>
      <c r="F314" s="37"/>
      <c r="G314" s="37"/>
      <c r="H314" s="37"/>
      <c r="I314" s="37"/>
      <c r="J314" s="52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>
      <c r="A315" s="37"/>
      <c r="B315" s="37"/>
      <c r="C315" s="37"/>
      <c r="D315" s="37"/>
      <c r="E315" s="37"/>
      <c r="F315" s="37"/>
      <c r="G315" s="37"/>
      <c r="H315" s="37"/>
      <c r="I315" s="37"/>
      <c r="J315" s="52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>
      <c r="A316" s="37"/>
      <c r="B316" s="37"/>
      <c r="C316" s="37"/>
      <c r="D316" s="37"/>
      <c r="E316" s="37"/>
      <c r="F316" s="37"/>
      <c r="G316" s="37"/>
      <c r="H316" s="37"/>
      <c r="I316" s="37"/>
      <c r="J316" s="52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>
      <c r="A317" s="37"/>
      <c r="B317" s="37"/>
      <c r="C317" s="37"/>
      <c r="D317" s="37"/>
      <c r="E317" s="37"/>
      <c r="F317" s="37"/>
      <c r="G317" s="37"/>
      <c r="H317" s="37"/>
      <c r="I317" s="37"/>
      <c r="J317" s="52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>
      <c r="A318" s="37"/>
      <c r="B318" s="37"/>
      <c r="C318" s="37"/>
      <c r="D318" s="37"/>
      <c r="E318" s="37"/>
      <c r="F318" s="37"/>
      <c r="G318" s="37"/>
      <c r="H318" s="37"/>
      <c r="I318" s="37"/>
      <c r="J318" s="52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>
      <c r="A319" s="37"/>
      <c r="B319" s="37"/>
      <c r="C319" s="37"/>
      <c r="D319" s="37"/>
      <c r="E319" s="37"/>
      <c r="F319" s="37"/>
      <c r="G319" s="37"/>
      <c r="H319" s="37"/>
      <c r="I319" s="37"/>
      <c r="J319" s="52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>
      <c r="A320" s="37"/>
      <c r="B320" s="37"/>
      <c r="C320" s="37"/>
      <c r="D320" s="37"/>
      <c r="E320" s="37"/>
      <c r="F320" s="37"/>
      <c r="G320" s="37"/>
      <c r="H320" s="37"/>
      <c r="I320" s="37"/>
      <c r="J320" s="52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>
      <c r="A321" s="37"/>
      <c r="B321" s="37"/>
      <c r="C321" s="37"/>
      <c r="D321" s="37"/>
      <c r="E321" s="37"/>
      <c r="F321" s="37"/>
      <c r="G321" s="37"/>
      <c r="H321" s="37"/>
      <c r="I321" s="37"/>
      <c r="J321" s="52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>
      <c r="A322" s="37"/>
      <c r="B322" s="37"/>
      <c r="C322" s="37"/>
      <c r="D322" s="37"/>
      <c r="E322" s="37"/>
      <c r="F322" s="37"/>
      <c r="G322" s="37"/>
      <c r="H322" s="37"/>
      <c r="I322" s="37"/>
      <c r="J322" s="52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>
      <c r="A323" s="37"/>
      <c r="B323" s="37"/>
      <c r="C323" s="37"/>
      <c r="D323" s="37"/>
      <c r="E323" s="37"/>
      <c r="F323" s="37"/>
      <c r="G323" s="37"/>
      <c r="H323" s="37"/>
      <c r="I323" s="37"/>
      <c r="J323" s="52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>
      <c r="A324" s="37"/>
      <c r="B324" s="37"/>
      <c r="C324" s="37"/>
      <c r="D324" s="37"/>
      <c r="E324" s="37"/>
      <c r="F324" s="37"/>
      <c r="G324" s="37"/>
      <c r="H324" s="37"/>
      <c r="I324" s="37"/>
      <c r="J324" s="52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>
      <c r="A325" s="37"/>
      <c r="B325" s="37"/>
      <c r="C325" s="37"/>
      <c r="D325" s="37"/>
      <c r="E325" s="37"/>
      <c r="F325" s="37"/>
      <c r="G325" s="37"/>
      <c r="H325" s="37"/>
      <c r="I325" s="37"/>
      <c r="J325" s="52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>
      <c r="A326" s="37"/>
      <c r="B326" s="37"/>
      <c r="C326" s="37"/>
      <c r="D326" s="37"/>
      <c r="E326" s="37"/>
      <c r="F326" s="37"/>
      <c r="G326" s="37"/>
      <c r="H326" s="37"/>
      <c r="I326" s="37"/>
      <c r="J326" s="52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>
      <c r="A327" s="37"/>
      <c r="B327" s="37"/>
      <c r="C327" s="37"/>
      <c r="D327" s="37"/>
      <c r="E327" s="37"/>
      <c r="F327" s="37"/>
      <c r="G327" s="37"/>
      <c r="H327" s="37"/>
      <c r="I327" s="37"/>
      <c r="J327" s="52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>
      <c r="A328" s="37"/>
      <c r="B328" s="37"/>
      <c r="C328" s="37"/>
      <c r="D328" s="37"/>
      <c r="E328" s="37"/>
      <c r="F328" s="37"/>
      <c r="G328" s="37"/>
      <c r="H328" s="37"/>
      <c r="I328" s="37"/>
      <c r="J328" s="52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>
      <c r="A329" s="37"/>
      <c r="B329" s="37"/>
      <c r="C329" s="37"/>
      <c r="D329" s="37"/>
      <c r="E329" s="37"/>
      <c r="F329" s="37"/>
      <c r="G329" s="37"/>
      <c r="H329" s="37"/>
      <c r="I329" s="37"/>
      <c r="J329" s="52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>
      <c r="A330" s="37"/>
      <c r="B330" s="37"/>
      <c r="C330" s="37"/>
      <c r="D330" s="37"/>
      <c r="E330" s="37"/>
      <c r="F330" s="37"/>
      <c r="G330" s="37"/>
      <c r="H330" s="37"/>
      <c r="I330" s="37"/>
      <c r="J330" s="52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>
      <c r="A331" s="37"/>
      <c r="B331" s="37"/>
      <c r="C331" s="37"/>
      <c r="D331" s="37"/>
      <c r="E331" s="37"/>
      <c r="F331" s="37"/>
      <c r="G331" s="37"/>
      <c r="H331" s="37"/>
      <c r="I331" s="37"/>
      <c r="J331" s="52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>
      <c r="A332" s="37"/>
      <c r="B332" s="37"/>
      <c r="C332" s="37"/>
      <c r="D332" s="37"/>
      <c r="E332" s="37"/>
      <c r="F332" s="37"/>
      <c r="G332" s="37"/>
      <c r="H332" s="37"/>
      <c r="I332" s="37"/>
      <c r="J332" s="52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>
      <c r="A333" s="37"/>
      <c r="B333" s="37"/>
      <c r="C333" s="37"/>
      <c r="D333" s="37"/>
      <c r="E333" s="37"/>
      <c r="F333" s="37"/>
      <c r="G333" s="37"/>
      <c r="H333" s="37"/>
      <c r="I333" s="37"/>
      <c r="J333" s="52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>
      <c r="A334" s="37"/>
      <c r="B334" s="37"/>
      <c r="C334" s="37"/>
      <c r="D334" s="37"/>
      <c r="E334" s="37"/>
      <c r="F334" s="37"/>
      <c r="G334" s="37"/>
      <c r="H334" s="37"/>
      <c r="I334" s="37"/>
      <c r="J334" s="52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>
      <c r="A335" s="37"/>
      <c r="B335" s="37"/>
      <c r="C335" s="37"/>
      <c r="D335" s="37"/>
      <c r="E335" s="37"/>
      <c r="F335" s="37"/>
      <c r="G335" s="37"/>
      <c r="H335" s="37"/>
      <c r="I335" s="37"/>
      <c r="J335" s="52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>
      <c r="A336" s="37"/>
      <c r="B336" s="37"/>
      <c r="C336" s="37"/>
      <c r="D336" s="37"/>
      <c r="E336" s="37"/>
      <c r="F336" s="37"/>
      <c r="G336" s="37"/>
      <c r="H336" s="37"/>
      <c r="I336" s="37"/>
      <c r="J336" s="52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>
      <c r="A337" s="37"/>
      <c r="B337" s="37"/>
      <c r="C337" s="37"/>
      <c r="D337" s="37"/>
      <c r="E337" s="37"/>
      <c r="F337" s="37"/>
      <c r="G337" s="37"/>
      <c r="H337" s="37"/>
      <c r="I337" s="37"/>
      <c r="J337" s="52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>
      <c r="A338" s="37"/>
      <c r="B338" s="37"/>
      <c r="C338" s="37"/>
      <c r="D338" s="37"/>
      <c r="E338" s="37"/>
      <c r="F338" s="37"/>
      <c r="G338" s="37"/>
      <c r="H338" s="37"/>
      <c r="I338" s="37"/>
      <c r="J338" s="52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>
      <c r="A339" s="37"/>
      <c r="B339" s="37"/>
      <c r="C339" s="37"/>
      <c r="D339" s="37"/>
      <c r="E339" s="37"/>
      <c r="F339" s="37"/>
      <c r="G339" s="37"/>
      <c r="H339" s="37"/>
      <c r="I339" s="37"/>
      <c r="J339" s="52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>
      <c r="A340" s="37"/>
      <c r="B340" s="37"/>
      <c r="C340" s="37"/>
      <c r="D340" s="37"/>
      <c r="E340" s="37"/>
      <c r="F340" s="37"/>
      <c r="G340" s="37"/>
      <c r="H340" s="37"/>
      <c r="I340" s="37"/>
      <c r="J340" s="52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>
      <c r="A341" s="37"/>
      <c r="B341" s="37"/>
      <c r="C341" s="37"/>
      <c r="D341" s="37"/>
      <c r="E341" s="37"/>
      <c r="F341" s="37"/>
      <c r="G341" s="37"/>
      <c r="H341" s="37"/>
      <c r="I341" s="37"/>
      <c r="J341" s="52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>
      <c r="A342" s="37"/>
      <c r="B342" s="37"/>
      <c r="C342" s="37"/>
      <c r="D342" s="37"/>
      <c r="E342" s="37"/>
      <c r="F342" s="37"/>
      <c r="G342" s="37"/>
      <c r="H342" s="37"/>
      <c r="I342" s="37"/>
      <c r="J342" s="52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>
      <c r="A343" s="37"/>
      <c r="B343" s="37"/>
      <c r="C343" s="37"/>
      <c r="D343" s="37"/>
      <c r="E343" s="37"/>
      <c r="F343" s="37"/>
      <c r="G343" s="37"/>
      <c r="H343" s="37"/>
      <c r="I343" s="37"/>
      <c r="J343" s="52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>
      <c r="A344" s="37"/>
      <c r="B344" s="37"/>
      <c r="C344" s="37"/>
      <c r="D344" s="37"/>
      <c r="E344" s="37"/>
      <c r="F344" s="37"/>
      <c r="G344" s="37"/>
      <c r="H344" s="37"/>
      <c r="I344" s="37"/>
      <c r="J344" s="52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>
      <c r="A345" s="37"/>
      <c r="B345" s="37"/>
      <c r="C345" s="37"/>
      <c r="D345" s="37"/>
      <c r="E345" s="37"/>
      <c r="F345" s="37"/>
      <c r="G345" s="37"/>
      <c r="H345" s="37"/>
      <c r="I345" s="37"/>
      <c r="J345" s="52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>
      <c r="A346" s="37"/>
      <c r="B346" s="37"/>
      <c r="C346" s="37"/>
      <c r="D346" s="37"/>
      <c r="E346" s="37"/>
      <c r="F346" s="37"/>
      <c r="G346" s="37"/>
      <c r="H346" s="37"/>
      <c r="I346" s="37"/>
      <c r="J346" s="52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>
      <c r="A347" s="37"/>
      <c r="B347" s="37"/>
      <c r="C347" s="37"/>
      <c r="D347" s="37"/>
      <c r="E347" s="37"/>
      <c r="F347" s="37"/>
      <c r="G347" s="37"/>
      <c r="H347" s="37"/>
      <c r="I347" s="37"/>
      <c r="J347" s="52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>
      <c r="A348" s="37"/>
      <c r="B348" s="37"/>
      <c r="C348" s="37"/>
      <c r="D348" s="37"/>
      <c r="E348" s="37"/>
      <c r="F348" s="37"/>
      <c r="G348" s="37"/>
      <c r="H348" s="37"/>
      <c r="I348" s="37"/>
      <c r="J348" s="52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>
      <c r="A349" s="37"/>
      <c r="B349" s="37"/>
      <c r="C349" s="37"/>
      <c r="D349" s="37"/>
      <c r="E349" s="37"/>
      <c r="F349" s="37"/>
      <c r="G349" s="37"/>
      <c r="H349" s="37"/>
      <c r="I349" s="37"/>
      <c r="J349" s="52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>
      <c r="A350" s="37"/>
      <c r="B350" s="37"/>
      <c r="C350" s="37"/>
      <c r="D350" s="37"/>
      <c r="E350" s="37"/>
      <c r="F350" s="37"/>
      <c r="G350" s="37"/>
      <c r="H350" s="37"/>
      <c r="I350" s="37"/>
      <c r="J350" s="52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>
      <c r="A351" s="37"/>
      <c r="B351" s="37"/>
      <c r="C351" s="37"/>
      <c r="D351" s="37"/>
      <c r="E351" s="37"/>
      <c r="F351" s="37"/>
      <c r="G351" s="37"/>
      <c r="H351" s="37"/>
      <c r="I351" s="37"/>
      <c r="J351" s="52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>
      <c r="A352" s="37"/>
      <c r="B352" s="37"/>
      <c r="C352" s="37"/>
      <c r="D352" s="37"/>
      <c r="E352" s="37"/>
      <c r="F352" s="37"/>
      <c r="G352" s="37"/>
      <c r="H352" s="37"/>
      <c r="I352" s="37"/>
      <c r="J352" s="52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>
      <c r="A353" s="37"/>
      <c r="B353" s="37"/>
      <c r="C353" s="37"/>
      <c r="D353" s="37"/>
      <c r="E353" s="37"/>
      <c r="F353" s="37"/>
      <c r="G353" s="37"/>
      <c r="H353" s="37"/>
      <c r="I353" s="37"/>
      <c r="J353" s="52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>
      <c r="A354" s="37"/>
      <c r="B354" s="37"/>
      <c r="C354" s="37"/>
      <c r="D354" s="37"/>
      <c r="E354" s="37"/>
      <c r="F354" s="37"/>
      <c r="G354" s="37"/>
      <c r="H354" s="37"/>
      <c r="I354" s="37"/>
      <c r="J354" s="52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>
      <c r="A355" s="37"/>
      <c r="B355" s="37"/>
      <c r="C355" s="37"/>
      <c r="D355" s="37"/>
      <c r="E355" s="37"/>
      <c r="F355" s="37"/>
      <c r="G355" s="37"/>
      <c r="H355" s="37"/>
      <c r="I355" s="37"/>
      <c r="J355" s="52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>
      <c r="A356" s="37"/>
      <c r="B356" s="37"/>
      <c r="C356" s="37"/>
      <c r="D356" s="37"/>
      <c r="E356" s="37"/>
      <c r="F356" s="37"/>
      <c r="G356" s="37"/>
      <c r="H356" s="37"/>
      <c r="I356" s="37"/>
      <c r="J356" s="52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>
      <c r="A357" s="37"/>
      <c r="B357" s="37"/>
      <c r="C357" s="37"/>
      <c r="D357" s="37"/>
      <c r="E357" s="37"/>
      <c r="F357" s="37"/>
      <c r="G357" s="37"/>
      <c r="H357" s="37"/>
      <c r="I357" s="37"/>
      <c r="J357" s="52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>
      <c r="A358" s="37"/>
      <c r="B358" s="37"/>
      <c r="C358" s="37"/>
      <c r="D358" s="37"/>
      <c r="E358" s="37"/>
      <c r="F358" s="37"/>
      <c r="G358" s="37"/>
      <c r="H358" s="37"/>
      <c r="I358" s="37"/>
      <c r="J358" s="52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>
      <c r="A359" s="37"/>
      <c r="B359" s="37"/>
      <c r="C359" s="37"/>
      <c r="D359" s="37"/>
      <c r="E359" s="37"/>
      <c r="F359" s="37"/>
      <c r="G359" s="37"/>
      <c r="H359" s="37"/>
      <c r="I359" s="37"/>
      <c r="J359" s="52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>
      <c r="A360" s="37"/>
      <c r="B360" s="37"/>
      <c r="C360" s="37"/>
      <c r="D360" s="37"/>
      <c r="E360" s="37"/>
      <c r="F360" s="37"/>
      <c r="G360" s="37"/>
      <c r="H360" s="37"/>
      <c r="I360" s="37"/>
      <c r="J360" s="52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>
      <c r="A361" s="37"/>
      <c r="B361" s="37"/>
      <c r="C361" s="37"/>
      <c r="D361" s="37"/>
      <c r="E361" s="37"/>
      <c r="F361" s="37"/>
      <c r="G361" s="37"/>
      <c r="H361" s="37"/>
      <c r="I361" s="37"/>
      <c r="J361" s="52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>
      <c r="A362" s="37"/>
      <c r="B362" s="37"/>
      <c r="C362" s="37"/>
      <c r="D362" s="37"/>
      <c r="E362" s="37"/>
      <c r="F362" s="37"/>
      <c r="G362" s="37"/>
      <c r="H362" s="37"/>
      <c r="I362" s="37"/>
      <c r="J362" s="52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>
      <c r="A363" s="37"/>
      <c r="B363" s="37"/>
      <c r="C363" s="37"/>
      <c r="D363" s="37"/>
      <c r="E363" s="37"/>
      <c r="F363" s="37"/>
      <c r="G363" s="37"/>
      <c r="H363" s="37"/>
      <c r="I363" s="37"/>
      <c r="J363" s="52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>
      <c r="A364" s="37"/>
      <c r="B364" s="37"/>
      <c r="C364" s="37"/>
      <c r="D364" s="37"/>
      <c r="E364" s="37"/>
      <c r="F364" s="37"/>
      <c r="G364" s="37"/>
      <c r="H364" s="37"/>
      <c r="I364" s="37"/>
      <c r="J364" s="52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>
      <c r="A365" s="37"/>
      <c r="B365" s="37"/>
      <c r="C365" s="37"/>
      <c r="D365" s="37"/>
      <c r="E365" s="37"/>
      <c r="F365" s="37"/>
      <c r="G365" s="37"/>
      <c r="H365" s="37"/>
      <c r="I365" s="37"/>
      <c r="J365" s="52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>
      <c r="A366" s="37"/>
      <c r="B366" s="37"/>
      <c r="C366" s="37"/>
      <c r="D366" s="37"/>
      <c r="E366" s="37"/>
      <c r="F366" s="37"/>
      <c r="G366" s="37"/>
      <c r="H366" s="37"/>
      <c r="I366" s="37"/>
      <c r="J366" s="52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>
      <c r="A367" s="37"/>
      <c r="B367" s="37"/>
      <c r="C367" s="37"/>
      <c r="D367" s="37"/>
      <c r="E367" s="37"/>
      <c r="F367" s="37"/>
      <c r="G367" s="37"/>
      <c r="H367" s="37"/>
      <c r="I367" s="37"/>
      <c r="J367" s="52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>
      <c r="A368" s="37"/>
      <c r="B368" s="37"/>
      <c r="C368" s="37"/>
      <c r="D368" s="37"/>
      <c r="E368" s="37"/>
      <c r="F368" s="37"/>
      <c r="G368" s="37"/>
      <c r="H368" s="37"/>
      <c r="I368" s="37"/>
      <c r="J368" s="52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>
      <c r="A369" s="37"/>
      <c r="B369" s="37"/>
      <c r="C369" s="37"/>
      <c r="D369" s="37"/>
      <c r="E369" s="37"/>
      <c r="F369" s="37"/>
      <c r="G369" s="37"/>
      <c r="H369" s="37"/>
      <c r="I369" s="37"/>
      <c r="J369" s="52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>
      <c r="A370" s="37"/>
      <c r="B370" s="37"/>
      <c r="C370" s="37"/>
      <c r="D370" s="37"/>
      <c r="E370" s="37"/>
      <c r="F370" s="37"/>
      <c r="G370" s="37"/>
      <c r="H370" s="37"/>
      <c r="I370" s="37"/>
      <c r="J370" s="52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>
      <c r="A371" s="37"/>
      <c r="B371" s="37"/>
      <c r="C371" s="37"/>
      <c r="D371" s="37"/>
      <c r="E371" s="37"/>
      <c r="F371" s="37"/>
      <c r="G371" s="37"/>
      <c r="H371" s="37"/>
      <c r="I371" s="37"/>
      <c r="J371" s="52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>
      <c r="A372" s="37"/>
      <c r="B372" s="37"/>
      <c r="C372" s="37"/>
      <c r="D372" s="37"/>
      <c r="E372" s="37"/>
      <c r="F372" s="37"/>
      <c r="G372" s="37"/>
      <c r="H372" s="37"/>
      <c r="I372" s="37"/>
      <c r="J372" s="52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>
      <c r="A373" s="37"/>
      <c r="B373" s="37"/>
      <c r="C373" s="37"/>
      <c r="D373" s="37"/>
      <c r="E373" s="37"/>
      <c r="F373" s="37"/>
      <c r="G373" s="37"/>
      <c r="H373" s="37"/>
      <c r="I373" s="37"/>
      <c r="J373" s="52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>
      <c r="A374" s="37"/>
      <c r="B374" s="37"/>
      <c r="C374" s="37"/>
      <c r="D374" s="37"/>
      <c r="E374" s="37"/>
      <c r="F374" s="37"/>
      <c r="G374" s="37"/>
      <c r="H374" s="37"/>
      <c r="I374" s="37"/>
      <c r="J374" s="52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>
      <c r="A375" s="37"/>
      <c r="B375" s="37"/>
      <c r="C375" s="37"/>
      <c r="D375" s="37"/>
      <c r="E375" s="37"/>
      <c r="F375" s="37"/>
      <c r="G375" s="37"/>
      <c r="H375" s="37"/>
      <c r="I375" s="37"/>
      <c r="J375" s="52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>
      <c r="A376" s="37"/>
      <c r="B376" s="37"/>
      <c r="C376" s="37"/>
      <c r="D376" s="37"/>
      <c r="E376" s="37"/>
      <c r="F376" s="37"/>
      <c r="G376" s="37"/>
      <c r="H376" s="37"/>
      <c r="I376" s="37"/>
      <c r="J376" s="52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>
      <c r="A377" s="37"/>
      <c r="B377" s="37"/>
      <c r="C377" s="37"/>
      <c r="D377" s="37"/>
      <c r="E377" s="37"/>
      <c r="F377" s="37"/>
      <c r="G377" s="37"/>
      <c r="H377" s="37"/>
      <c r="I377" s="37"/>
      <c r="J377" s="52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>
      <c r="A378" s="37"/>
      <c r="B378" s="37"/>
      <c r="C378" s="37"/>
      <c r="D378" s="37"/>
      <c r="E378" s="37"/>
      <c r="F378" s="37"/>
      <c r="G378" s="37"/>
      <c r="H378" s="37"/>
      <c r="I378" s="37"/>
      <c r="J378" s="52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>
      <c r="A379" s="37"/>
      <c r="B379" s="37"/>
      <c r="C379" s="37"/>
      <c r="D379" s="37"/>
      <c r="E379" s="37"/>
      <c r="F379" s="37"/>
      <c r="G379" s="37"/>
      <c r="H379" s="37"/>
      <c r="I379" s="37"/>
      <c r="J379" s="52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>
      <c r="A380" s="37"/>
      <c r="B380" s="37"/>
      <c r="C380" s="37"/>
      <c r="D380" s="37"/>
      <c r="E380" s="37"/>
      <c r="F380" s="37"/>
      <c r="G380" s="37"/>
      <c r="H380" s="37"/>
      <c r="I380" s="37"/>
      <c r="J380" s="52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>
      <c r="A381" s="37"/>
      <c r="B381" s="37"/>
      <c r="C381" s="37"/>
      <c r="D381" s="37"/>
      <c r="E381" s="37"/>
      <c r="F381" s="37"/>
      <c r="G381" s="37"/>
      <c r="H381" s="37"/>
      <c r="I381" s="37"/>
      <c r="J381" s="52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>
      <c r="A382" s="37"/>
      <c r="B382" s="37"/>
      <c r="C382" s="37"/>
      <c r="D382" s="37"/>
      <c r="E382" s="37"/>
      <c r="F382" s="37"/>
      <c r="G382" s="37"/>
      <c r="H382" s="37"/>
      <c r="I382" s="37"/>
      <c r="J382" s="52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>
      <c r="A383" s="37"/>
      <c r="B383" s="37"/>
      <c r="C383" s="37"/>
      <c r="D383" s="37"/>
      <c r="E383" s="37"/>
      <c r="F383" s="37"/>
      <c r="G383" s="37"/>
      <c r="H383" s="37"/>
      <c r="I383" s="37"/>
      <c r="J383" s="52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>
      <c r="A384" s="37"/>
      <c r="B384" s="37"/>
      <c r="C384" s="37"/>
      <c r="D384" s="37"/>
      <c r="E384" s="37"/>
      <c r="F384" s="37"/>
      <c r="G384" s="37"/>
      <c r="H384" s="37"/>
      <c r="I384" s="37"/>
      <c r="J384" s="52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>
      <c r="A385" s="37"/>
      <c r="B385" s="37"/>
      <c r="C385" s="37"/>
      <c r="D385" s="37"/>
      <c r="E385" s="37"/>
      <c r="F385" s="37"/>
      <c r="G385" s="37"/>
      <c r="H385" s="37"/>
      <c r="I385" s="37"/>
      <c r="J385" s="52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>
      <c r="A386" s="37"/>
      <c r="B386" s="37"/>
      <c r="C386" s="37"/>
      <c r="D386" s="37"/>
      <c r="E386" s="37"/>
      <c r="F386" s="37"/>
      <c r="G386" s="37"/>
      <c r="H386" s="37"/>
      <c r="I386" s="37"/>
      <c r="J386" s="52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>
      <c r="A387" s="37"/>
      <c r="B387" s="37"/>
      <c r="C387" s="37"/>
      <c r="D387" s="37"/>
      <c r="E387" s="37"/>
      <c r="F387" s="37"/>
      <c r="G387" s="37"/>
      <c r="H387" s="37"/>
      <c r="I387" s="37"/>
      <c r="J387" s="52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>
      <c r="A388" s="37"/>
      <c r="B388" s="37"/>
      <c r="C388" s="37"/>
      <c r="D388" s="37"/>
      <c r="E388" s="37"/>
      <c r="F388" s="37"/>
      <c r="G388" s="37"/>
      <c r="H388" s="37"/>
      <c r="I388" s="37"/>
      <c r="J388" s="52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>
      <c r="A389" s="37"/>
      <c r="B389" s="37"/>
      <c r="C389" s="37"/>
      <c r="D389" s="37"/>
      <c r="E389" s="37"/>
      <c r="F389" s="37"/>
      <c r="G389" s="37"/>
      <c r="H389" s="37"/>
      <c r="I389" s="37"/>
      <c r="J389" s="52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>
      <c r="A390" s="37"/>
      <c r="B390" s="37"/>
      <c r="C390" s="37"/>
      <c r="D390" s="37"/>
      <c r="E390" s="37"/>
      <c r="F390" s="37"/>
      <c r="G390" s="37"/>
      <c r="H390" s="37"/>
      <c r="I390" s="37"/>
      <c r="J390" s="52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>
      <c r="A391" s="37"/>
      <c r="B391" s="37"/>
      <c r="C391" s="37"/>
      <c r="D391" s="37"/>
      <c r="E391" s="37"/>
      <c r="F391" s="37"/>
      <c r="G391" s="37"/>
      <c r="H391" s="37"/>
      <c r="I391" s="37"/>
      <c r="J391" s="52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>
      <c r="A392" s="37"/>
      <c r="B392" s="37"/>
      <c r="C392" s="37"/>
      <c r="D392" s="37"/>
      <c r="E392" s="37"/>
      <c r="F392" s="37"/>
      <c r="G392" s="37"/>
      <c r="H392" s="37"/>
      <c r="I392" s="37"/>
      <c r="J392" s="52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>
      <c r="A393" s="37"/>
      <c r="B393" s="37"/>
      <c r="C393" s="37"/>
      <c r="D393" s="37"/>
      <c r="E393" s="37"/>
      <c r="F393" s="37"/>
      <c r="G393" s="37"/>
      <c r="H393" s="37"/>
      <c r="I393" s="37"/>
      <c r="J393" s="52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>
      <c r="A394" s="37"/>
      <c r="B394" s="37"/>
      <c r="C394" s="37"/>
      <c r="D394" s="37"/>
      <c r="E394" s="37"/>
      <c r="F394" s="37"/>
      <c r="G394" s="37"/>
      <c r="H394" s="37"/>
      <c r="I394" s="37"/>
      <c r="J394" s="52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>
      <c r="A395" s="37"/>
      <c r="B395" s="37"/>
      <c r="C395" s="37"/>
      <c r="D395" s="37"/>
      <c r="E395" s="37"/>
      <c r="F395" s="37"/>
      <c r="G395" s="37"/>
      <c r="H395" s="37"/>
      <c r="I395" s="37"/>
      <c r="J395" s="52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>
      <c r="A396" s="37"/>
      <c r="B396" s="37"/>
      <c r="C396" s="37"/>
      <c r="D396" s="37"/>
      <c r="E396" s="37"/>
      <c r="F396" s="37"/>
      <c r="G396" s="37"/>
      <c r="H396" s="37"/>
      <c r="I396" s="37"/>
      <c r="J396" s="52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>
      <c r="A397" s="37"/>
      <c r="B397" s="37"/>
      <c r="C397" s="37"/>
      <c r="D397" s="37"/>
      <c r="E397" s="37"/>
      <c r="F397" s="37"/>
      <c r="G397" s="37"/>
      <c r="H397" s="37"/>
      <c r="I397" s="37"/>
      <c r="J397" s="52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>
      <c r="A398" s="37"/>
      <c r="B398" s="37"/>
      <c r="C398" s="37"/>
      <c r="D398" s="37"/>
      <c r="E398" s="37"/>
      <c r="F398" s="37"/>
      <c r="G398" s="37"/>
      <c r="H398" s="37"/>
      <c r="I398" s="37"/>
      <c r="J398" s="52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>
      <c r="A399" s="37"/>
      <c r="B399" s="37"/>
      <c r="C399" s="37"/>
      <c r="D399" s="37"/>
      <c r="E399" s="37"/>
      <c r="F399" s="37"/>
      <c r="G399" s="37"/>
      <c r="H399" s="37"/>
      <c r="I399" s="37"/>
      <c r="J399" s="52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>
      <c r="A400" s="37"/>
      <c r="B400" s="37"/>
      <c r="C400" s="37"/>
      <c r="D400" s="37"/>
      <c r="E400" s="37"/>
      <c r="F400" s="37"/>
      <c r="G400" s="37"/>
      <c r="H400" s="37"/>
      <c r="I400" s="37"/>
      <c r="J400" s="52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>
      <c r="A401" s="37"/>
      <c r="B401" s="37"/>
      <c r="C401" s="37"/>
      <c r="D401" s="37"/>
      <c r="E401" s="37"/>
      <c r="F401" s="37"/>
      <c r="G401" s="37"/>
      <c r="H401" s="37"/>
      <c r="I401" s="37"/>
      <c r="J401" s="52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>
      <c r="A402" s="37"/>
      <c r="B402" s="37"/>
      <c r="C402" s="37"/>
      <c r="D402" s="37"/>
      <c r="E402" s="37"/>
      <c r="F402" s="37"/>
      <c r="G402" s="37"/>
      <c r="H402" s="37"/>
      <c r="I402" s="37"/>
      <c r="J402" s="52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>
      <c r="A403" s="37"/>
      <c r="B403" s="37"/>
      <c r="C403" s="37"/>
      <c r="D403" s="37"/>
      <c r="E403" s="37"/>
      <c r="F403" s="37"/>
      <c r="G403" s="37"/>
      <c r="H403" s="37"/>
      <c r="I403" s="37"/>
      <c r="J403" s="52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>
      <c r="A404" s="37"/>
      <c r="B404" s="37"/>
      <c r="C404" s="37"/>
      <c r="D404" s="37"/>
      <c r="E404" s="37"/>
      <c r="F404" s="37"/>
      <c r="G404" s="37"/>
      <c r="H404" s="37"/>
      <c r="I404" s="37"/>
      <c r="J404" s="52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>
      <c r="A405" s="37"/>
      <c r="B405" s="37"/>
      <c r="C405" s="37"/>
      <c r="D405" s="37"/>
      <c r="E405" s="37"/>
      <c r="F405" s="37"/>
      <c r="G405" s="37"/>
      <c r="H405" s="37"/>
      <c r="I405" s="37"/>
      <c r="J405" s="52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>
      <c r="A406" s="37"/>
      <c r="B406" s="37"/>
      <c r="C406" s="37"/>
      <c r="D406" s="37"/>
      <c r="E406" s="37"/>
      <c r="F406" s="37"/>
      <c r="G406" s="37"/>
      <c r="H406" s="37"/>
      <c r="I406" s="37"/>
      <c r="J406" s="52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>
      <c r="A407" s="37"/>
      <c r="B407" s="37"/>
      <c r="C407" s="37"/>
      <c r="D407" s="37"/>
      <c r="E407" s="37"/>
      <c r="F407" s="37"/>
      <c r="G407" s="37"/>
      <c r="H407" s="37"/>
      <c r="I407" s="37"/>
      <c r="J407" s="52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>
      <c r="A408" s="37"/>
      <c r="B408" s="37"/>
      <c r="C408" s="37"/>
      <c r="D408" s="37"/>
      <c r="E408" s="37"/>
      <c r="F408" s="37"/>
      <c r="G408" s="37"/>
      <c r="H408" s="37"/>
      <c r="I408" s="37"/>
      <c r="J408" s="52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>
      <c r="A409" s="37"/>
      <c r="B409" s="37"/>
      <c r="C409" s="37"/>
      <c r="D409" s="37"/>
      <c r="E409" s="37"/>
      <c r="F409" s="37"/>
      <c r="G409" s="37"/>
      <c r="H409" s="37"/>
      <c r="I409" s="37"/>
      <c r="J409" s="52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>
      <c r="A410" s="37"/>
      <c r="B410" s="37"/>
      <c r="C410" s="37"/>
      <c r="D410" s="37"/>
      <c r="E410" s="37"/>
      <c r="F410" s="37"/>
      <c r="G410" s="37"/>
      <c r="H410" s="37"/>
      <c r="I410" s="37"/>
      <c r="J410" s="52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>
      <c r="A411" s="37"/>
      <c r="B411" s="37"/>
      <c r="C411" s="37"/>
      <c r="D411" s="37"/>
      <c r="E411" s="37"/>
      <c r="F411" s="37"/>
      <c r="G411" s="37"/>
      <c r="H411" s="37"/>
      <c r="I411" s="37"/>
      <c r="J411" s="52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>
      <c r="A412" s="37"/>
      <c r="B412" s="37"/>
      <c r="C412" s="37"/>
      <c r="D412" s="37"/>
      <c r="E412" s="37"/>
      <c r="F412" s="37"/>
      <c r="G412" s="37"/>
      <c r="H412" s="37"/>
      <c r="I412" s="37"/>
      <c r="J412" s="52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>
      <c r="A413" s="37"/>
      <c r="B413" s="37"/>
      <c r="C413" s="37"/>
      <c r="D413" s="37"/>
      <c r="E413" s="37"/>
      <c r="F413" s="37"/>
      <c r="G413" s="37"/>
      <c r="H413" s="37"/>
      <c r="I413" s="37"/>
      <c r="J413" s="52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>
      <c r="A414" s="37"/>
      <c r="B414" s="37"/>
      <c r="C414" s="37"/>
      <c r="D414" s="37"/>
      <c r="E414" s="37"/>
      <c r="F414" s="37"/>
      <c r="G414" s="37"/>
      <c r="H414" s="37"/>
      <c r="I414" s="37"/>
      <c r="J414" s="52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>
      <c r="A415" s="37"/>
      <c r="B415" s="37"/>
      <c r="C415" s="37"/>
      <c r="D415" s="37"/>
      <c r="E415" s="37"/>
      <c r="F415" s="37"/>
      <c r="G415" s="37"/>
      <c r="H415" s="37"/>
      <c r="I415" s="37"/>
      <c r="J415" s="52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>
      <c r="A416" s="37"/>
      <c r="B416" s="37"/>
      <c r="C416" s="37"/>
      <c r="D416" s="37"/>
      <c r="E416" s="37"/>
      <c r="F416" s="37"/>
      <c r="G416" s="37"/>
      <c r="H416" s="37"/>
      <c r="I416" s="37"/>
      <c r="J416" s="52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>
      <c r="A417" s="37"/>
      <c r="B417" s="37"/>
      <c r="C417" s="37"/>
      <c r="D417" s="37"/>
      <c r="E417" s="37"/>
      <c r="F417" s="37"/>
      <c r="G417" s="37"/>
      <c r="H417" s="37"/>
      <c r="I417" s="37"/>
      <c r="J417" s="52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>
      <c r="A418" s="37"/>
      <c r="B418" s="37"/>
      <c r="C418" s="37"/>
      <c r="D418" s="37"/>
      <c r="E418" s="37"/>
      <c r="F418" s="37"/>
      <c r="G418" s="37"/>
      <c r="H418" s="37"/>
      <c r="I418" s="37"/>
      <c r="J418" s="52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>
      <c r="A419" s="37"/>
      <c r="B419" s="37"/>
      <c r="C419" s="37"/>
      <c r="D419" s="37"/>
      <c r="E419" s="37"/>
      <c r="F419" s="37"/>
      <c r="G419" s="37"/>
      <c r="H419" s="37"/>
      <c r="I419" s="37"/>
      <c r="J419" s="52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>
      <c r="A420" s="37"/>
      <c r="B420" s="37"/>
      <c r="C420" s="37"/>
      <c r="D420" s="37"/>
      <c r="E420" s="37"/>
      <c r="F420" s="37"/>
      <c r="G420" s="37"/>
      <c r="H420" s="37"/>
      <c r="I420" s="37"/>
      <c r="J420" s="52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>
      <c r="A421" s="37"/>
      <c r="B421" s="37"/>
      <c r="C421" s="37"/>
      <c r="D421" s="37"/>
      <c r="E421" s="37"/>
      <c r="F421" s="37"/>
      <c r="G421" s="37"/>
      <c r="H421" s="37"/>
      <c r="I421" s="37"/>
      <c r="J421" s="52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>
      <c r="A422" s="37"/>
      <c r="B422" s="37"/>
      <c r="C422" s="37"/>
      <c r="D422" s="37"/>
      <c r="E422" s="37"/>
      <c r="F422" s="37"/>
      <c r="G422" s="37"/>
      <c r="H422" s="37"/>
      <c r="I422" s="37"/>
      <c r="J422" s="52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>
      <c r="A423" s="37"/>
      <c r="B423" s="37"/>
      <c r="C423" s="37"/>
      <c r="D423" s="37"/>
      <c r="E423" s="37"/>
      <c r="F423" s="37"/>
      <c r="G423" s="37"/>
      <c r="H423" s="37"/>
      <c r="I423" s="37"/>
      <c r="J423" s="52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>
      <c r="A424" s="37"/>
      <c r="B424" s="37"/>
      <c r="C424" s="37"/>
      <c r="D424" s="37"/>
      <c r="E424" s="37"/>
      <c r="F424" s="37"/>
      <c r="G424" s="37"/>
      <c r="H424" s="37"/>
      <c r="I424" s="37"/>
      <c r="J424" s="52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>
      <c r="A425" s="37"/>
      <c r="B425" s="37"/>
      <c r="C425" s="37"/>
      <c r="D425" s="37"/>
      <c r="E425" s="37"/>
      <c r="F425" s="37"/>
      <c r="G425" s="37"/>
      <c r="H425" s="37"/>
      <c r="I425" s="37"/>
      <c r="J425" s="52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>
      <c r="A426" s="37"/>
      <c r="B426" s="37"/>
      <c r="C426" s="37"/>
      <c r="D426" s="37"/>
      <c r="E426" s="37"/>
      <c r="F426" s="37"/>
      <c r="G426" s="37"/>
      <c r="H426" s="37"/>
      <c r="I426" s="37"/>
      <c r="J426" s="52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>
      <c r="A427" s="37"/>
      <c r="B427" s="37"/>
      <c r="C427" s="37"/>
      <c r="D427" s="37"/>
      <c r="E427" s="37"/>
      <c r="F427" s="37"/>
      <c r="G427" s="37"/>
      <c r="H427" s="37"/>
      <c r="I427" s="37"/>
      <c r="J427" s="52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>
      <c r="A428" s="37"/>
      <c r="B428" s="37"/>
      <c r="C428" s="37"/>
      <c r="D428" s="37"/>
      <c r="E428" s="37"/>
      <c r="F428" s="37"/>
      <c r="G428" s="37"/>
      <c r="H428" s="37"/>
      <c r="I428" s="37"/>
      <c r="J428" s="52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>
      <c r="A429" s="37"/>
      <c r="B429" s="37"/>
      <c r="C429" s="37"/>
      <c r="D429" s="37"/>
      <c r="E429" s="37"/>
      <c r="F429" s="37"/>
      <c r="G429" s="37"/>
      <c r="H429" s="37"/>
      <c r="I429" s="37"/>
      <c r="J429" s="52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>
      <c r="A430" s="37"/>
      <c r="B430" s="37"/>
      <c r="C430" s="37"/>
      <c r="D430" s="37"/>
      <c r="E430" s="37"/>
      <c r="F430" s="37"/>
      <c r="G430" s="37"/>
      <c r="H430" s="37"/>
      <c r="I430" s="37"/>
      <c r="J430" s="52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>
      <c r="A431" s="37"/>
      <c r="B431" s="37"/>
      <c r="C431" s="37"/>
      <c r="D431" s="37"/>
      <c r="E431" s="37"/>
      <c r="F431" s="37"/>
      <c r="G431" s="37"/>
      <c r="H431" s="37"/>
      <c r="I431" s="37"/>
      <c r="J431" s="52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>
      <c r="A432" s="37"/>
      <c r="B432" s="37"/>
      <c r="C432" s="37"/>
      <c r="D432" s="37"/>
      <c r="E432" s="37"/>
      <c r="F432" s="37"/>
      <c r="G432" s="37"/>
      <c r="H432" s="37"/>
      <c r="I432" s="37"/>
      <c r="J432" s="52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>
      <c r="A433" s="37"/>
      <c r="B433" s="37"/>
      <c r="C433" s="37"/>
      <c r="D433" s="37"/>
      <c r="E433" s="37"/>
      <c r="F433" s="37"/>
      <c r="G433" s="37"/>
      <c r="H433" s="37"/>
      <c r="I433" s="37"/>
      <c r="J433" s="52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>
      <c r="A434" s="37"/>
      <c r="B434" s="37"/>
      <c r="C434" s="37"/>
      <c r="D434" s="37"/>
      <c r="E434" s="37"/>
      <c r="F434" s="37"/>
      <c r="G434" s="37"/>
      <c r="H434" s="37"/>
      <c r="I434" s="37"/>
      <c r="J434" s="52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>
      <c r="A435" s="37"/>
      <c r="B435" s="37"/>
      <c r="C435" s="37"/>
      <c r="D435" s="37"/>
      <c r="E435" s="37"/>
      <c r="F435" s="37"/>
      <c r="G435" s="37"/>
      <c r="H435" s="37"/>
      <c r="I435" s="37"/>
      <c r="J435" s="52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>
      <c r="A436" s="37"/>
      <c r="B436" s="37"/>
      <c r="C436" s="37"/>
      <c r="D436" s="37"/>
      <c r="E436" s="37"/>
      <c r="F436" s="37"/>
      <c r="G436" s="37"/>
      <c r="H436" s="37"/>
      <c r="I436" s="37"/>
      <c r="J436" s="52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>
      <c r="A437" s="37"/>
      <c r="B437" s="37"/>
      <c r="C437" s="37"/>
      <c r="D437" s="37"/>
      <c r="E437" s="37"/>
      <c r="F437" s="37"/>
      <c r="G437" s="37"/>
      <c r="H437" s="37"/>
      <c r="I437" s="37"/>
      <c r="J437" s="52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>
      <c r="A438" s="37"/>
      <c r="B438" s="37"/>
      <c r="C438" s="37"/>
      <c r="D438" s="37"/>
      <c r="E438" s="37"/>
      <c r="F438" s="37"/>
      <c r="G438" s="37"/>
      <c r="H438" s="37"/>
      <c r="I438" s="37"/>
      <c r="J438" s="52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>
      <c r="A439" s="37"/>
      <c r="B439" s="37"/>
      <c r="C439" s="37"/>
      <c r="D439" s="37"/>
      <c r="E439" s="37"/>
      <c r="F439" s="37"/>
      <c r="G439" s="37"/>
      <c r="H439" s="37"/>
      <c r="I439" s="37"/>
      <c r="J439" s="52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>
      <c r="A440" s="37"/>
      <c r="B440" s="37"/>
      <c r="C440" s="37"/>
      <c r="D440" s="37"/>
      <c r="E440" s="37"/>
      <c r="F440" s="37"/>
      <c r="G440" s="37"/>
      <c r="H440" s="37"/>
      <c r="I440" s="37"/>
      <c r="J440" s="52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>
      <c r="A441" s="37"/>
      <c r="B441" s="37"/>
      <c r="C441" s="37"/>
      <c r="D441" s="37"/>
      <c r="E441" s="37"/>
      <c r="F441" s="37"/>
      <c r="G441" s="37"/>
      <c r="H441" s="37"/>
      <c r="I441" s="37"/>
      <c r="J441" s="52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>
      <c r="A442" s="37"/>
      <c r="B442" s="37"/>
      <c r="C442" s="37"/>
      <c r="D442" s="37"/>
      <c r="E442" s="37"/>
      <c r="F442" s="37"/>
      <c r="G442" s="37"/>
      <c r="H442" s="37"/>
      <c r="I442" s="37"/>
      <c r="J442" s="52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>
      <c r="A443" s="37"/>
      <c r="B443" s="37"/>
      <c r="C443" s="37"/>
      <c r="D443" s="37"/>
      <c r="E443" s="37"/>
      <c r="F443" s="37"/>
      <c r="G443" s="37"/>
      <c r="H443" s="37"/>
      <c r="I443" s="37"/>
      <c r="J443" s="52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>
      <c r="A444" s="37"/>
      <c r="B444" s="37"/>
      <c r="C444" s="37"/>
      <c r="D444" s="37"/>
      <c r="E444" s="37"/>
      <c r="F444" s="37"/>
      <c r="G444" s="37"/>
      <c r="H444" s="37"/>
      <c r="I444" s="37"/>
      <c r="J444" s="52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>
      <c r="A445" s="37"/>
      <c r="B445" s="37"/>
      <c r="C445" s="37"/>
      <c r="D445" s="37"/>
      <c r="E445" s="37"/>
      <c r="F445" s="37"/>
      <c r="G445" s="37"/>
      <c r="H445" s="37"/>
      <c r="I445" s="37"/>
      <c r="J445" s="52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>
      <c r="A446" s="37"/>
      <c r="B446" s="37"/>
      <c r="C446" s="37"/>
      <c r="D446" s="37"/>
      <c r="E446" s="37"/>
      <c r="F446" s="37"/>
      <c r="G446" s="37"/>
      <c r="H446" s="37"/>
      <c r="I446" s="37"/>
      <c r="J446" s="52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>
      <c r="A447" s="37"/>
      <c r="B447" s="37"/>
      <c r="C447" s="37"/>
      <c r="D447" s="37"/>
      <c r="E447" s="37"/>
      <c r="F447" s="37"/>
      <c r="G447" s="37"/>
      <c r="H447" s="37"/>
      <c r="I447" s="37"/>
      <c r="J447" s="52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>
      <c r="A448" s="37"/>
      <c r="B448" s="37"/>
      <c r="C448" s="37"/>
      <c r="D448" s="37"/>
      <c r="E448" s="37"/>
      <c r="F448" s="37"/>
      <c r="G448" s="37"/>
      <c r="H448" s="37"/>
      <c r="I448" s="37"/>
      <c r="J448" s="52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>
      <c r="A449" s="37"/>
      <c r="B449" s="37"/>
      <c r="C449" s="37"/>
      <c r="D449" s="37"/>
      <c r="E449" s="37"/>
      <c r="F449" s="37"/>
      <c r="G449" s="37"/>
      <c r="H449" s="37"/>
      <c r="I449" s="37"/>
      <c r="J449" s="52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>
      <c r="A450" s="37"/>
      <c r="B450" s="37"/>
      <c r="C450" s="37"/>
      <c r="D450" s="37"/>
      <c r="E450" s="37"/>
      <c r="F450" s="37"/>
      <c r="G450" s="37"/>
      <c r="H450" s="37"/>
      <c r="I450" s="37"/>
      <c r="J450" s="52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>
      <c r="A451" s="37"/>
      <c r="B451" s="37"/>
      <c r="C451" s="37"/>
      <c r="D451" s="37"/>
      <c r="E451" s="37"/>
      <c r="F451" s="37"/>
      <c r="G451" s="37"/>
      <c r="H451" s="37"/>
      <c r="I451" s="37"/>
      <c r="J451" s="52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>
      <c r="A452" s="37"/>
      <c r="B452" s="37"/>
      <c r="C452" s="37"/>
      <c r="D452" s="37"/>
      <c r="E452" s="37"/>
      <c r="F452" s="37"/>
      <c r="G452" s="37"/>
      <c r="H452" s="37"/>
      <c r="I452" s="37"/>
      <c r="J452" s="52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>
      <c r="A453" s="37"/>
      <c r="B453" s="37"/>
      <c r="C453" s="37"/>
      <c r="D453" s="37"/>
      <c r="E453" s="37"/>
      <c r="F453" s="37"/>
      <c r="G453" s="37"/>
      <c r="H453" s="37"/>
      <c r="I453" s="37"/>
      <c r="J453" s="52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>
      <c r="A454" s="37"/>
      <c r="B454" s="37"/>
      <c r="C454" s="37"/>
      <c r="D454" s="37"/>
      <c r="E454" s="37"/>
      <c r="F454" s="37"/>
      <c r="G454" s="37"/>
      <c r="H454" s="37"/>
      <c r="I454" s="37"/>
      <c r="J454" s="52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>
      <c r="A455" s="37"/>
      <c r="B455" s="37"/>
      <c r="C455" s="37"/>
      <c r="D455" s="37"/>
      <c r="E455" s="37"/>
      <c r="F455" s="37"/>
      <c r="G455" s="37"/>
      <c r="H455" s="37"/>
      <c r="I455" s="37"/>
      <c r="J455" s="52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>
      <c r="A456" s="37"/>
      <c r="B456" s="37"/>
      <c r="C456" s="37"/>
      <c r="D456" s="37"/>
      <c r="E456" s="37"/>
      <c r="F456" s="37"/>
      <c r="G456" s="37"/>
      <c r="H456" s="37"/>
      <c r="I456" s="37"/>
      <c r="J456" s="52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>
      <c r="A457" s="37"/>
      <c r="B457" s="37"/>
      <c r="C457" s="37"/>
      <c r="D457" s="37"/>
      <c r="E457" s="37"/>
      <c r="F457" s="37"/>
      <c r="G457" s="37"/>
      <c r="H457" s="37"/>
      <c r="I457" s="37"/>
      <c r="J457" s="52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>
      <c r="A458" s="37"/>
      <c r="B458" s="37"/>
      <c r="C458" s="37"/>
      <c r="D458" s="37"/>
      <c r="E458" s="37"/>
      <c r="F458" s="37"/>
      <c r="G458" s="37"/>
      <c r="H458" s="37"/>
      <c r="I458" s="37"/>
      <c r="J458" s="52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>
      <c r="A459" s="37"/>
      <c r="B459" s="37"/>
      <c r="C459" s="37"/>
      <c r="D459" s="37"/>
      <c r="E459" s="37"/>
      <c r="F459" s="37"/>
      <c r="G459" s="37"/>
      <c r="H459" s="37"/>
      <c r="I459" s="37"/>
      <c r="J459" s="52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>
      <c r="A460" s="37"/>
      <c r="B460" s="37"/>
      <c r="C460" s="37"/>
      <c r="D460" s="37"/>
      <c r="E460" s="37"/>
      <c r="F460" s="37"/>
      <c r="G460" s="37"/>
      <c r="H460" s="37"/>
      <c r="I460" s="37"/>
      <c r="J460" s="52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>
      <c r="A461" s="37"/>
      <c r="B461" s="37"/>
      <c r="C461" s="37"/>
      <c r="D461" s="37"/>
      <c r="E461" s="37"/>
      <c r="F461" s="37"/>
      <c r="G461" s="37"/>
      <c r="H461" s="37"/>
      <c r="I461" s="37"/>
      <c r="J461" s="52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>
      <c r="A462" s="37"/>
      <c r="B462" s="37"/>
      <c r="C462" s="37"/>
      <c r="D462" s="37"/>
      <c r="E462" s="37"/>
      <c r="F462" s="37"/>
      <c r="G462" s="37"/>
      <c r="H462" s="37"/>
      <c r="I462" s="37"/>
      <c r="J462" s="52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>
      <c r="A463" s="37"/>
      <c r="B463" s="37"/>
      <c r="C463" s="37"/>
      <c r="D463" s="37"/>
      <c r="E463" s="37"/>
      <c r="F463" s="37"/>
      <c r="G463" s="37"/>
      <c r="H463" s="37"/>
      <c r="I463" s="37"/>
      <c r="J463" s="52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>
      <c r="A464" s="37"/>
      <c r="B464" s="37"/>
      <c r="C464" s="37"/>
      <c r="D464" s="37"/>
      <c r="E464" s="37"/>
      <c r="F464" s="37"/>
      <c r="G464" s="37"/>
      <c r="H464" s="37"/>
      <c r="I464" s="37"/>
      <c r="J464" s="52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>
      <c r="A465" s="37"/>
      <c r="B465" s="37"/>
      <c r="C465" s="37"/>
      <c r="D465" s="37"/>
      <c r="E465" s="37"/>
      <c r="F465" s="37"/>
      <c r="G465" s="37"/>
      <c r="H465" s="37"/>
      <c r="I465" s="37"/>
      <c r="J465" s="52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>
      <c r="A466" s="37"/>
      <c r="B466" s="37"/>
      <c r="C466" s="37"/>
      <c r="D466" s="37"/>
      <c r="E466" s="37"/>
      <c r="F466" s="37"/>
      <c r="G466" s="37"/>
      <c r="H466" s="37"/>
      <c r="I466" s="37"/>
      <c r="J466" s="52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>
      <c r="A467" s="37"/>
      <c r="B467" s="37"/>
      <c r="C467" s="37"/>
      <c r="D467" s="37"/>
      <c r="E467" s="37"/>
      <c r="F467" s="37"/>
      <c r="G467" s="37"/>
      <c r="H467" s="37"/>
      <c r="I467" s="37"/>
      <c r="J467" s="52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>
      <c r="A468" s="37"/>
      <c r="B468" s="37"/>
      <c r="C468" s="37"/>
      <c r="D468" s="37"/>
      <c r="E468" s="37"/>
      <c r="F468" s="37"/>
      <c r="G468" s="37"/>
      <c r="H468" s="37"/>
      <c r="I468" s="37"/>
      <c r="J468" s="52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>
      <c r="A469" s="37"/>
      <c r="B469" s="37"/>
      <c r="C469" s="37"/>
      <c r="D469" s="37"/>
      <c r="E469" s="37"/>
      <c r="F469" s="37"/>
      <c r="G469" s="37"/>
      <c r="H469" s="37"/>
      <c r="I469" s="37"/>
      <c r="J469" s="52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>
      <c r="A470" s="37"/>
      <c r="B470" s="37"/>
      <c r="C470" s="37"/>
      <c r="D470" s="37"/>
      <c r="E470" s="37"/>
      <c r="F470" s="37"/>
      <c r="G470" s="37"/>
      <c r="H470" s="37"/>
      <c r="I470" s="37"/>
      <c r="J470" s="52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>
      <c r="A471" s="37"/>
      <c r="B471" s="37"/>
      <c r="C471" s="37"/>
      <c r="D471" s="37"/>
      <c r="E471" s="37"/>
      <c r="F471" s="37"/>
      <c r="G471" s="37"/>
      <c r="H471" s="37"/>
      <c r="I471" s="37"/>
      <c r="J471" s="52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>
      <c r="A472" s="37"/>
      <c r="B472" s="37"/>
      <c r="C472" s="37"/>
      <c r="D472" s="37"/>
      <c r="E472" s="37"/>
      <c r="F472" s="37"/>
      <c r="G472" s="37"/>
      <c r="H472" s="37"/>
      <c r="I472" s="37"/>
      <c r="J472" s="52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>
      <c r="A473" s="37"/>
      <c r="B473" s="37"/>
      <c r="C473" s="37"/>
      <c r="D473" s="37"/>
      <c r="E473" s="37"/>
      <c r="F473" s="37"/>
      <c r="G473" s="37"/>
      <c r="H473" s="37"/>
      <c r="I473" s="37"/>
      <c r="J473" s="52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>
      <c r="A474" s="37"/>
      <c r="B474" s="37"/>
      <c r="C474" s="37"/>
      <c r="D474" s="37"/>
      <c r="E474" s="37"/>
      <c r="F474" s="37"/>
      <c r="G474" s="37"/>
      <c r="H474" s="37"/>
      <c r="I474" s="37"/>
      <c r="J474" s="52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>
      <c r="A475" s="37"/>
      <c r="B475" s="37"/>
      <c r="C475" s="37"/>
      <c r="D475" s="37"/>
      <c r="E475" s="37"/>
      <c r="F475" s="37"/>
      <c r="G475" s="37"/>
      <c r="H475" s="37"/>
      <c r="I475" s="37"/>
      <c r="J475" s="52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>
      <c r="A476" s="37"/>
      <c r="B476" s="37"/>
      <c r="C476" s="37"/>
      <c r="D476" s="37"/>
      <c r="E476" s="37"/>
      <c r="F476" s="37"/>
      <c r="G476" s="37"/>
      <c r="H476" s="37"/>
      <c r="I476" s="37"/>
      <c r="J476" s="52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>
      <c r="A477" s="37"/>
      <c r="B477" s="37"/>
      <c r="C477" s="37"/>
      <c r="D477" s="37"/>
      <c r="E477" s="37"/>
      <c r="F477" s="37"/>
      <c r="G477" s="37"/>
      <c r="H477" s="37"/>
      <c r="I477" s="37"/>
      <c r="J477" s="52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>
      <c r="A478" s="37"/>
      <c r="B478" s="37"/>
      <c r="C478" s="37"/>
      <c r="D478" s="37"/>
      <c r="E478" s="37"/>
      <c r="F478" s="37"/>
      <c r="G478" s="37"/>
      <c r="H478" s="37"/>
      <c r="I478" s="37"/>
      <c r="J478" s="52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>
      <c r="A479" s="37"/>
      <c r="B479" s="37"/>
      <c r="C479" s="37"/>
      <c r="D479" s="37"/>
      <c r="E479" s="37"/>
      <c r="F479" s="37"/>
      <c r="G479" s="37"/>
      <c r="H479" s="37"/>
      <c r="I479" s="37"/>
      <c r="J479" s="52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>
      <c r="A480" s="37"/>
      <c r="B480" s="37"/>
      <c r="C480" s="37"/>
      <c r="D480" s="37"/>
      <c r="E480" s="37"/>
      <c r="F480" s="37"/>
      <c r="G480" s="37"/>
      <c r="H480" s="37"/>
      <c r="I480" s="37"/>
      <c r="J480" s="52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>
      <c r="A481" s="37"/>
      <c r="B481" s="37"/>
      <c r="C481" s="37"/>
      <c r="D481" s="37"/>
      <c r="E481" s="37"/>
      <c r="F481" s="37"/>
      <c r="G481" s="37"/>
      <c r="H481" s="37"/>
      <c r="I481" s="37"/>
      <c r="J481" s="52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>
      <c r="A482" s="37"/>
      <c r="B482" s="37"/>
      <c r="C482" s="37"/>
      <c r="D482" s="37"/>
      <c r="E482" s="37"/>
      <c r="F482" s="37"/>
      <c r="G482" s="37"/>
      <c r="H482" s="37"/>
      <c r="I482" s="37"/>
      <c r="J482" s="52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>
      <c r="A483" s="37"/>
      <c r="B483" s="37"/>
      <c r="C483" s="37"/>
      <c r="D483" s="37"/>
      <c r="E483" s="37"/>
      <c r="F483" s="37"/>
      <c r="G483" s="37"/>
      <c r="H483" s="37"/>
      <c r="I483" s="37"/>
      <c r="J483" s="52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>
      <c r="A484" s="37"/>
      <c r="B484" s="37"/>
      <c r="C484" s="37"/>
      <c r="D484" s="37"/>
      <c r="E484" s="37"/>
      <c r="F484" s="37"/>
      <c r="G484" s="37"/>
      <c r="H484" s="37"/>
      <c r="I484" s="37"/>
      <c r="J484" s="52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>
      <c r="A485" s="37"/>
      <c r="B485" s="37"/>
      <c r="C485" s="37"/>
      <c r="D485" s="37"/>
      <c r="E485" s="37"/>
      <c r="F485" s="37"/>
      <c r="G485" s="37"/>
      <c r="H485" s="37"/>
      <c r="I485" s="37"/>
      <c r="J485" s="52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>
      <c r="A486" s="37"/>
      <c r="B486" s="37"/>
      <c r="C486" s="37"/>
      <c r="D486" s="37"/>
      <c r="E486" s="37"/>
      <c r="F486" s="37"/>
      <c r="G486" s="37"/>
      <c r="H486" s="37"/>
      <c r="I486" s="37"/>
      <c r="J486" s="52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>
      <c r="A487" s="37"/>
      <c r="B487" s="37"/>
      <c r="C487" s="37"/>
      <c r="D487" s="37"/>
      <c r="E487" s="37"/>
      <c r="F487" s="37"/>
      <c r="G487" s="37"/>
      <c r="H487" s="37"/>
      <c r="I487" s="37"/>
      <c r="J487" s="52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>
      <c r="A488" s="37"/>
      <c r="B488" s="37"/>
      <c r="C488" s="37"/>
      <c r="D488" s="37"/>
      <c r="E488" s="37"/>
      <c r="F488" s="37"/>
      <c r="G488" s="37"/>
      <c r="H488" s="37"/>
      <c r="I488" s="37"/>
      <c r="J488" s="52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>
      <c r="A489" s="37"/>
      <c r="B489" s="37"/>
      <c r="C489" s="37"/>
      <c r="D489" s="37"/>
      <c r="E489" s="37"/>
      <c r="F489" s="37"/>
      <c r="G489" s="37"/>
      <c r="H489" s="37"/>
      <c r="I489" s="37"/>
      <c r="J489" s="52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>
      <c r="A490" s="37"/>
      <c r="B490" s="37"/>
      <c r="C490" s="37"/>
      <c r="D490" s="37"/>
      <c r="E490" s="37"/>
      <c r="F490" s="37"/>
      <c r="G490" s="37"/>
      <c r="H490" s="37"/>
      <c r="I490" s="37"/>
      <c r="J490" s="52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>
      <c r="A491" s="37"/>
      <c r="B491" s="37"/>
      <c r="C491" s="37"/>
      <c r="D491" s="37"/>
      <c r="E491" s="37"/>
      <c r="F491" s="37"/>
      <c r="G491" s="37"/>
      <c r="H491" s="37"/>
      <c r="I491" s="37"/>
      <c r="J491" s="52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>
      <c r="A492" s="37"/>
      <c r="B492" s="37"/>
      <c r="C492" s="37"/>
      <c r="D492" s="37"/>
      <c r="E492" s="37"/>
      <c r="F492" s="37"/>
      <c r="G492" s="37"/>
      <c r="H492" s="37"/>
      <c r="I492" s="37"/>
      <c r="J492" s="52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>
      <c r="A493" s="37"/>
      <c r="B493" s="37"/>
      <c r="C493" s="37"/>
      <c r="D493" s="37"/>
      <c r="E493" s="37"/>
      <c r="F493" s="37"/>
      <c r="G493" s="37"/>
      <c r="H493" s="37"/>
      <c r="I493" s="37"/>
      <c r="J493" s="52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>
      <c r="A494" s="37"/>
      <c r="B494" s="37"/>
      <c r="C494" s="37"/>
      <c r="D494" s="37"/>
      <c r="E494" s="37"/>
      <c r="F494" s="37"/>
      <c r="G494" s="37"/>
      <c r="H494" s="37"/>
      <c r="I494" s="37"/>
      <c r="J494" s="52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>
      <c r="A495" s="37"/>
      <c r="B495" s="37"/>
      <c r="C495" s="37"/>
      <c r="D495" s="37"/>
      <c r="E495" s="37"/>
      <c r="F495" s="37"/>
      <c r="G495" s="37"/>
      <c r="H495" s="37"/>
      <c r="I495" s="37"/>
      <c r="J495" s="52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>
      <c r="A496" s="37"/>
      <c r="B496" s="37"/>
      <c r="C496" s="37"/>
      <c r="D496" s="37"/>
      <c r="E496" s="37"/>
      <c r="F496" s="37"/>
      <c r="G496" s="37"/>
      <c r="H496" s="37"/>
      <c r="I496" s="37"/>
      <c r="J496" s="52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>
      <c r="A497" s="37"/>
      <c r="B497" s="37"/>
      <c r="C497" s="37"/>
      <c r="D497" s="37"/>
      <c r="E497" s="37"/>
      <c r="F497" s="37"/>
      <c r="G497" s="37"/>
      <c r="H497" s="37"/>
      <c r="I497" s="37"/>
      <c r="J497" s="52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>
      <c r="A498" s="37"/>
      <c r="B498" s="37"/>
      <c r="C498" s="37"/>
      <c r="D498" s="37"/>
      <c r="E498" s="37"/>
      <c r="F498" s="37"/>
      <c r="G498" s="37"/>
      <c r="H498" s="37"/>
      <c r="I498" s="37"/>
      <c r="J498" s="52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>
      <c r="A499" s="37"/>
      <c r="B499" s="37"/>
      <c r="C499" s="37"/>
      <c r="D499" s="37"/>
      <c r="E499" s="37"/>
      <c r="F499" s="37"/>
      <c r="G499" s="37"/>
      <c r="H499" s="37"/>
      <c r="I499" s="37"/>
      <c r="J499" s="52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>
      <c r="A500" s="37"/>
      <c r="B500" s="37"/>
      <c r="C500" s="37"/>
      <c r="D500" s="37"/>
      <c r="E500" s="37"/>
      <c r="F500" s="37"/>
      <c r="G500" s="37"/>
      <c r="H500" s="37"/>
      <c r="I500" s="37"/>
      <c r="J500" s="52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>
      <c r="A501" s="37"/>
      <c r="B501" s="37"/>
      <c r="C501" s="37"/>
      <c r="D501" s="37"/>
      <c r="E501" s="37"/>
      <c r="F501" s="37"/>
      <c r="G501" s="37"/>
      <c r="H501" s="37"/>
      <c r="I501" s="37"/>
      <c r="J501" s="52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>
      <c r="A502" s="37"/>
      <c r="B502" s="37"/>
      <c r="C502" s="37"/>
      <c r="D502" s="37"/>
      <c r="E502" s="37"/>
      <c r="F502" s="37"/>
      <c r="G502" s="37"/>
      <c r="H502" s="37"/>
      <c r="I502" s="37"/>
      <c r="J502" s="52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>
      <c r="A503" s="37"/>
      <c r="B503" s="37"/>
      <c r="C503" s="37"/>
      <c r="D503" s="37"/>
      <c r="E503" s="37"/>
      <c r="F503" s="37"/>
      <c r="G503" s="37"/>
      <c r="H503" s="37"/>
      <c r="I503" s="37"/>
      <c r="J503" s="52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>
      <c r="A504" s="37"/>
      <c r="B504" s="37"/>
      <c r="C504" s="37"/>
      <c r="D504" s="37"/>
      <c r="E504" s="37"/>
      <c r="F504" s="37"/>
      <c r="G504" s="37"/>
      <c r="H504" s="37"/>
      <c r="I504" s="37"/>
      <c r="J504" s="52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>
      <c r="A505" s="37"/>
      <c r="B505" s="37"/>
      <c r="C505" s="37"/>
      <c r="D505" s="37"/>
      <c r="E505" s="37"/>
      <c r="F505" s="37"/>
      <c r="G505" s="37"/>
      <c r="H505" s="37"/>
      <c r="I505" s="37"/>
      <c r="J505" s="52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>
      <c r="A506" s="37"/>
      <c r="B506" s="37"/>
      <c r="C506" s="37"/>
      <c r="D506" s="37"/>
      <c r="E506" s="37"/>
      <c r="F506" s="37"/>
      <c r="G506" s="37"/>
      <c r="H506" s="37"/>
      <c r="I506" s="37"/>
      <c r="J506" s="52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>
      <c r="A507" s="37"/>
      <c r="B507" s="37"/>
      <c r="C507" s="37"/>
      <c r="D507" s="37"/>
      <c r="E507" s="37"/>
      <c r="F507" s="37"/>
      <c r="G507" s="37"/>
      <c r="H507" s="37"/>
      <c r="I507" s="37"/>
      <c r="J507" s="52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>
      <c r="A508" s="37"/>
      <c r="B508" s="37"/>
      <c r="C508" s="37"/>
      <c r="D508" s="37"/>
      <c r="E508" s="37"/>
      <c r="F508" s="37"/>
      <c r="G508" s="37"/>
      <c r="H508" s="37"/>
      <c r="I508" s="37"/>
      <c r="J508" s="52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>
      <c r="A509" s="37"/>
      <c r="B509" s="37"/>
      <c r="C509" s="37"/>
      <c r="D509" s="37"/>
      <c r="E509" s="37"/>
      <c r="F509" s="37"/>
      <c r="G509" s="37"/>
      <c r="H509" s="37"/>
      <c r="I509" s="37"/>
      <c r="J509" s="52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>
      <c r="A510" s="37"/>
      <c r="B510" s="37"/>
      <c r="C510" s="37"/>
      <c r="D510" s="37"/>
      <c r="E510" s="37"/>
      <c r="F510" s="37"/>
      <c r="G510" s="37"/>
      <c r="H510" s="37"/>
      <c r="I510" s="37"/>
      <c r="J510" s="52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>
      <c r="A511" s="37"/>
      <c r="B511" s="37"/>
      <c r="C511" s="37"/>
      <c r="D511" s="37"/>
      <c r="E511" s="37"/>
      <c r="F511" s="37"/>
      <c r="G511" s="37"/>
      <c r="H511" s="37"/>
      <c r="I511" s="37"/>
      <c r="J511" s="52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>
      <c r="A512" s="37"/>
      <c r="B512" s="37"/>
      <c r="C512" s="37"/>
      <c r="D512" s="37"/>
      <c r="E512" s="37"/>
      <c r="F512" s="37"/>
      <c r="G512" s="37"/>
      <c r="H512" s="37"/>
      <c r="I512" s="37"/>
      <c r="J512" s="52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>
      <c r="A513" s="37"/>
      <c r="B513" s="37"/>
      <c r="C513" s="37"/>
      <c r="D513" s="37"/>
      <c r="E513" s="37"/>
      <c r="F513" s="37"/>
      <c r="G513" s="37"/>
      <c r="H513" s="37"/>
      <c r="I513" s="37"/>
      <c r="J513" s="52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>
      <c r="A514" s="37"/>
      <c r="B514" s="37"/>
      <c r="C514" s="37"/>
      <c r="D514" s="37"/>
      <c r="E514" s="37"/>
      <c r="F514" s="37"/>
      <c r="G514" s="37"/>
      <c r="H514" s="37"/>
      <c r="I514" s="37"/>
      <c r="J514" s="52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>
      <c r="A515" s="37"/>
      <c r="B515" s="37"/>
      <c r="C515" s="37"/>
      <c r="D515" s="37"/>
      <c r="E515" s="37"/>
      <c r="F515" s="37"/>
      <c r="G515" s="37"/>
      <c r="H515" s="37"/>
      <c r="I515" s="37"/>
      <c r="J515" s="52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>
      <c r="A516" s="37"/>
      <c r="B516" s="37"/>
      <c r="C516" s="37"/>
      <c r="D516" s="37"/>
      <c r="E516" s="37"/>
      <c r="F516" s="37"/>
      <c r="G516" s="37"/>
      <c r="H516" s="37"/>
      <c r="I516" s="37"/>
      <c r="J516" s="52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>
      <c r="A517" s="37"/>
      <c r="B517" s="37"/>
      <c r="C517" s="37"/>
      <c r="D517" s="37"/>
      <c r="E517" s="37"/>
      <c r="F517" s="37"/>
      <c r="G517" s="37"/>
      <c r="H517" s="37"/>
      <c r="I517" s="37"/>
      <c r="J517" s="52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>
      <c r="A518" s="37"/>
      <c r="B518" s="37"/>
      <c r="C518" s="37"/>
      <c r="D518" s="37"/>
      <c r="E518" s="37"/>
      <c r="F518" s="37"/>
      <c r="G518" s="37"/>
      <c r="H518" s="37"/>
      <c r="I518" s="37"/>
      <c r="J518" s="52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>
      <c r="A519" s="37"/>
      <c r="B519" s="37"/>
      <c r="C519" s="37"/>
      <c r="D519" s="37"/>
      <c r="E519" s="37"/>
      <c r="F519" s="37"/>
      <c r="G519" s="37"/>
      <c r="H519" s="37"/>
      <c r="I519" s="37"/>
      <c r="J519" s="52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>
      <c r="A520" s="37"/>
      <c r="B520" s="37"/>
      <c r="C520" s="37"/>
      <c r="D520" s="37"/>
      <c r="E520" s="37"/>
      <c r="F520" s="37"/>
      <c r="G520" s="37"/>
      <c r="H520" s="37"/>
      <c r="I520" s="37"/>
      <c r="J520" s="52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>
      <c r="A521" s="37"/>
      <c r="B521" s="37"/>
      <c r="C521" s="37"/>
      <c r="D521" s="37"/>
      <c r="E521" s="37"/>
      <c r="F521" s="37"/>
      <c r="G521" s="37"/>
      <c r="H521" s="37"/>
      <c r="I521" s="37"/>
      <c r="J521" s="52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>
      <c r="A522" s="37"/>
      <c r="B522" s="37"/>
      <c r="C522" s="37"/>
      <c r="D522" s="37"/>
      <c r="E522" s="37"/>
      <c r="F522" s="37"/>
      <c r="G522" s="37"/>
      <c r="H522" s="37"/>
      <c r="I522" s="37"/>
      <c r="J522" s="52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>
      <c r="A523" s="37"/>
      <c r="B523" s="37"/>
      <c r="C523" s="37"/>
      <c r="D523" s="37"/>
      <c r="E523" s="37"/>
      <c r="F523" s="37"/>
      <c r="G523" s="37"/>
      <c r="H523" s="37"/>
      <c r="I523" s="37"/>
      <c r="J523" s="52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>
      <c r="A524" s="37"/>
      <c r="B524" s="37"/>
      <c r="C524" s="37"/>
      <c r="D524" s="37"/>
      <c r="E524" s="37"/>
      <c r="F524" s="37"/>
      <c r="G524" s="37"/>
      <c r="H524" s="37"/>
      <c r="I524" s="37"/>
      <c r="J524" s="52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>
      <c r="A525" s="37"/>
      <c r="B525" s="37"/>
      <c r="C525" s="37"/>
      <c r="D525" s="37"/>
      <c r="E525" s="37"/>
      <c r="F525" s="37"/>
      <c r="G525" s="37"/>
      <c r="H525" s="37"/>
      <c r="I525" s="37"/>
      <c r="J525" s="52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>
      <c r="A526" s="37"/>
      <c r="B526" s="37"/>
      <c r="C526" s="37"/>
      <c r="D526" s="37"/>
      <c r="E526" s="37"/>
      <c r="F526" s="37"/>
      <c r="G526" s="37"/>
      <c r="H526" s="37"/>
      <c r="I526" s="37"/>
      <c r="J526" s="52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>
      <c r="A527" s="37"/>
      <c r="B527" s="37"/>
      <c r="C527" s="37"/>
      <c r="D527" s="37"/>
      <c r="E527" s="37"/>
      <c r="F527" s="37"/>
      <c r="G527" s="37"/>
      <c r="H527" s="37"/>
      <c r="I527" s="37"/>
      <c r="J527" s="52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>
      <c r="A528" s="37"/>
      <c r="B528" s="37"/>
      <c r="C528" s="37"/>
      <c r="D528" s="37"/>
      <c r="E528" s="37"/>
      <c r="F528" s="37"/>
      <c r="G528" s="37"/>
      <c r="H528" s="37"/>
      <c r="I528" s="37"/>
      <c r="J528" s="52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>
      <c r="A529" s="37"/>
      <c r="B529" s="37"/>
      <c r="C529" s="37"/>
      <c r="D529" s="37"/>
      <c r="E529" s="37"/>
      <c r="F529" s="37"/>
      <c r="G529" s="37"/>
      <c r="H529" s="37"/>
      <c r="I529" s="37"/>
      <c r="J529" s="52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>
      <c r="A530" s="37"/>
      <c r="B530" s="37"/>
      <c r="C530" s="37"/>
      <c r="D530" s="37"/>
      <c r="E530" s="37"/>
      <c r="F530" s="37"/>
      <c r="G530" s="37"/>
      <c r="H530" s="37"/>
      <c r="I530" s="37"/>
      <c r="J530" s="52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>
      <c r="A531" s="37"/>
      <c r="B531" s="37"/>
      <c r="C531" s="37"/>
      <c r="D531" s="37"/>
      <c r="E531" s="37"/>
      <c r="F531" s="37"/>
      <c r="G531" s="37"/>
      <c r="H531" s="37"/>
      <c r="I531" s="37"/>
      <c r="J531" s="52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>
      <c r="A532" s="37"/>
      <c r="B532" s="37"/>
      <c r="C532" s="37"/>
      <c r="D532" s="37"/>
      <c r="E532" s="37"/>
      <c r="F532" s="37"/>
      <c r="G532" s="37"/>
      <c r="H532" s="37"/>
      <c r="I532" s="37"/>
      <c r="J532" s="52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>
      <c r="A533" s="37"/>
      <c r="B533" s="37"/>
      <c r="C533" s="37"/>
      <c r="D533" s="37"/>
      <c r="E533" s="37"/>
      <c r="F533" s="37"/>
      <c r="G533" s="37"/>
      <c r="H533" s="37"/>
      <c r="I533" s="37"/>
      <c r="J533" s="52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>
      <c r="A534" s="37"/>
      <c r="B534" s="37"/>
      <c r="C534" s="37"/>
      <c r="D534" s="37"/>
      <c r="E534" s="37"/>
      <c r="F534" s="37"/>
      <c r="G534" s="37"/>
      <c r="H534" s="37"/>
      <c r="I534" s="37"/>
      <c r="J534" s="52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>
      <c r="A535" s="37"/>
      <c r="B535" s="37"/>
      <c r="C535" s="37"/>
      <c r="D535" s="37"/>
      <c r="E535" s="37"/>
      <c r="F535" s="37"/>
      <c r="G535" s="37"/>
      <c r="H535" s="37"/>
      <c r="I535" s="37"/>
      <c r="J535" s="52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>
      <c r="A536" s="37"/>
      <c r="B536" s="37"/>
      <c r="C536" s="37"/>
      <c r="D536" s="37"/>
      <c r="E536" s="37"/>
      <c r="F536" s="37"/>
      <c r="G536" s="37"/>
      <c r="H536" s="37"/>
      <c r="I536" s="37"/>
      <c r="J536" s="52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>
      <c r="A537" s="37"/>
      <c r="B537" s="37"/>
      <c r="C537" s="37"/>
      <c r="D537" s="37"/>
      <c r="E537" s="37"/>
      <c r="F537" s="37"/>
      <c r="G537" s="37"/>
      <c r="H537" s="37"/>
      <c r="I537" s="37"/>
      <c r="J537" s="52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>
      <c r="A538" s="37"/>
      <c r="B538" s="37"/>
      <c r="C538" s="37"/>
      <c r="D538" s="37"/>
      <c r="E538" s="37"/>
      <c r="F538" s="37"/>
      <c r="G538" s="37"/>
      <c r="H538" s="37"/>
      <c r="I538" s="37"/>
      <c r="J538" s="52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>
      <c r="A539" s="37"/>
      <c r="B539" s="37"/>
      <c r="C539" s="37"/>
      <c r="D539" s="37"/>
      <c r="E539" s="37"/>
      <c r="F539" s="37"/>
      <c r="G539" s="37"/>
      <c r="H539" s="37"/>
      <c r="I539" s="37"/>
      <c r="J539" s="52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>
      <c r="A540" s="37"/>
      <c r="B540" s="37"/>
      <c r="C540" s="37"/>
      <c r="D540" s="37"/>
      <c r="E540" s="37"/>
      <c r="F540" s="37"/>
      <c r="G540" s="37"/>
      <c r="H540" s="37"/>
      <c r="I540" s="37"/>
      <c r="J540" s="52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>
      <c r="A541" s="37"/>
      <c r="B541" s="37"/>
      <c r="C541" s="37"/>
      <c r="D541" s="37"/>
      <c r="E541" s="37"/>
      <c r="F541" s="37"/>
      <c r="G541" s="37"/>
      <c r="H541" s="37"/>
      <c r="I541" s="37"/>
      <c r="J541" s="52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>
      <c r="A542" s="37"/>
      <c r="B542" s="37"/>
      <c r="C542" s="37"/>
      <c r="D542" s="37"/>
      <c r="E542" s="37"/>
      <c r="F542" s="37"/>
      <c r="G542" s="37"/>
      <c r="H542" s="37"/>
      <c r="I542" s="37"/>
      <c r="J542" s="52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>
      <c r="A543" s="37"/>
      <c r="B543" s="37"/>
      <c r="C543" s="37"/>
      <c r="D543" s="37"/>
      <c r="E543" s="37"/>
      <c r="F543" s="37"/>
      <c r="G543" s="37"/>
      <c r="H543" s="37"/>
      <c r="I543" s="37"/>
      <c r="J543" s="52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>
      <c r="A544" s="37"/>
      <c r="B544" s="37"/>
      <c r="C544" s="37"/>
      <c r="D544" s="37"/>
      <c r="E544" s="37"/>
      <c r="F544" s="37"/>
      <c r="G544" s="37"/>
      <c r="H544" s="37"/>
      <c r="I544" s="37"/>
      <c r="J544" s="52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>
      <c r="A545" s="37"/>
      <c r="B545" s="37"/>
      <c r="C545" s="37"/>
      <c r="D545" s="37"/>
      <c r="E545" s="37"/>
      <c r="F545" s="37"/>
      <c r="G545" s="37"/>
      <c r="H545" s="37"/>
      <c r="I545" s="37"/>
      <c r="J545" s="52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>
      <c r="A546" s="37"/>
      <c r="B546" s="37"/>
      <c r="C546" s="37"/>
      <c r="D546" s="37"/>
      <c r="E546" s="37"/>
      <c r="F546" s="37"/>
      <c r="G546" s="37"/>
      <c r="H546" s="37"/>
      <c r="I546" s="37"/>
      <c r="J546" s="52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>
      <c r="A547" s="37"/>
      <c r="B547" s="37"/>
      <c r="C547" s="37"/>
      <c r="D547" s="37"/>
      <c r="E547" s="37"/>
      <c r="F547" s="37"/>
      <c r="G547" s="37"/>
      <c r="H547" s="37"/>
      <c r="I547" s="37"/>
      <c r="J547" s="52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>
      <c r="A548" s="37"/>
      <c r="B548" s="37"/>
      <c r="C548" s="37"/>
      <c r="D548" s="37"/>
      <c r="E548" s="37"/>
      <c r="F548" s="37"/>
      <c r="G548" s="37"/>
      <c r="H548" s="37"/>
      <c r="I548" s="37"/>
      <c r="J548" s="52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>
      <c r="A549" s="37"/>
      <c r="B549" s="37"/>
      <c r="C549" s="37"/>
      <c r="D549" s="37"/>
      <c r="E549" s="37"/>
      <c r="F549" s="37"/>
      <c r="G549" s="37"/>
      <c r="H549" s="37"/>
      <c r="I549" s="37"/>
      <c r="J549" s="52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>
      <c r="A550" s="37"/>
      <c r="B550" s="37"/>
      <c r="C550" s="37"/>
      <c r="D550" s="37"/>
      <c r="E550" s="37"/>
      <c r="F550" s="37"/>
      <c r="G550" s="37"/>
      <c r="H550" s="37"/>
      <c r="I550" s="37"/>
      <c r="J550" s="52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>
      <c r="A551" s="37"/>
      <c r="B551" s="37"/>
      <c r="C551" s="37"/>
      <c r="D551" s="37"/>
      <c r="E551" s="37"/>
      <c r="F551" s="37"/>
      <c r="G551" s="37"/>
      <c r="H551" s="37"/>
      <c r="I551" s="37"/>
      <c r="J551" s="52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>
      <c r="A552" s="37"/>
      <c r="B552" s="37"/>
      <c r="C552" s="37"/>
      <c r="D552" s="37"/>
      <c r="E552" s="37"/>
      <c r="F552" s="37"/>
      <c r="G552" s="37"/>
      <c r="H552" s="37"/>
      <c r="I552" s="37"/>
      <c r="J552" s="52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>
      <c r="A553" s="37"/>
      <c r="B553" s="37"/>
      <c r="C553" s="37"/>
      <c r="D553" s="37"/>
      <c r="E553" s="37"/>
      <c r="F553" s="37"/>
      <c r="G553" s="37"/>
      <c r="H553" s="37"/>
      <c r="I553" s="37"/>
      <c r="J553" s="52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>
      <c r="A554" s="37"/>
      <c r="B554" s="37"/>
      <c r="C554" s="37"/>
      <c r="D554" s="37"/>
      <c r="E554" s="37"/>
      <c r="F554" s="37"/>
      <c r="G554" s="37"/>
      <c r="H554" s="37"/>
      <c r="I554" s="37"/>
      <c r="J554" s="52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>
      <c r="A555" s="37"/>
      <c r="B555" s="37"/>
      <c r="C555" s="37"/>
      <c r="D555" s="37"/>
      <c r="E555" s="37"/>
      <c r="F555" s="37"/>
      <c r="G555" s="37"/>
      <c r="H555" s="37"/>
      <c r="I555" s="37"/>
      <c r="J555" s="52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>
      <c r="A556" s="37"/>
      <c r="B556" s="37"/>
      <c r="C556" s="37"/>
      <c r="D556" s="37"/>
      <c r="E556" s="37"/>
      <c r="F556" s="37"/>
      <c r="G556" s="37"/>
      <c r="H556" s="37"/>
      <c r="I556" s="37"/>
      <c r="J556" s="52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>
      <c r="A557" s="37"/>
      <c r="B557" s="37"/>
      <c r="C557" s="37"/>
      <c r="D557" s="37"/>
      <c r="E557" s="37"/>
      <c r="F557" s="37"/>
      <c r="G557" s="37"/>
      <c r="H557" s="37"/>
      <c r="I557" s="37"/>
      <c r="J557" s="52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>
      <c r="A558" s="37"/>
      <c r="B558" s="37"/>
      <c r="C558" s="37"/>
      <c r="D558" s="37"/>
      <c r="E558" s="37"/>
      <c r="F558" s="37"/>
      <c r="G558" s="37"/>
      <c r="H558" s="37"/>
      <c r="I558" s="37"/>
      <c r="J558" s="52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>
      <c r="A559" s="37"/>
      <c r="B559" s="37"/>
      <c r="C559" s="37"/>
      <c r="D559" s="37"/>
      <c r="E559" s="37"/>
      <c r="F559" s="37"/>
      <c r="G559" s="37"/>
      <c r="H559" s="37"/>
      <c r="I559" s="37"/>
      <c r="J559" s="52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>
      <c r="A560" s="37"/>
      <c r="B560" s="37"/>
      <c r="C560" s="37"/>
      <c r="D560" s="37"/>
      <c r="E560" s="37"/>
      <c r="F560" s="37"/>
      <c r="G560" s="37"/>
      <c r="H560" s="37"/>
      <c r="I560" s="37"/>
      <c r="J560" s="52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>
      <c r="A561" s="37"/>
      <c r="B561" s="37"/>
      <c r="C561" s="37"/>
      <c r="D561" s="37"/>
      <c r="E561" s="37"/>
      <c r="F561" s="37"/>
      <c r="G561" s="37"/>
      <c r="H561" s="37"/>
      <c r="I561" s="37"/>
      <c r="J561" s="52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>
      <c r="A562" s="37"/>
      <c r="B562" s="37"/>
      <c r="C562" s="37"/>
      <c r="D562" s="37"/>
      <c r="E562" s="37"/>
      <c r="F562" s="37"/>
      <c r="G562" s="37"/>
      <c r="H562" s="37"/>
      <c r="I562" s="37"/>
      <c r="J562" s="52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>
      <c r="A563" s="37"/>
      <c r="B563" s="37"/>
      <c r="C563" s="37"/>
      <c r="D563" s="37"/>
      <c r="E563" s="37"/>
      <c r="F563" s="37"/>
      <c r="G563" s="37"/>
      <c r="H563" s="37"/>
      <c r="I563" s="37"/>
      <c r="J563" s="52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>
      <c r="A564" s="37"/>
      <c r="B564" s="37"/>
      <c r="C564" s="37"/>
      <c r="D564" s="37"/>
      <c r="E564" s="37"/>
      <c r="F564" s="37"/>
      <c r="G564" s="37"/>
      <c r="H564" s="37"/>
      <c r="I564" s="37"/>
      <c r="J564" s="52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>
      <c r="A565" s="37"/>
      <c r="B565" s="37"/>
      <c r="C565" s="37"/>
      <c r="D565" s="37"/>
      <c r="E565" s="37"/>
      <c r="F565" s="37"/>
      <c r="G565" s="37"/>
      <c r="H565" s="37"/>
      <c r="I565" s="37"/>
      <c r="J565" s="52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>
      <c r="A566" s="37"/>
      <c r="B566" s="37"/>
      <c r="C566" s="37"/>
      <c r="D566" s="37"/>
      <c r="E566" s="37"/>
      <c r="F566" s="37"/>
      <c r="G566" s="37"/>
      <c r="H566" s="37"/>
      <c r="I566" s="37"/>
      <c r="J566" s="52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>
      <c r="A567" s="37"/>
      <c r="B567" s="37"/>
      <c r="C567" s="37"/>
      <c r="D567" s="37"/>
      <c r="E567" s="37"/>
      <c r="F567" s="37"/>
      <c r="G567" s="37"/>
      <c r="H567" s="37"/>
      <c r="I567" s="37"/>
      <c r="J567" s="52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>
      <c r="A568" s="37"/>
      <c r="B568" s="37"/>
      <c r="C568" s="37"/>
      <c r="D568" s="37"/>
      <c r="E568" s="37"/>
      <c r="F568" s="37"/>
      <c r="G568" s="37"/>
      <c r="H568" s="37"/>
      <c r="I568" s="37"/>
      <c r="J568" s="52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>
      <c r="A569" s="37"/>
      <c r="B569" s="37"/>
      <c r="C569" s="37"/>
      <c r="D569" s="37"/>
      <c r="E569" s="37"/>
      <c r="F569" s="37"/>
      <c r="G569" s="37"/>
      <c r="H569" s="37"/>
      <c r="I569" s="37"/>
      <c r="J569" s="52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>
      <c r="A570" s="37"/>
      <c r="B570" s="37"/>
      <c r="C570" s="37"/>
      <c r="D570" s="37"/>
      <c r="E570" s="37"/>
      <c r="F570" s="37"/>
      <c r="G570" s="37"/>
      <c r="H570" s="37"/>
      <c r="I570" s="37"/>
      <c r="J570" s="52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>
      <c r="A571" s="37"/>
      <c r="B571" s="37"/>
      <c r="C571" s="37"/>
      <c r="D571" s="37"/>
      <c r="E571" s="37"/>
      <c r="F571" s="37"/>
      <c r="G571" s="37"/>
      <c r="H571" s="37"/>
      <c r="I571" s="37"/>
      <c r="J571" s="52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>
      <c r="A572" s="37"/>
      <c r="B572" s="37"/>
      <c r="C572" s="37"/>
      <c r="D572" s="37"/>
      <c r="E572" s="37"/>
      <c r="F572" s="37"/>
      <c r="G572" s="37"/>
      <c r="H572" s="37"/>
      <c r="I572" s="37"/>
      <c r="J572" s="52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>
      <c r="A573" s="37"/>
      <c r="B573" s="37"/>
      <c r="C573" s="37"/>
      <c r="D573" s="37"/>
      <c r="E573" s="37"/>
      <c r="F573" s="37"/>
      <c r="G573" s="37"/>
      <c r="H573" s="37"/>
      <c r="I573" s="37"/>
      <c r="J573" s="52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>
      <c r="A574" s="37"/>
      <c r="B574" s="37"/>
      <c r="C574" s="37"/>
      <c r="D574" s="37"/>
      <c r="E574" s="37"/>
      <c r="F574" s="37"/>
      <c r="G574" s="37"/>
      <c r="H574" s="37"/>
      <c r="I574" s="37"/>
      <c r="J574" s="52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>
      <c r="A575" s="37"/>
      <c r="B575" s="37"/>
      <c r="C575" s="37"/>
      <c r="D575" s="37"/>
      <c r="E575" s="37"/>
      <c r="F575" s="37"/>
      <c r="G575" s="37"/>
      <c r="H575" s="37"/>
      <c r="I575" s="37"/>
      <c r="J575" s="52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>
      <c r="A576" s="37"/>
      <c r="B576" s="37"/>
      <c r="C576" s="37"/>
      <c r="D576" s="37"/>
      <c r="E576" s="37"/>
      <c r="F576" s="37"/>
      <c r="G576" s="37"/>
      <c r="H576" s="37"/>
      <c r="I576" s="37"/>
      <c r="J576" s="52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>
      <c r="A577" s="37"/>
      <c r="B577" s="37"/>
      <c r="C577" s="37"/>
      <c r="D577" s="37"/>
      <c r="E577" s="37"/>
      <c r="F577" s="37"/>
      <c r="G577" s="37"/>
      <c r="H577" s="37"/>
      <c r="I577" s="37"/>
      <c r="J577" s="52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>
      <c r="A578" s="37"/>
      <c r="B578" s="37"/>
      <c r="C578" s="37"/>
      <c r="D578" s="37"/>
      <c r="E578" s="37"/>
      <c r="F578" s="37"/>
      <c r="G578" s="37"/>
      <c r="H578" s="37"/>
      <c r="I578" s="37"/>
      <c r="J578" s="52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>
      <c r="A579" s="37"/>
      <c r="B579" s="37"/>
      <c r="C579" s="37"/>
      <c r="D579" s="37"/>
      <c r="E579" s="37"/>
      <c r="F579" s="37"/>
      <c r="G579" s="37"/>
      <c r="H579" s="37"/>
      <c r="I579" s="37"/>
      <c r="J579" s="52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>
      <c r="A580" s="37"/>
      <c r="B580" s="37"/>
      <c r="C580" s="37"/>
      <c r="D580" s="37"/>
      <c r="E580" s="37"/>
      <c r="F580" s="37"/>
      <c r="G580" s="37"/>
      <c r="H580" s="37"/>
      <c r="I580" s="37"/>
      <c r="J580" s="52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>
      <c r="A581" s="37"/>
      <c r="B581" s="37"/>
      <c r="C581" s="37"/>
      <c r="D581" s="37"/>
      <c r="E581" s="37"/>
      <c r="F581" s="37"/>
      <c r="G581" s="37"/>
      <c r="H581" s="37"/>
      <c r="I581" s="37"/>
      <c r="J581" s="52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>
      <c r="A582" s="37"/>
      <c r="B582" s="37"/>
      <c r="C582" s="37"/>
      <c r="D582" s="37"/>
      <c r="E582" s="37"/>
      <c r="F582" s="37"/>
      <c r="G582" s="37"/>
      <c r="H582" s="37"/>
      <c r="I582" s="37"/>
      <c r="J582" s="52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>
      <c r="A583" s="37"/>
      <c r="B583" s="37"/>
      <c r="C583" s="37"/>
      <c r="D583" s="37"/>
      <c r="E583" s="37"/>
      <c r="F583" s="37"/>
      <c r="G583" s="37"/>
      <c r="H583" s="37"/>
      <c r="I583" s="37"/>
      <c r="J583" s="52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>
      <c r="A584" s="37"/>
      <c r="B584" s="37"/>
      <c r="C584" s="37"/>
      <c r="D584" s="37"/>
      <c r="E584" s="37"/>
      <c r="F584" s="37"/>
      <c r="G584" s="37"/>
      <c r="H584" s="37"/>
      <c r="I584" s="37"/>
      <c r="J584" s="52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>
      <c r="A585" s="37"/>
      <c r="B585" s="37"/>
      <c r="C585" s="37"/>
      <c r="D585" s="37"/>
      <c r="E585" s="37"/>
      <c r="F585" s="37"/>
      <c r="G585" s="37"/>
      <c r="H585" s="37"/>
      <c r="I585" s="37"/>
      <c r="J585" s="52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>
      <c r="A586" s="37"/>
      <c r="B586" s="37"/>
      <c r="C586" s="37"/>
      <c r="D586" s="37"/>
      <c r="E586" s="37"/>
      <c r="F586" s="37"/>
      <c r="G586" s="37"/>
      <c r="H586" s="37"/>
      <c r="I586" s="37"/>
      <c r="J586" s="52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>
      <c r="A587" s="37"/>
      <c r="B587" s="37"/>
      <c r="C587" s="37"/>
      <c r="D587" s="37"/>
      <c r="E587" s="37"/>
      <c r="F587" s="37"/>
      <c r="G587" s="37"/>
      <c r="H587" s="37"/>
      <c r="I587" s="37"/>
      <c r="J587" s="52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>
      <c r="A588" s="37"/>
      <c r="B588" s="37"/>
      <c r="C588" s="37"/>
      <c r="D588" s="37"/>
      <c r="E588" s="37"/>
      <c r="F588" s="37"/>
      <c r="G588" s="37"/>
      <c r="H588" s="37"/>
      <c r="I588" s="37"/>
      <c r="J588" s="52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>
      <c r="A589" s="37"/>
      <c r="B589" s="37"/>
      <c r="C589" s="37"/>
      <c r="D589" s="37"/>
      <c r="E589" s="37"/>
      <c r="F589" s="37"/>
      <c r="G589" s="37"/>
      <c r="H589" s="37"/>
      <c r="I589" s="37"/>
      <c r="J589" s="52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>
      <c r="A590" s="37"/>
      <c r="B590" s="37"/>
      <c r="C590" s="37"/>
      <c r="D590" s="37"/>
      <c r="E590" s="37"/>
      <c r="F590" s="37"/>
      <c r="G590" s="37"/>
      <c r="H590" s="37"/>
      <c r="I590" s="37"/>
      <c r="J590" s="52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>
      <c r="A591" s="37"/>
      <c r="B591" s="37"/>
      <c r="C591" s="37"/>
      <c r="D591" s="37"/>
      <c r="E591" s="37"/>
      <c r="F591" s="37"/>
      <c r="G591" s="37"/>
      <c r="H591" s="37"/>
      <c r="I591" s="37"/>
      <c r="J591" s="52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>
      <c r="A592" s="37"/>
      <c r="B592" s="37"/>
      <c r="C592" s="37"/>
      <c r="D592" s="37"/>
      <c r="E592" s="37"/>
      <c r="F592" s="37"/>
      <c r="G592" s="37"/>
      <c r="H592" s="37"/>
      <c r="I592" s="37"/>
      <c r="J592" s="52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>
      <c r="A593" s="37"/>
      <c r="B593" s="37"/>
      <c r="C593" s="37"/>
      <c r="D593" s="37"/>
      <c r="E593" s="37"/>
      <c r="F593" s="37"/>
      <c r="G593" s="37"/>
      <c r="H593" s="37"/>
      <c r="I593" s="37"/>
      <c r="J593" s="52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>
      <c r="A594" s="37"/>
      <c r="B594" s="37"/>
      <c r="C594" s="37"/>
      <c r="D594" s="37"/>
      <c r="E594" s="37"/>
      <c r="F594" s="37"/>
      <c r="G594" s="37"/>
      <c r="H594" s="37"/>
      <c r="I594" s="37"/>
      <c r="J594" s="52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>
      <c r="A595" s="37"/>
      <c r="B595" s="37"/>
      <c r="C595" s="37"/>
      <c r="D595" s="37"/>
      <c r="E595" s="37"/>
      <c r="F595" s="37"/>
      <c r="G595" s="37"/>
      <c r="H595" s="37"/>
      <c r="I595" s="37"/>
      <c r="J595" s="52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>
      <c r="A596" s="37"/>
      <c r="B596" s="37"/>
      <c r="C596" s="37"/>
      <c r="D596" s="37"/>
      <c r="E596" s="37"/>
      <c r="F596" s="37"/>
      <c r="G596" s="37"/>
      <c r="H596" s="37"/>
      <c r="I596" s="37"/>
      <c r="J596" s="52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>
      <c r="A597" s="37"/>
      <c r="B597" s="37"/>
      <c r="C597" s="37"/>
      <c r="D597" s="37"/>
      <c r="E597" s="37"/>
      <c r="F597" s="37"/>
      <c r="G597" s="37"/>
      <c r="H597" s="37"/>
      <c r="I597" s="37"/>
      <c r="J597" s="52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>
      <c r="A598" s="37"/>
      <c r="B598" s="37"/>
      <c r="C598" s="37"/>
      <c r="D598" s="37"/>
      <c r="E598" s="37"/>
      <c r="F598" s="37"/>
      <c r="G598" s="37"/>
      <c r="H598" s="37"/>
      <c r="I598" s="37"/>
      <c r="J598" s="52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>
      <c r="A599" s="37"/>
      <c r="B599" s="37"/>
      <c r="C599" s="37"/>
      <c r="D599" s="37"/>
      <c r="E599" s="37"/>
      <c r="F599" s="37"/>
      <c r="G599" s="37"/>
      <c r="H599" s="37"/>
      <c r="I599" s="37"/>
      <c r="J599" s="52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>
      <c r="A600" s="37"/>
      <c r="B600" s="37"/>
      <c r="C600" s="37"/>
      <c r="D600" s="37"/>
      <c r="E600" s="37"/>
      <c r="F600" s="37"/>
      <c r="G600" s="37"/>
      <c r="H600" s="37"/>
      <c r="I600" s="37"/>
      <c r="J600" s="52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>
      <c r="A601" s="37"/>
      <c r="B601" s="37"/>
      <c r="C601" s="37"/>
      <c r="D601" s="37"/>
      <c r="E601" s="37"/>
      <c r="F601" s="37"/>
      <c r="G601" s="37"/>
      <c r="H601" s="37"/>
      <c r="I601" s="37"/>
      <c r="J601" s="52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>
      <c r="A602" s="37"/>
      <c r="B602" s="37"/>
      <c r="C602" s="37"/>
      <c r="D602" s="37"/>
      <c r="E602" s="37"/>
      <c r="F602" s="37"/>
      <c r="G602" s="37"/>
      <c r="H602" s="37"/>
      <c r="I602" s="37"/>
      <c r="J602" s="52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>
      <c r="A603" s="37"/>
      <c r="B603" s="37"/>
      <c r="C603" s="37"/>
      <c r="D603" s="37"/>
      <c r="E603" s="37"/>
      <c r="F603" s="37"/>
      <c r="G603" s="37"/>
      <c r="H603" s="37"/>
      <c r="I603" s="37"/>
      <c r="J603" s="52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>
      <c r="A604" s="37"/>
      <c r="B604" s="37"/>
      <c r="C604" s="37"/>
      <c r="D604" s="37"/>
      <c r="E604" s="37"/>
      <c r="F604" s="37"/>
      <c r="G604" s="37"/>
      <c r="H604" s="37"/>
      <c r="I604" s="37"/>
      <c r="J604" s="52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>
      <c r="A605" s="37"/>
      <c r="B605" s="37"/>
      <c r="C605" s="37"/>
      <c r="D605" s="37"/>
      <c r="E605" s="37"/>
      <c r="F605" s="37"/>
      <c r="G605" s="37"/>
      <c r="H605" s="37"/>
      <c r="I605" s="37"/>
      <c r="J605" s="52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>
      <c r="A606" s="37"/>
      <c r="B606" s="37"/>
      <c r="C606" s="37"/>
      <c r="D606" s="37"/>
      <c r="E606" s="37"/>
      <c r="F606" s="37"/>
      <c r="G606" s="37"/>
      <c r="H606" s="37"/>
      <c r="I606" s="37"/>
      <c r="J606" s="52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>
      <c r="A607" s="37"/>
      <c r="B607" s="37"/>
      <c r="C607" s="37"/>
      <c r="D607" s="37"/>
      <c r="E607" s="37"/>
      <c r="F607" s="37"/>
      <c r="G607" s="37"/>
      <c r="H607" s="37"/>
      <c r="I607" s="37"/>
      <c r="J607" s="52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>
      <c r="A608" s="37"/>
      <c r="B608" s="37"/>
      <c r="C608" s="37"/>
      <c r="D608" s="37"/>
      <c r="E608" s="37"/>
      <c r="F608" s="37"/>
      <c r="G608" s="37"/>
      <c r="H608" s="37"/>
      <c r="I608" s="37"/>
      <c r="J608" s="52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>
      <c r="A609" s="37"/>
      <c r="B609" s="37"/>
      <c r="C609" s="37"/>
      <c r="D609" s="37"/>
      <c r="E609" s="37"/>
      <c r="F609" s="37"/>
      <c r="G609" s="37"/>
      <c r="H609" s="37"/>
      <c r="I609" s="37"/>
      <c r="J609" s="52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>
      <c r="A610" s="37"/>
      <c r="B610" s="37"/>
      <c r="C610" s="37"/>
      <c r="D610" s="37"/>
      <c r="E610" s="37"/>
      <c r="F610" s="37"/>
      <c r="G610" s="37"/>
      <c r="H610" s="37"/>
      <c r="I610" s="37"/>
      <c r="J610" s="52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>
      <c r="A611" s="37"/>
      <c r="B611" s="37"/>
      <c r="C611" s="37"/>
      <c r="D611" s="37"/>
      <c r="E611" s="37"/>
      <c r="F611" s="37"/>
      <c r="G611" s="37"/>
      <c r="H611" s="37"/>
      <c r="I611" s="37"/>
      <c r="J611" s="52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>
      <c r="A612" s="37"/>
      <c r="B612" s="37"/>
      <c r="C612" s="37"/>
      <c r="D612" s="37"/>
      <c r="E612" s="37"/>
      <c r="F612" s="37"/>
      <c r="G612" s="37"/>
      <c r="H612" s="37"/>
      <c r="I612" s="37"/>
      <c r="J612" s="52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>
      <c r="A613" s="37"/>
      <c r="B613" s="37"/>
      <c r="C613" s="37"/>
      <c r="D613" s="37"/>
      <c r="E613" s="37"/>
      <c r="F613" s="37"/>
      <c r="G613" s="37"/>
      <c r="H613" s="37"/>
      <c r="I613" s="37"/>
      <c r="J613" s="52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>
      <c r="A614" s="37"/>
      <c r="B614" s="37"/>
      <c r="C614" s="37"/>
      <c r="D614" s="37"/>
      <c r="E614" s="37"/>
      <c r="F614" s="37"/>
      <c r="G614" s="37"/>
      <c r="H614" s="37"/>
      <c r="I614" s="37"/>
      <c r="J614" s="52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>
      <c r="A615" s="37"/>
      <c r="B615" s="37"/>
      <c r="C615" s="37"/>
      <c r="D615" s="37"/>
      <c r="E615" s="37"/>
      <c r="F615" s="37"/>
      <c r="G615" s="37"/>
      <c r="H615" s="37"/>
      <c r="I615" s="37"/>
      <c r="J615" s="52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>
      <c r="A616" s="37"/>
      <c r="B616" s="37"/>
      <c r="C616" s="37"/>
      <c r="D616" s="37"/>
      <c r="E616" s="37"/>
      <c r="F616" s="37"/>
      <c r="G616" s="37"/>
      <c r="H616" s="37"/>
      <c r="I616" s="37"/>
      <c r="J616" s="52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>
      <c r="A617" s="37"/>
      <c r="B617" s="37"/>
      <c r="C617" s="37"/>
      <c r="D617" s="37"/>
      <c r="E617" s="37"/>
      <c r="F617" s="37"/>
      <c r="G617" s="37"/>
      <c r="H617" s="37"/>
      <c r="I617" s="37"/>
      <c r="J617" s="52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>
      <c r="A618" s="37"/>
      <c r="B618" s="37"/>
      <c r="C618" s="37"/>
      <c r="D618" s="37"/>
      <c r="E618" s="37"/>
      <c r="F618" s="37"/>
      <c r="G618" s="37"/>
      <c r="H618" s="37"/>
      <c r="I618" s="37"/>
      <c r="J618" s="52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>
      <c r="A619" s="37"/>
      <c r="B619" s="37"/>
      <c r="C619" s="37"/>
      <c r="D619" s="37"/>
      <c r="E619" s="37"/>
      <c r="F619" s="37"/>
      <c r="G619" s="37"/>
      <c r="H619" s="37"/>
      <c r="I619" s="37"/>
      <c r="J619" s="52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>
      <c r="A620" s="37"/>
      <c r="B620" s="37"/>
      <c r="C620" s="37"/>
      <c r="D620" s="37"/>
      <c r="E620" s="37"/>
      <c r="F620" s="37"/>
      <c r="G620" s="37"/>
      <c r="H620" s="37"/>
      <c r="I620" s="37"/>
      <c r="J620" s="52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>
      <c r="A621" s="37"/>
      <c r="B621" s="37"/>
      <c r="C621" s="37"/>
      <c r="D621" s="37"/>
      <c r="E621" s="37"/>
      <c r="F621" s="37"/>
      <c r="G621" s="37"/>
      <c r="H621" s="37"/>
      <c r="I621" s="37"/>
      <c r="J621" s="52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>
      <c r="A622" s="37"/>
      <c r="B622" s="37"/>
      <c r="C622" s="37"/>
      <c r="D622" s="37"/>
      <c r="E622" s="37"/>
      <c r="F622" s="37"/>
      <c r="G622" s="37"/>
      <c r="H622" s="37"/>
      <c r="I622" s="37"/>
      <c r="J622" s="52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>
      <c r="A623" s="37"/>
      <c r="B623" s="37"/>
      <c r="C623" s="37"/>
      <c r="D623" s="37"/>
      <c r="E623" s="37"/>
      <c r="F623" s="37"/>
      <c r="G623" s="37"/>
      <c r="H623" s="37"/>
      <c r="I623" s="37"/>
      <c r="J623" s="52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>
      <c r="A624" s="37"/>
      <c r="B624" s="37"/>
      <c r="C624" s="37"/>
      <c r="D624" s="37"/>
      <c r="E624" s="37"/>
      <c r="F624" s="37"/>
      <c r="G624" s="37"/>
      <c r="H624" s="37"/>
      <c r="I624" s="37"/>
      <c r="J624" s="52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>
      <c r="A625" s="37"/>
      <c r="B625" s="37"/>
      <c r="C625" s="37"/>
      <c r="D625" s="37"/>
      <c r="E625" s="37"/>
      <c r="F625" s="37"/>
      <c r="G625" s="37"/>
      <c r="H625" s="37"/>
      <c r="I625" s="37"/>
      <c r="J625" s="52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>
      <c r="A626" s="37"/>
      <c r="B626" s="37"/>
      <c r="C626" s="37"/>
      <c r="D626" s="37"/>
      <c r="E626" s="37"/>
      <c r="F626" s="37"/>
      <c r="G626" s="37"/>
      <c r="H626" s="37"/>
      <c r="I626" s="37"/>
      <c r="J626" s="52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>
      <c r="A627" s="37"/>
      <c r="B627" s="37"/>
      <c r="C627" s="37"/>
      <c r="D627" s="37"/>
      <c r="E627" s="37"/>
      <c r="F627" s="37"/>
      <c r="G627" s="37"/>
      <c r="H627" s="37"/>
      <c r="I627" s="37"/>
      <c r="J627" s="52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>
      <c r="A628" s="37"/>
      <c r="B628" s="37"/>
      <c r="C628" s="37"/>
      <c r="D628" s="37"/>
      <c r="E628" s="37"/>
      <c r="F628" s="37"/>
      <c r="G628" s="37"/>
      <c r="H628" s="37"/>
      <c r="I628" s="37"/>
      <c r="J628" s="52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>
      <c r="A629" s="37"/>
      <c r="B629" s="37"/>
      <c r="C629" s="37"/>
      <c r="D629" s="37"/>
      <c r="E629" s="37"/>
      <c r="F629" s="37"/>
      <c r="G629" s="37"/>
      <c r="H629" s="37"/>
      <c r="I629" s="37"/>
      <c r="J629" s="52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>
      <c r="A630" s="37"/>
      <c r="B630" s="37"/>
      <c r="C630" s="37"/>
      <c r="D630" s="37"/>
      <c r="E630" s="37"/>
      <c r="F630" s="37"/>
      <c r="G630" s="37"/>
      <c r="H630" s="37"/>
      <c r="I630" s="37"/>
      <c r="J630" s="52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>
      <c r="A631" s="37"/>
      <c r="B631" s="37"/>
      <c r="C631" s="37"/>
      <c r="D631" s="37"/>
      <c r="E631" s="37"/>
      <c r="F631" s="37"/>
      <c r="G631" s="37"/>
      <c r="H631" s="37"/>
      <c r="I631" s="37"/>
      <c r="J631" s="52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>
      <c r="A632" s="37"/>
      <c r="B632" s="37"/>
      <c r="C632" s="37"/>
      <c r="D632" s="37"/>
      <c r="E632" s="37"/>
      <c r="F632" s="37"/>
      <c r="G632" s="37"/>
      <c r="H632" s="37"/>
      <c r="I632" s="37"/>
      <c r="J632" s="52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>
      <c r="A633" s="37"/>
      <c r="B633" s="37"/>
      <c r="C633" s="37"/>
      <c r="D633" s="37"/>
      <c r="E633" s="37"/>
      <c r="F633" s="37"/>
      <c r="G633" s="37"/>
      <c r="H633" s="37"/>
      <c r="I633" s="37"/>
      <c r="J633" s="52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>
      <c r="A634" s="37"/>
      <c r="B634" s="37"/>
      <c r="C634" s="37"/>
      <c r="D634" s="37"/>
      <c r="E634" s="37"/>
      <c r="F634" s="37"/>
      <c r="G634" s="37"/>
      <c r="H634" s="37"/>
      <c r="I634" s="37"/>
      <c r="J634" s="52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>
      <c r="A635" s="37"/>
      <c r="B635" s="37"/>
      <c r="C635" s="37"/>
      <c r="D635" s="37"/>
      <c r="E635" s="37"/>
      <c r="F635" s="37"/>
      <c r="G635" s="37"/>
      <c r="H635" s="37"/>
      <c r="I635" s="37"/>
      <c r="J635" s="52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>
      <c r="A636" s="37"/>
      <c r="B636" s="37"/>
      <c r="C636" s="37"/>
      <c r="D636" s="37"/>
      <c r="E636" s="37"/>
      <c r="F636" s="37"/>
      <c r="G636" s="37"/>
      <c r="H636" s="37"/>
      <c r="I636" s="37"/>
      <c r="J636" s="52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>
      <c r="A637" s="37"/>
      <c r="B637" s="37"/>
      <c r="C637" s="37"/>
      <c r="D637" s="37"/>
      <c r="E637" s="37"/>
      <c r="F637" s="37"/>
      <c r="G637" s="37"/>
      <c r="H637" s="37"/>
      <c r="I637" s="37"/>
      <c r="J637" s="52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>
      <c r="A638" s="37"/>
      <c r="B638" s="37"/>
      <c r="C638" s="37"/>
      <c r="D638" s="37"/>
      <c r="E638" s="37"/>
      <c r="F638" s="37"/>
      <c r="G638" s="37"/>
      <c r="H638" s="37"/>
      <c r="I638" s="37"/>
      <c r="J638" s="52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>
      <c r="A639" s="37"/>
      <c r="B639" s="37"/>
      <c r="C639" s="37"/>
      <c r="D639" s="37"/>
      <c r="E639" s="37"/>
      <c r="F639" s="37"/>
      <c r="G639" s="37"/>
      <c r="H639" s="37"/>
      <c r="I639" s="37"/>
      <c r="J639" s="52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>
      <c r="A640" s="37"/>
      <c r="B640" s="37"/>
      <c r="C640" s="37"/>
      <c r="D640" s="37"/>
      <c r="E640" s="37"/>
      <c r="F640" s="37"/>
      <c r="G640" s="37"/>
      <c r="H640" s="37"/>
      <c r="I640" s="37"/>
      <c r="J640" s="52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>
      <c r="A641" s="37"/>
      <c r="B641" s="37"/>
      <c r="C641" s="37"/>
      <c r="D641" s="37"/>
      <c r="E641" s="37"/>
      <c r="F641" s="37"/>
      <c r="G641" s="37"/>
      <c r="H641" s="37"/>
      <c r="I641" s="37"/>
      <c r="J641" s="52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>
      <c r="A642" s="37"/>
      <c r="B642" s="37"/>
      <c r="C642" s="37"/>
      <c r="D642" s="37"/>
      <c r="E642" s="37"/>
      <c r="F642" s="37"/>
      <c r="G642" s="37"/>
      <c r="H642" s="37"/>
      <c r="I642" s="37"/>
      <c r="J642" s="52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>
      <c r="A643" s="37"/>
      <c r="B643" s="37"/>
      <c r="C643" s="37"/>
      <c r="D643" s="37"/>
      <c r="E643" s="37"/>
      <c r="F643" s="37"/>
      <c r="G643" s="37"/>
      <c r="H643" s="37"/>
      <c r="I643" s="37"/>
      <c r="J643" s="52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>
      <c r="A644" s="37"/>
      <c r="B644" s="37"/>
      <c r="C644" s="37"/>
      <c r="D644" s="37"/>
      <c r="E644" s="37"/>
      <c r="F644" s="37"/>
      <c r="G644" s="37"/>
      <c r="H644" s="37"/>
      <c r="I644" s="37"/>
      <c r="J644" s="52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>
      <c r="A645" s="37"/>
      <c r="B645" s="37"/>
      <c r="C645" s="37"/>
      <c r="D645" s="37"/>
      <c r="E645" s="37"/>
      <c r="F645" s="37"/>
      <c r="G645" s="37"/>
      <c r="H645" s="37"/>
      <c r="I645" s="37"/>
      <c r="J645" s="52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>
      <c r="A646" s="37"/>
      <c r="B646" s="37"/>
      <c r="C646" s="37"/>
      <c r="D646" s="37"/>
      <c r="E646" s="37"/>
      <c r="F646" s="37"/>
      <c r="G646" s="37"/>
      <c r="H646" s="37"/>
      <c r="I646" s="37"/>
      <c r="J646" s="52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>
      <c r="A647" s="37"/>
      <c r="B647" s="37"/>
      <c r="C647" s="37"/>
      <c r="D647" s="37"/>
      <c r="E647" s="37"/>
      <c r="F647" s="37"/>
      <c r="G647" s="37"/>
      <c r="H647" s="37"/>
      <c r="I647" s="37"/>
      <c r="J647" s="52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>
      <c r="A648" s="37"/>
      <c r="B648" s="37"/>
      <c r="C648" s="37"/>
      <c r="D648" s="37"/>
      <c r="E648" s="37"/>
      <c r="F648" s="37"/>
      <c r="G648" s="37"/>
      <c r="H648" s="37"/>
      <c r="I648" s="37"/>
      <c r="J648" s="52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>
      <c r="A649" s="37"/>
      <c r="B649" s="37"/>
      <c r="C649" s="37"/>
      <c r="D649" s="37"/>
      <c r="E649" s="37"/>
      <c r="F649" s="37"/>
      <c r="G649" s="37"/>
      <c r="H649" s="37"/>
      <c r="I649" s="37"/>
      <c r="J649" s="52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>
      <c r="A650" s="37"/>
      <c r="B650" s="37"/>
      <c r="C650" s="37"/>
      <c r="D650" s="37"/>
      <c r="E650" s="37"/>
      <c r="F650" s="37"/>
      <c r="G650" s="37"/>
      <c r="H650" s="37"/>
      <c r="I650" s="37"/>
      <c r="J650" s="52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>
      <c r="A651" s="37"/>
      <c r="B651" s="37"/>
      <c r="C651" s="37"/>
      <c r="D651" s="37"/>
      <c r="E651" s="37"/>
      <c r="F651" s="37"/>
      <c r="G651" s="37"/>
      <c r="H651" s="37"/>
      <c r="I651" s="37"/>
      <c r="J651" s="52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>
      <c r="A652" s="37"/>
      <c r="B652" s="37"/>
      <c r="C652" s="37"/>
      <c r="D652" s="37"/>
      <c r="E652" s="37"/>
      <c r="F652" s="37"/>
      <c r="G652" s="37"/>
      <c r="H652" s="37"/>
      <c r="I652" s="37"/>
      <c r="J652" s="52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>
      <c r="A653" s="37"/>
      <c r="B653" s="37"/>
      <c r="C653" s="37"/>
      <c r="D653" s="37"/>
      <c r="E653" s="37"/>
      <c r="F653" s="37"/>
      <c r="G653" s="37"/>
      <c r="H653" s="37"/>
      <c r="I653" s="37"/>
      <c r="J653" s="52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>
      <c r="A654" s="37"/>
      <c r="B654" s="37"/>
      <c r="C654" s="37"/>
      <c r="D654" s="37"/>
      <c r="E654" s="37"/>
      <c r="F654" s="37"/>
      <c r="G654" s="37"/>
      <c r="H654" s="37"/>
      <c r="I654" s="37"/>
      <c r="J654" s="52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>
      <c r="A655" s="37"/>
      <c r="B655" s="37"/>
      <c r="C655" s="37"/>
      <c r="D655" s="37"/>
      <c r="E655" s="37"/>
      <c r="F655" s="37"/>
      <c r="G655" s="37"/>
      <c r="H655" s="37"/>
      <c r="I655" s="37"/>
      <c r="J655" s="52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>
      <c r="A656" s="37"/>
      <c r="B656" s="37"/>
      <c r="C656" s="37"/>
      <c r="D656" s="37"/>
      <c r="E656" s="37"/>
      <c r="F656" s="37"/>
      <c r="G656" s="37"/>
      <c r="H656" s="37"/>
      <c r="I656" s="37"/>
      <c r="J656" s="52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>
      <c r="A657" s="37"/>
      <c r="B657" s="37"/>
      <c r="C657" s="37"/>
      <c r="D657" s="37"/>
      <c r="E657" s="37"/>
      <c r="F657" s="37"/>
      <c r="G657" s="37"/>
      <c r="H657" s="37"/>
      <c r="I657" s="37"/>
      <c r="J657" s="52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>
      <c r="A658" s="37"/>
      <c r="B658" s="37"/>
      <c r="C658" s="37"/>
      <c r="D658" s="37"/>
      <c r="E658" s="37"/>
      <c r="F658" s="37"/>
      <c r="G658" s="37"/>
      <c r="H658" s="37"/>
      <c r="I658" s="37"/>
      <c r="J658" s="52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>
      <c r="A659" s="37"/>
      <c r="B659" s="37"/>
      <c r="C659" s="37"/>
      <c r="D659" s="37"/>
      <c r="E659" s="37"/>
      <c r="F659" s="37"/>
      <c r="G659" s="37"/>
      <c r="H659" s="37"/>
      <c r="I659" s="37"/>
      <c r="J659" s="52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>
      <c r="A660" s="37"/>
      <c r="B660" s="37"/>
      <c r="C660" s="37"/>
      <c r="D660" s="37"/>
      <c r="E660" s="37"/>
      <c r="F660" s="37"/>
      <c r="G660" s="37"/>
      <c r="H660" s="37"/>
      <c r="I660" s="37"/>
      <c r="J660" s="52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>
      <c r="A661" s="37"/>
      <c r="B661" s="37"/>
      <c r="C661" s="37"/>
      <c r="D661" s="37"/>
      <c r="E661" s="37"/>
      <c r="F661" s="37"/>
      <c r="G661" s="37"/>
      <c r="H661" s="37"/>
      <c r="I661" s="37"/>
      <c r="J661" s="52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>
      <c r="A662" s="37"/>
      <c r="B662" s="37"/>
      <c r="C662" s="37"/>
      <c r="D662" s="37"/>
      <c r="E662" s="37"/>
      <c r="F662" s="37"/>
      <c r="G662" s="37"/>
      <c r="H662" s="37"/>
      <c r="I662" s="37"/>
      <c r="J662" s="52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>
      <c r="A663" s="37"/>
      <c r="B663" s="37"/>
      <c r="C663" s="37"/>
      <c r="D663" s="37"/>
      <c r="E663" s="37"/>
      <c r="F663" s="37"/>
      <c r="G663" s="37"/>
      <c r="H663" s="37"/>
      <c r="I663" s="37"/>
      <c r="J663" s="52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>
      <c r="A664" s="37"/>
      <c r="B664" s="37"/>
      <c r="C664" s="37"/>
      <c r="D664" s="37"/>
      <c r="E664" s="37"/>
      <c r="F664" s="37"/>
      <c r="G664" s="37"/>
      <c r="H664" s="37"/>
      <c r="I664" s="37"/>
      <c r="J664" s="52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>
      <c r="A665" s="37"/>
      <c r="B665" s="37"/>
      <c r="C665" s="37"/>
      <c r="D665" s="37"/>
      <c r="E665" s="37"/>
      <c r="F665" s="37"/>
      <c r="G665" s="37"/>
      <c r="H665" s="37"/>
      <c r="I665" s="37"/>
      <c r="J665" s="52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>
      <c r="A666" s="37"/>
      <c r="B666" s="37"/>
      <c r="C666" s="37"/>
      <c r="D666" s="37"/>
      <c r="E666" s="37"/>
      <c r="F666" s="37"/>
      <c r="G666" s="37"/>
      <c r="H666" s="37"/>
      <c r="I666" s="37"/>
      <c r="J666" s="52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>
      <c r="A667" s="37"/>
      <c r="B667" s="37"/>
      <c r="C667" s="37"/>
      <c r="D667" s="37"/>
      <c r="E667" s="37"/>
      <c r="F667" s="37"/>
      <c r="G667" s="37"/>
      <c r="H667" s="37"/>
      <c r="I667" s="37"/>
      <c r="J667" s="52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>
      <c r="A668" s="37"/>
      <c r="B668" s="37"/>
      <c r="C668" s="37"/>
      <c r="D668" s="37"/>
      <c r="E668" s="37"/>
      <c r="F668" s="37"/>
      <c r="G668" s="37"/>
      <c r="H668" s="37"/>
      <c r="I668" s="37"/>
      <c r="J668" s="52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>
      <c r="A669" s="37"/>
      <c r="B669" s="37"/>
      <c r="C669" s="37"/>
      <c r="D669" s="37"/>
      <c r="E669" s="37"/>
      <c r="F669" s="37"/>
      <c r="G669" s="37"/>
      <c r="H669" s="37"/>
      <c r="I669" s="37"/>
      <c r="J669" s="52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>
      <c r="A670" s="37"/>
      <c r="B670" s="37"/>
      <c r="C670" s="37"/>
      <c r="D670" s="37"/>
      <c r="E670" s="37"/>
      <c r="F670" s="37"/>
      <c r="G670" s="37"/>
      <c r="H670" s="37"/>
      <c r="I670" s="37"/>
      <c r="J670" s="52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>
      <c r="A671" s="37"/>
      <c r="B671" s="37"/>
      <c r="C671" s="37"/>
      <c r="D671" s="37"/>
      <c r="E671" s="37"/>
      <c r="F671" s="37"/>
      <c r="G671" s="37"/>
      <c r="H671" s="37"/>
      <c r="I671" s="37"/>
      <c r="J671" s="52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>
      <c r="A672" s="37"/>
      <c r="B672" s="37"/>
      <c r="C672" s="37"/>
      <c r="D672" s="37"/>
      <c r="E672" s="37"/>
      <c r="F672" s="37"/>
      <c r="G672" s="37"/>
      <c r="H672" s="37"/>
      <c r="I672" s="37"/>
      <c r="J672" s="52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>
      <c r="A673" s="37"/>
      <c r="B673" s="37"/>
      <c r="C673" s="37"/>
      <c r="D673" s="37"/>
      <c r="E673" s="37"/>
      <c r="F673" s="37"/>
      <c r="G673" s="37"/>
      <c r="H673" s="37"/>
      <c r="I673" s="37"/>
      <c r="J673" s="52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>
      <c r="A674" s="37"/>
      <c r="B674" s="37"/>
      <c r="C674" s="37"/>
      <c r="D674" s="37"/>
      <c r="E674" s="37"/>
      <c r="F674" s="37"/>
      <c r="G674" s="37"/>
      <c r="H674" s="37"/>
      <c r="I674" s="37"/>
      <c r="J674" s="52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>
      <c r="A675" s="37"/>
      <c r="B675" s="37"/>
      <c r="C675" s="37"/>
      <c r="D675" s="37"/>
      <c r="E675" s="37"/>
      <c r="F675" s="37"/>
      <c r="G675" s="37"/>
      <c r="H675" s="37"/>
      <c r="I675" s="37"/>
      <c r="J675" s="52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>
      <c r="A676" s="37"/>
      <c r="B676" s="37"/>
      <c r="C676" s="37"/>
      <c r="D676" s="37"/>
      <c r="E676" s="37"/>
      <c r="F676" s="37"/>
      <c r="G676" s="37"/>
      <c r="H676" s="37"/>
      <c r="I676" s="37"/>
      <c r="J676" s="52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>
      <c r="A677" s="37"/>
      <c r="B677" s="37"/>
      <c r="C677" s="37"/>
      <c r="D677" s="37"/>
      <c r="E677" s="37"/>
      <c r="F677" s="37"/>
      <c r="G677" s="37"/>
      <c r="H677" s="37"/>
      <c r="I677" s="37"/>
      <c r="J677" s="52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>
      <c r="A678" s="37"/>
      <c r="B678" s="37"/>
      <c r="C678" s="37"/>
      <c r="D678" s="37"/>
      <c r="E678" s="37"/>
      <c r="F678" s="37"/>
      <c r="G678" s="37"/>
      <c r="H678" s="37"/>
      <c r="I678" s="37"/>
      <c r="J678" s="52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>
      <c r="A679" s="37"/>
      <c r="B679" s="37"/>
      <c r="C679" s="37"/>
      <c r="D679" s="37"/>
      <c r="E679" s="37"/>
      <c r="F679" s="37"/>
      <c r="G679" s="37"/>
      <c r="H679" s="37"/>
      <c r="I679" s="37"/>
      <c r="J679" s="52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>
      <c r="A680" s="37"/>
      <c r="B680" s="37"/>
      <c r="C680" s="37"/>
      <c r="D680" s="37"/>
      <c r="E680" s="37"/>
      <c r="F680" s="37"/>
      <c r="G680" s="37"/>
      <c r="H680" s="37"/>
      <c r="I680" s="37"/>
      <c r="J680" s="52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>
      <c r="A681" s="37"/>
      <c r="B681" s="37"/>
      <c r="C681" s="37"/>
      <c r="D681" s="37"/>
      <c r="E681" s="37"/>
      <c r="F681" s="37"/>
      <c r="G681" s="37"/>
      <c r="H681" s="37"/>
      <c r="I681" s="37"/>
      <c r="J681" s="52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>
      <c r="A682" s="37"/>
      <c r="B682" s="37"/>
      <c r="C682" s="37"/>
      <c r="D682" s="37"/>
      <c r="E682" s="37"/>
      <c r="F682" s="37"/>
      <c r="G682" s="37"/>
      <c r="H682" s="37"/>
      <c r="I682" s="37"/>
      <c r="J682" s="52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>
      <c r="A683" s="37"/>
      <c r="B683" s="37"/>
      <c r="C683" s="37"/>
      <c r="D683" s="37"/>
      <c r="E683" s="37"/>
      <c r="F683" s="37"/>
      <c r="G683" s="37"/>
      <c r="H683" s="37"/>
      <c r="I683" s="37"/>
      <c r="J683" s="52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>
      <c r="A684" s="37"/>
      <c r="B684" s="37"/>
      <c r="C684" s="37"/>
      <c r="D684" s="37"/>
      <c r="E684" s="37"/>
      <c r="F684" s="37"/>
      <c r="G684" s="37"/>
      <c r="H684" s="37"/>
      <c r="I684" s="37"/>
      <c r="J684" s="52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>
      <c r="A685" s="37"/>
      <c r="B685" s="37"/>
      <c r="C685" s="37"/>
      <c r="D685" s="37"/>
      <c r="E685" s="37"/>
      <c r="F685" s="37"/>
      <c r="G685" s="37"/>
      <c r="H685" s="37"/>
      <c r="I685" s="37"/>
      <c r="J685" s="52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>
      <c r="A686" s="37"/>
      <c r="B686" s="37"/>
      <c r="C686" s="37"/>
      <c r="D686" s="37"/>
      <c r="E686" s="37"/>
      <c r="F686" s="37"/>
      <c r="G686" s="37"/>
      <c r="H686" s="37"/>
      <c r="I686" s="37"/>
      <c r="J686" s="52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>
      <c r="A687" s="37"/>
      <c r="B687" s="37"/>
      <c r="C687" s="37"/>
      <c r="D687" s="37"/>
      <c r="E687" s="37"/>
      <c r="F687" s="37"/>
      <c r="G687" s="37"/>
      <c r="H687" s="37"/>
      <c r="I687" s="37"/>
      <c r="J687" s="52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>
      <c r="A688" s="37"/>
      <c r="B688" s="37"/>
      <c r="C688" s="37"/>
      <c r="D688" s="37"/>
      <c r="E688" s="37"/>
      <c r="F688" s="37"/>
      <c r="G688" s="37"/>
      <c r="H688" s="37"/>
      <c r="I688" s="37"/>
      <c r="J688" s="52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>
      <c r="A689" s="37"/>
      <c r="B689" s="37"/>
      <c r="C689" s="37"/>
      <c r="D689" s="37"/>
      <c r="E689" s="37"/>
      <c r="F689" s="37"/>
      <c r="G689" s="37"/>
      <c r="H689" s="37"/>
      <c r="I689" s="37"/>
      <c r="J689" s="52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>
      <c r="A690" s="37"/>
      <c r="B690" s="37"/>
      <c r="C690" s="37"/>
      <c r="D690" s="37"/>
      <c r="E690" s="37"/>
      <c r="F690" s="37"/>
      <c r="G690" s="37"/>
      <c r="H690" s="37"/>
      <c r="I690" s="37"/>
      <c r="J690" s="52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>
      <c r="A691" s="37"/>
      <c r="B691" s="37"/>
      <c r="C691" s="37"/>
      <c r="D691" s="37"/>
      <c r="E691" s="37"/>
      <c r="F691" s="37"/>
      <c r="G691" s="37"/>
      <c r="H691" s="37"/>
      <c r="I691" s="37"/>
      <c r="J691" s="52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>
      <c r="A692" s="37"/>
      <c r="B692" s="37"/>
      <c r="C692" s="37"/>
      <c r="D692" s="37"/>
      <c r="E692" s="37"/>
      <c r="F692" s="37"/>
      <c r="G692" s="37"/>
      <c r="H692" s="37"/>
      <c r="I692" s="37"/>
      <c r="J692" s="52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>
      <c r="A693" s="37"/>
      <c r="B693" s="37"/>
      <c r="C693" s="37"/>
      <c r="D693" s="37"/>
      <c r="E693" s="37"/>
      <c r="F693" s="37"/>
      <c r="G693" s="37"/>
      <c r="H693" s="37"/>
      <c r="I693" s="37"/>
      <c r="J693" s="52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>
      <c r="A694" s="37"/>
      <c r="B694" s="37"/>
      <c r="C694" s="37"/>
      <c r="D694" s="37"/>
      <c r="E694" s="37"/>
      <c r="F694" s="37"/>
      <c r="G694" s="37"/>
      <c r="H694" s="37"/>
      <c r="I694" s="37"/>
      <c r="J694" s="52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>
      <c r="A695" s="37"/>
      <c r="B695" s="37"/>
      <c r="C695" s="37"/>
      <c r="D695" s="37"/>
      <c r="E695" s="37"/>
      <c r="F695" s="37"/>
      <c r="G695" s="37"/>
      <c r="H695" s="37"/>
      <c r="I695" s="37"/>
      <c r="J695" s="52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>
      <c r="A696" s="37"/>
      <c r="B696" s="37"/>
      <c r="C696" s="37"/>
      <c r="D696" s="37"/>
      <c r="E696" s="37"/>
      <c r="F696" s="37"/>
      <c r="G696" s="37"/>
      <c r="H696" s="37"/>
      <c r="I696" s="37"/>
      <c r="J696" s="52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>
      <c r="A697" s="37"/>
      <c r="B697" s="37"/>
      <c r="C697" s="37"/>
      <c r="D697" s="37"/>
      <c r="E697" s="37"/>
      <c r="F697" s="37"/>
      <c r="G697" s="37"/>
      <c r="H697" s="37"/>
      <c r="I697" s="37"/>
      <c r="J697" s="52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>
      <c r="A698" s="37"/>
      <c r="B698" s="37"/>
      <c r="C698" s="37"/>
      <c r="D698" s="37"/>
      <c r="E698" s="37"/>
      <c r="F698" s="37"/>
      <c r="G698" s="37"/>
      <c r="H698" s="37"/>
      <c r="I698" s="37"/>
      <c r="J698" s="52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>
      <c r="A699" s="37"/>
      <c r="B699" s="37"/>
      <c r="C699" s="37"/>
      <c r="D699" s="37"/>
      <c r="E699" s="37"/>
      <c r="F699" s="37"/>
      <c r="G699" s="37"/>
      <c r="H699" s="37"/>
      <c r="I699" s="37"/>
      <c r="J699" s="52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>
      <c r="A700" s="37"/>
      <c r="B700" s="37"/>
      <c r="C700" s="37"/>
      <c r="D700" s="37"/>
      <c r="E700" s="37"/>
      <c r="F700" s="37"/>
      <c r="G700" s="37"/>
      <c r="H700" s="37"/>
      <c r="I700" s="37"/>
      <c r="J700" s="52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>
      <c r="A701" s="37"/>
      <c r="B701" s="37"/>
      <c r="C701" s="37"/>
      <c r="D701" s="37"/>
      <c r="E701" s="37"/>
      <c r="F701" s="37"/>
      <c r="G701" s="37"/>
      <c r="H701" s="37"/>
      <c r="I701" s="37"/>
      <c r="J701" s="52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>
      <c r="A702" s="37"/>
      <c r="B702" s="37"/>
      <c r="C702" s="37"/>
      <c r="D702" s="37"/>
      <c r="E702" s="37"/>
      <c r="F702" s="37"/>
      <c r="G702" s="37"/>
      <c r="H702" s="37"/>
      <c r="I702" s="37"/>
      <c r="J702" s="52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>
      <c r="A703" s="37"/>
      <c r="B703" s="37"/>
      <c r="C703" s="37"/>
      <c r="D703" s="37"/>
      <c r="E703" s="37"/>
      <c r="F703" s="37"/>
      <c r="G703" s="37"/>
      <c r="H703" s="37"/>
      <c r="I703" s="37"/>
      <c r="J703" s="52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>
      <c r="A704" s="37"/>
      <c r="B704" s="37"/>
      <c r="C704" s="37"/>
      <c r="D704" s="37"/>
      <c r="E704" s="37"/>
      <c r="F704" s="37"/>
      <c r="G704" s="37"/>
      <c r="H704" s="37"/>
      <c r="I704" s="37"/>
      <c r="J704" s="52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>
      <c r="A705" s="37"/>
      <c r="B705" s="37"/>
      <c r="C705" s="37"/>
      <c r="D705" s="37"/>
      <c r="E705" s="37"/>
      <c r="F705" s="37"/>
      <c r="G705" s="37"/>
      <c r="H705" s="37"/>
      <c r="I705" s="37"/>
      <c r="J705" s="52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>
      <c r="A706" s="37"/>
      <c r="B706" s="37"/>
      <c r="C706" s="37"/>
      <c r="D706" s="37"/>
      <c r="E706" s="37"/>
      <c r="F706" s="37"/>
      <c r="G706" s="37"/>
      <c r="H706" s="37"/>
      <c r="I706" s="37"/>
      <c r="J706" s="52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>
      <c r="A707" s="37"/>
      <c r="B707" s="37"/>
      <c r="C707" s="37"/>
      <c r="D707" s="37"/>
      <c r="E707" s="37"/>
      <c r="F707" s="37"/>
      <c r="G707" s="37"/>
      <c r="H707" s="37"/>
      <c r="I707" s="37"/>
      <c r="J707" s="52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>
      <c r="A708" s="37"/>
      <c r="B708" s="37"/>
      <c r="C708" s="37"/>
      <c r="D708" s="37"/>
      <c r="E708" s="37"/>
      <c r="F708" s="37"/>
      <c r="G708" s="37"/>
      <c r="H708" s="37"/>
      <c r="I708" s="37"/>
      <c r="J708" s="52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>
      <c r="A709" s="37"/>
      <c r="B709" s="37"/>
      <c r="C709" s="37"/>
      <c r="D709" s="37"/>
      <c r="E709" s="37"/>
      <c r="F709" s="37"/>
      <c r="G709" s="37"/>
      <c r="H709" s="37"/>
      <c r="I709" s="37"/>
      <c r="J709" s="52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>
      <c r="A710" s="37"/>
      <c r="B710" s="37"/>
      <c r="C710" s="37"/>
      <c r="D710" s="37"/>
      <c r="E710" s="37"/>
      <c r="F710" s="37"/>
      <c r="G710" s="37"/>
      <c r="H710" s="37"/>
      <c r="I710" s="37"/>
      <c r="J710" s="52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>
      <c r="A711" s="37"/>
      <c r="B711" s="37"/>
      <c r="C711" s="37"/>
      <c r="D711" s="37"/>
      <c r="E711" s="37"/>
      <c r="F711" s="37"/>
      <c r="G711" s="37"/>
      <c r="H711" s="37"/>
      <c r="I711" s="37"/>
      <c r="J711" s="52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>
      <c r="A712" s="37"/>
      <c r="B712" s="37"/>
      <c r="C712" s="37"/>
      <c r="D712" s="37"/>
      <c r="E712" s="37"/>
      <c r="F712" s="37"/>
      <c r="G712" s="37"/>
      <c r="H712" s="37"/>
      <c r="I712" s="37"/>
      <c r="J712" s="52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>
      <c r="A713" s="37"/>
      <c r="B713" s="37"/>
      <c r="C713" s="37"/>
      <c r="D713" s="37"/>
      <c r="E713" s="37"/>
      <c r="F713" s="37"/>
      <c r="G713" s="37"/>
      <c r="H713" s="37"/>
      <c r="I713" s="37"/>
      <c r="J713" s="52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>
      <c r="A714" s="37"/>
      <c r="B714" s="37"/>
      <c r="C714" s="37"/>
      <c r="D714" s="37"/>
      <c r="E714" s="37"/>
      <c r="F714" s="37"/>
      <c r="G714" s="37"/>
      <c r="H714" s="37"/>
      <c r="I714" s="37"/>
      <c r="J714" s="52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>
      <c r="A715" s="37"/>
      <c r="B715" s="37"/>
      <c r="C715" s="37"/>
      <c r="D715" s="37"/>
      <c r="E715" s="37"/>
      <c r="F715" s="37"/>
      <c r="G715" s="37"/>
      <c r="H715" s="37"/>
      <c r="I715" s="37"/>
      <c r="J715" s="52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>
      <c r="A716" s="37"/>
      <c r="B716" s="37"/>
      <c r="C716" s="37"/>
      <c r="D716" s="37"/>
      <c r="E716" s="37"/>
      <c r="F716" s="37"/>
      <c r="G716" s="37"/>
      <c r="H716" s="37"/>
      <c r="I716" s="37"/>
      <c r="J716" s="52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>
      <c r="A717" s="37"/>
      <c r="B717" s="37"/>
      <c r="C717" s="37"/>
      <c r="D717" s="37"/>
      <c r="E717" s="37"/>
      <c r="F717" s="37"/>
      <c r="G717" s="37"/>
      <c r="H717" s="37"/>
      <c r="I717" s="37"/>
      <c r="J717" s="52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>
      <c r="A718" s="37"/>
      <c r="B718" s="37"/>
      <c r="C718" s="37"/>
      <c r="D718" s="37"/>
      <c r="E718" s="37"/>
      <c r="F718" s="37"/>
      <c r="G718" s="37"/>
      <c r="H718" s="37"/>
      <c r="I718" s="37"/>
      <c r="J718" s="52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>
      <c r="A719" s="37"/>
      <c r="B719" s="37"/>
      <c r="C719" s="37"/>
      <c r="D719" s="37"/>
      <c r="E719" s="37"/>
      <c r="F719" s="37"/>
      <c r="G719" s="37"/>
      <c r="H719" s="37"/>
      <c r="I719" s="37"/>
      <c r="J719" s="52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>
      <c r="A720" s="37"/>
      <c r="B720" s="37"/>
      <c r="C720" s="37"/>
      <c r="D720" s="37"/>
      <c r="E720" s="37"/>
      <c r="F720" s="37"/>
      <c r="G720" s="37"/>
      <c r="H720" s="37"/>
      <c r="I720" s="37"/>
      <c r="J720" s="52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>
      <c r="A721" s="37"/>
      <c r="B721" s="37"/>
      <c r="C721" s="37"/>
      <c r="D721" s="37"/>
      <c r="E721" s="37"/>
      <c r="F721" s="37"/>
      <c r="G721" s="37"/>
      <c r="H721" s="37"/>
      <c r="I721" s="37"/>
      <c r="J721" s="52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>
      <c r="A722" s="37"/>
      <c r="B722" s="37"/>
      <c r="C722" s="37"/>
      <c r="D722" s="37"/>
      <c r="E722" s="37"/>
      <c r="F722" s="37"/>
      <c r="G722" s="37"/>
      <c r="H722" s="37"/>
      <c r="I722" s="37"/>
      <c r="J722" s="52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>
      <c r="A723" s="37"/>
      <c r="B723" s="37"/>
      <c r="C723" s="37"/>
      <c r="D723" s="37"/>
      <c r="E723" s="37"/>
      <c r="F723" s="37"/>
      <c r="G723" s="37"/>
      <c r="H723" s="37"/>
      <c r="I723" s="37"/>
      <c r="J723" s="52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>
      <c r="A724" s="37"/>
      <c r="B724" s="37"/>
      <c r="C724" s="37"/>
      <c r="D724" s="37"/>
      <c r="E724" s="37"/>
      <c r="F724" s="37"/>
      <c r="G724" s="37"/>
      <c r="H724" s="37"/>
      <c r="I724" s="37"/>
      <c r="J724" s="52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>
      <c r="A725" s="37"/>
      <c r="B725" s="37"/>
      <c r="C725" s="37"/>
      <c r="D725" s="37"/>
      <c r="E725" s="37"/>
      <c r="F725" s="37"/>
      <c r="G725" s="37"/>
      <c r="H725" s="37"/>
      <c r="I725" s="37"/>
      <c r="J725" s="52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>
      <c r="A726" s="37"/>
      <c r="B726" s="37"/>
      <c r="C726" s="37"/>
      <c r="D726" s="37"/>
      <c r="E726" s="37"/>
      <c r="F726" s="37"/>
      <c r="G726" s="37"/>
      <c r="H726" s="37"/>
      <c r="I726" s="37"/>
      <c r="J726" s="52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>
      <c r="A727" s="37"/>
      <c r="B727" s="37"/>
      <c r="C727" s="37"/>
      <c r="D727" s="37"/>
      <c r="E727" s="37"/>
      <c r="F727" s="37"/>
      <c r="G727" s="37"/>
      <c r="H727" s="37"/>
      <c r="I727" s="37"/>
      <c r="J727" s="52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>
      <c r="A728" s="37"/>
      <c r="B728" s="37"/>
      <c r="C728" s="37"/>
      <c r="D728" s="37"/>
      <c r="E728" s="37"/>
      <c r="F728" s="37"/>
      <c r="G728" s="37"/>
      <c r="H728" s="37"/>
      <c r="I728" s="37"/>
      <c r="J728" s="52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>
      <c r="A729" s="37"/>
      <c r="B729" s="37"/>
      <c r="C729" s="37"/>
      <c r="D729" s="37"/>
      <c r="E729" s="37"/>
      <c r="F729" s="37"/>
      <c r="G729" s="37"/>
      <c r="H729" s="37"/>
      <c r="I729" s="37"/>
      <c r="J729" s="52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>
      <c r="A730" s="37"/>
      <c r="B730" s="37"/>
      <c r="C730" s="37"/>
      <c r="D730" s="37"/>
      <c r="E730" s="37"/>
      <c r="F730" s="37"/>
      <c r="G730" s="37"/>
      <c r="H730" s="37"/>
      <c r="I730" s="37"/>
      <c r="J730" s="52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>
      <c r="A731" s="37"/>
      <c r="B731" s="37"/>
      <c r="C731" s="37"/>
      <c r="D731" s="37"/>
      <c r="E731" s="37"/>
      <c r="F731" s="37"/>
      <c r="G731" s="37"/>
      <c r="H731" s="37"/>
      <c r="I731" s="37"/>
      <c r="J731" s="52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>
      <c r="A732" s="37"/>
      <c r="B732" s="37"/>
      <c r="C732" s="37"/>
      <c r="D732" s="37"/>
      <c r="E732" s="37"/>
      <c r="F732" s="37"/>
      <c r="G732" s="37"/>
      <c r="H732" s="37"/>
      <c r="I732" s="37"/>
      <c r="J732" s="52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>
      <c r="A733" s="37"/>
      <c r="B733" s="37"/>
      <c r="C733" s="37"/>
      <c r="D733" s="37"/>
      <c r="E733" s="37"/>
      <c r="F733" s="37"/>
      <c r="G733" s="37"/>
      <c r="H733" s="37"/>
      <c r="I733" s="37"/>
      <c r="J733" s="52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>
      <c r="A734" s="37"/>
      <c r="B734" s="37"/>
      <c r="C734" s="37"/>
      <c r="D734" s="37"/>
      <c r="E734" s="37"/>
      <c r="F734" s="37"/>
      <c r="G734" s="37"/>
      <c r="H734" s="37"/>
      <c r="I734" s="37"/>
      <c r="J734" s="52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>
      <c r="A735" s="37"/>
      <c r="B735" s="37"/>
      <c r="C735" s="37"/>
      <c r="D735" s="37"/>
      <c r="E735" s="37"/>
      <c r="F735" s="37"/>
      <c r="G735" s="37"/>
      <c r="H735" s="37"/>
      <c r="I735" s="37"/>
      <c r="J735" s="52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>
      <c r="A736" s="37"/>
      <c r="B736" s="37"/>
      <c r="C736" s="37"/>
      <c r="D736" s="37"/>
      <c r="E736" s="37"/>
      <c r="F736" s="37"/>
      <c r="G736" s="37"/>
      <c r="H736" s="37"/>
      <c r="I736" s="37"/>
      <c r="J736" s="52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>
      <c r="A737" s="37"/>
      <c r="B737" s="37"/>
      <c r="C737" s="37"/>
      <c r="D737" s="37"/>
      <c r="E737" s="37"/>
      <c r="F737" s="37"/>
      <c r="G737" s="37"/>
      <c r="H737" s="37"/>
      <c r="I737" s="37"/>
      <c r="J737" s="52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>
      <c r="A738" s="37"/>
      <c r="B738" s="37"/>
      <c r="C738" s="37"/>
      <c r="D738" s="37"/>
      <c r="E738" s="37"/>
      <c r="F738" s="37"/>
      <c r="G738" s="37"/>
      <c r="H738" s="37"/>
      <c r="I738" s="37"/>
      <c r="J738" s="52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>
      <c r="A739" s="37"/>
      <c r="B739" s="37"/>
      <c r="C739" s="37"/>
      <c r="D739" s="37"/>
      <c r="E739" s="37"/>
      <c r="F739" s="37"/>
      <c r="G739" s="37"/>
      <c r="H739" s="37"/>
      <c r="I739" s="37"/>
      <c r="J739" s="52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>
      <c r="A740" s="37"/>
      <c r="B740" s="37"/>
      <c r="C740" s="37"/>
      <c r="D740" s="37"/>
      <c r="E740" s="37"/>
      <c r="F740" s="37"/>
      <c r="G740" s="37"/>
      <c r="H740" s="37"/>
      <c r="I740" s="37"/>
      <c r="J740" s="52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>
      <c r="A741" s="37"/>
      <c r="B741" s="37"/>
      <c r="C741" s="37"/>
      <c r="D741" s="37"/>
      <c r="E741" s="37"/>
      <c r="F741" s="37"/>
      <c r="G741" s="37"/>
      <c r="H741" s="37"/>
      <c r="I741" s="37"/>
      <c r="J741" s="52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>
      <c r="A742" s="37"/>
      <c r="B742" s="37"/>
      <c r="C742" s="37"/>
      <c r="D742" s="37"/>
      <c r="E742" s="37"/>
      <c r="F742" s="37"/>
      <c r="G742" s="37"/>
      <c r="H742" s="37"/>
      <c r="I742" s="37"/>
      <c r="J742" s="52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>
      <c r="A743" s="37"/>
      <c r="B743" s="37"/>
      <c r="C743" s="37"/>
      <c r="D743" s="37"/>
      <c r="E743" s="37"/>
      <c r="F743" s="37"/>
      <c r="G743" s="37"/>
      <c r="H743" s="37"/>
      <c r="I743" s="37"/>
      <c r="J743" s="52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>
      <c r="A744" s="37"/>
      <c r="B744" s="37"/>
      <c r="C744" s="37"/>
      <c r="D744" s="37"/>
      <c r="E744" s="37"/>
      <c r="F744" s="37"/>
      <c r="G744" s="37"/>
      <c r="H744" s="37"/>
      <c r="I744" s="37"/>
      <c r="J744" s="52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>
      <c r="A745" s="37"/>
      <c r="B745" s="37"/>
      <c r="C745" s="37"/>
      <c r="D745" s="37"/>
      <c r="E745" s="37"/>
      <c r="F745" s="37"/>
      <c r="G745" s="37"/>
      <c r="H745" s="37"/>
      <c r="I745" s="37"/>
      <c r="J745" s="52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>
      <c r="A746" s="37"/>
      <c r="B746" s="37"/>
      <c r="C746" s="37"/>
      <c r="D746" s="37"/>
      <c r="E746" s="37"/>
      <c r="F746" s="37"/>
      <c r="G746" s="37"/>
      <c r="H746" s="37"/>
      <c r="I746" s="37"/>
      <c r="J746" s="52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>
      <c r="A747" s="37"/>
      <c r="B747" s="37"/>
      <c r="C747" s="37"/>
      <c r="D747" s="37"/>
      <c r="E747" s="37"/>
      <c r="F747" s="37"/>
      <c r="G747" s="37"/>
      <c r="H747" s="37"/>
      <c r="I747" s="37"/>
      <c r="J747" s="52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>
      <c r="A748" s="37"/>
      <c r="B748" s="37"/>
      <c r="C748" s="37"/>
      <c r="D748" s="37"/>
      <c r="E748" s="37"/>
      <c r="F748" s="37"/>
      <c r="G748" s="37"/>
      <c r="H748" s="37"/>
      <c r="I748" s="37"/>
      <c r="J748" s="52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>
      <c r="A749" s="37"/>
      <c r="B749" s="37"/>
      <c r="C749" s="37"/>
      <c r="D749" s="37"/>
      <c r="E749" s="37"/>
      <c r="F749" s="37"/>
      <c r="G749" s="37"/>
      <c r="H749" s="37"/>
      <c r="I749" s="37"/>
      <c r="J749" s="52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>
      <c r="A750" s="37"/>
      <c r="B750" s="37"/>
      <c r="C750" s="37"/>
      <c r="D750" s="37"/>
      <c r="E750" s="37"/>
      <c r="F750" s="37"/>
      <c r="G750" s="37"/>
      <c r="H750" s="37"/>
      <c r="I750" s="37"/>
      <c r="J750" s="52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>
      <c r="A751" s="37"/>
      <c r="B751" s="37"/>
      <c r="C751" s="37"/>
      <c r="D751" s="37"/>
      <c r="E751" s="37"/>
      <c r="F751" s="37"/>
      <c r="G751" s="37"/>
      <c r="H751" s="37"/>
      <c r="I751" s="37"/>
      <c r="J751" s="52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>
      <c r="A752" s="37"/>
      <c r="B752" s="37"/>
      <c r="C752" s="37"/>
      <c r="D752" s="37"/>
      <c r="E752" s="37"/>
      <c r="F752" s="37"/>
      <c r="G752" s="37"/>
      <c r="H752" s="37"/>
      <c r="I752" s="37"/>
      <c r="J752" s="52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>
      <c r="A753" s="37"/>
      <c r="B753" s="37"/>
      <c r="C753" s="37"/>
      <c r="D753" s="37"/>
      <c r="E753" s="37"/>
      <c r="F753" s="37"/>
      <c r="G753" s="37"/>
      <c r="H753" s="37"/>
      <c r="I753" s="37"/>
      <c r="J753" s="52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>
      <c r="A754" s="37"/>
      <c r="B754" s="37"/>
      <c r="C754" s="37"/>
      <c r="D754" s="37"/>
      <c r="E754" s="37"/>
      <c r="F754" s="37"/>
      <c r="G754" s="37"/>
      <c r="H754" s="37"/>
      <c r="I754" s="37"/>
      <c r="J754" s="52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>
      <c r="A755" s="37"/>
      <c r="B755" s="37"/>
      <c r="C755" s="37"/>
      <c r="D755" s="37"/>
      <c r="E755" s="37"/>
      <c r="F755" s="37"/>
      <c r="G755" s="37"/>
      <c r="H755" s="37"/>
      <c r="I755" s="37"/>
      <c r="J755" s="52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>
      <c r="A756" s="37"/>
      <c r="B756" s="37"/>
      <c r="C756" s="37"/>
      <c r="D756" s="37"/>
      <c r="E756" s="37"/>
      <c r="F756" s="37"/>
      <c r="G756" s="37"/>
      <c r="H756" s="37"/>
      <c r="I756" s="37"/>
      <c r="J756" s="52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>
      <c r="A757" s="37"/>
      <c r="B757" s="37"/>
      <c r="C757" s="37"/>
      <c r="D757" s="37"/>
      <c r="E757" s="37"/>
      <c r="F757" s="37"/>
      <c r="G757" s="37"/>
      <c r="H757" s="37"/>
      <c r="I757" s="37"/>
      <c r="J757" s="52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>
      <c r="A758" s="37"/>
      <c r="B758" s="37"/>
      <c r="C758" s="37"/>
      <c r="D758" s="37"/>
      <c r="E758" s="37"/>
      <c r="F758" s="37"/>
      <c r="G758" s="37"/>
      <c r="H758" s="37"/>
      <c r="I758" s="37"/>
      <c r="J758" s="52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>
      <c r="A759" s="37"/>
      <c r="B759" s="37"/>
      <c r="C759" s="37"/>
      <c r="D759" s="37"/>
      <c r="E759" s="37"/>
      <c r="F759" s="37"/>
      <c r="G759" s="37"/>
      <c r="H759" s="37"/>
      <c r="I759" s="37"/>
      <c r="J759" s="52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>
      <c r="A760" s="37"/>
      <c r="B760" s="37"/>
      <c r="C760" s="37"/>
      <c r="D760" s="37"/>
      <c r="E760" s="37"/>
      <c r="F760" s="37"/>
      <c r="G760" s="37"/>
      <c r="H760" s="37"/>
      <c r="I760" s="37"/>
      <c r="J760" s="52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>
      <c r="A761" s="37"/>
      <c r="B761" s="37"/>
      <c r="C761" s="37"/>
      <c r="D761" s="37"/>
      <c r="E761" s="37"/>
      <c r="F761" s="37"/>
      <c r="G761" s="37"/>
      <c r="H761" s="37"/>
      <c r="I761" s="37"/>
      <c r="J761" s="52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>
      <c r="A762" s="37"/>
      <c r="B762" s="37"/>
      <c r="C762" s="37"/>
      <c r="D762" s="37"/>
      <c r="E762" s="37"/>
      <c r="F762" s="37"/>
      <c r="G762" s="37"/>
      <c r="H762" s="37"/>
      <c r="I762" s="37"/>
      <c r="J762" s="52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>
      <c r="A763" s="37"/>
      <c r="B763" s="37"/>
      <c r="C763" s="37"/>
      <c r="D763" s="37"/>
      <c r="E763" s="37"/>
      <c r="F763" s="37"/>
      <c r="G763" s="37"/>
      <c r="H763" s="37"/>
      <c r="I763" s="37"/>
      <c r="J763" s="52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>
      <c r="A764" s="37"/>
      <c r="B764" s="37"/>
      <c r="C764" s="37"/>
      <c r="D764" s="37"/>
      <c r="E764" s="37"/>
      <c r="F764" s="37"/>
      <c r="G764" s="37"/>
      <c r="H764" s="37"/>
      <c r="I764" s="37"/>
      <c r="J764" s="52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>
      <c r="A765" s="37"/>
      <c r="B765" s="37"/>
      <c r="C765" s="37"/>
      <c r="D765" s="37"/>
      <c r="E765" s="37"/>
      <c r="F765" s="37"/>
      <c r="G765" s="37"/>
      <c r="H765" s="37"/>
      <c r="I765" s="37"/>
      <c r="J765" s="52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>
      <c r="A766" s="37"/>
      <c r="B766" s="37"/>
      <c r="C766" s="37"/>
      <c r="D766" s="37"/>
      <c r="E766" s="37"/>
      <c r="F766" s="37"/>
      <c r="G766" s="37"/>
      <c r="H766" s="37"/>
      <c r="I766" s="37"/>
      <c r="J766" s="52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>
      <c r="A767" s="37"/>
      <c r="B767" s="37"/>
      <c r="C767" s="37"/>
      <c r="D767" s="37"/>
      <c r="E767" s="37"/>
      <c r="F767" s="37"/>
      <c r="G767" s="37"/>
      <c r="H767" s="37"/>
      <c r="I767" s="37"/>
      <c r="J767" s="52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>
      <c r="A768" s="37"/>
      <c r="B768" s="37"/>
      <c r="C768" s="37"/>
      <c r="D768" s="37"/>
      <c r="E768" s="37"/>
      <c r="F768" s="37"/>
      <c r="G768" s="37"/>
      <c r="H768" s="37"/>
      <c r="I768" s="37"/>
      <c r="J768" s="52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>
      <c r="A769" s="37"/>
      <c r="B769" s="37"/>
      <c r="C769" s="37"/>
      <c r="D769" s="37"/>
      <c r="E769" s="37"/>
      <c r="F769" s="37"/>
      <c r="G769" s="37"/>
      <c r="H769" s="37"/>
      <c r="I769" s="37"/>
      <c r="J769" s="52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>
      <c r="A770" s="37"/>
      <c r="B770" s="37"/>
      <c r="C770" s="37"/>
      <c r="D770" s="37"/>
      <c r="E770" s="37"/>
      <c r="F770" s="37"/>
      <c r="G770" s="37"/>
      <c r="H770" s="37"/>
      <c r="I770" s="37"/>
      <c r="J770" s="52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>
      <c r="A771" s="37"/>
      <c r="B771" s="37"/>
      <c r="C771" s="37"/>
      <c r="D771" s="37"/>
      <c r="E771" s="37"/>
      <c r="F771" s="37"/>
      <c r="G771" s="37"/>
      <c r="H771" s="37"/>
      <c r="I771" s="37"/>
      <c r="J771" s="52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>
      <c r="A772" s="37"/>
      <c r="B772" s="37"/>
      <c r="C772" s="37"/>
      <c r="D772" s="37"/>
      <c r="E772" s="37"/>
      <c r="F772" s="37"/>
      <c r="G772" s="37"/>
      <c r="H772" s="37"/>
      <c r="I772" s="37"/>
      <c r="J772" s="52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>
      <c r="A773" s="37"/>
      <c r="B773" s="37"/>
      <c r="C773" s="37"/>
      <c r="D773" s="37"/>
      <c r="E773" s="37"/>
      <c r="F773" s="37"/>
      <c r="G773" s="37"/>
      <c r="H773" s="37"/>
      <c r="I773" s="37"/>
      <c r="J773" s="52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>
      <c r="A774" s="37"/>
      <c r="B774" s="37"/>
      <c r="C774" s="37"/>
      <c r="D774" s="37"/>
      <c r="E774" s="37"/>
      <c r="F774" s="37"/>
      <c r="G774" s="37"/>
      <c r="H774" s="37"/>
      <c r="I774" s="37"/>
      <c r="J774" s="52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>
      <c r="A775" s="37"/>
      <c r="B775" s="37"/>
      <c r="C775" s="37"/>
      <c r="D775" s="37"/>
      <c r="E775" s="37"/>
      <c r="F775" s="37"/>
      <c r="G775" s="37"/>
      <c r="H775" s="37"/>
      <c r="I775" s="37"/>
      <c r="J775" s="52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>
      <c r="A776" s="37"/>
      <c r="B776" s="37"/>
      <c r="C776" s="37"/>
      <c r="D776" s="37"/>
      <c r="E776" s="37"/>
      <c r="F776" s="37"/>
      <c r="G776" s="37"/>
      <c r="H776" s="37"/>
      <c r="I776" s="37"/>
      <c r="J776" s="52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>
      <c r="A777" s="37"/>
      <c r="B777" s="37"/>
      <c r="C777" s="37"/>
      <c r="D777" s="37"/>
      <c r="E777" s="37"/>
      <c r="F777" s="37"/>
      <c r="G777" s="37"/>
      <c r="H777" s="37"/>
      <c r="I777" s="37"/>
      <c r="J777" s="52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>
      <c r="A778" s="37"/>
      <c r="B778" s="37"/>
      <c r="C778" s="37"/>
      <c r="D778" s="37"/>
      <c r="E778" s="37"/>
      <c r="F778" s="37"/>
      <c r="G778" s="37"/>
      <c r="H778" s="37"/>
      <c r="I778" s="37"/>
      <c r="J778" s="52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>
      <c r="A779" s="37"/>
      <c r="B779" s="37"/>
      <c r="C779" s="37"/>
      <c r="D779" s="37"/>
      <c r="E779" s="37"/>
      <c r="F779" s="37"/>
      <c r="G779" s="37"/>
      <c r="H779" s="37"/>
      <c r="I779" s="37"/>
      <c r="J779" s="52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>
      <c r="A780" s="37"/>
      <c r="B780" s="37"/>
      <c r="C780" s="37"/>
      <c r="D780" s="37"/>
      <c r="E780" s="37"/>
      <c r="F780" s="37"/>
      <c r="G780" s="37"/>
      <c r="H780" s="37"/>
      <c r="I780" s="37"/>
      <c r="J780" s="52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>
      <c r="A781" s="37"/>
      <c r="B781" s="37"/>
      <c r="C781" s="37"/>
      <c r="D781" s="37"/>
      <c r="E781" s="37"/>
      <c r="F781" s="37"/>
      <c r="G781" s="37"/>
      <c r="H781" s="37"/>
      <c r="I781" s="37"/>
      <c r="J781" s="52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>
      <c r="A782" s="37"/>
      <c r="B782" s="37"/>
      <c r="C782" s="37"/>
      <c r="D782" s="37"/>
      <c r="E782" s="37"/>
      <c r="F782" s="37"/>
      <c r="G782" s="37"/>
      <c r="H782" s="37"/>
      <c r="I782" s="37"/>
      <c r="J782" s="52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>
      <c r="A783" s="37"/>
      <c r="B783" s="37"/>
      <c r="C783" s="37"/>
      <c r="D783" s="37"/>
      <c r="E783" s="37"/>
      <c r="F783" s="37"/>
      <c r="G783" s="37"/>
      <c r="H783" s="37"/>
      <c r="I783" s="37"/>
      <c r="J783" s="52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>
      <c r="A784" s="37"/>
      <c r="B784" s="37"/>
      <c r="C784" s="37"/>
      <c r="D784" s="37"/>
      <c r="E784" s="37"/>
      <c r="F784" s="37"/>
      <c r="G784" s="37"/>
      <c r="H784" s="37"/>
      <c r="I784" s="37"/>
      <c r="J784" s="52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>
      <c r="A785" s="37"/>
      <c r="B785" s="37"/>
      <c r="C785" s="37"/>
      <c r="D785" s="37"/>
      <c r="E785" s="37"/>
      <c r="F785" s="37"/>
      <c r="G785" s="37"/>
      <c r="H785" s="37"/>
      <c r="I785" s="37"/>
      <c r="J785" s="52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>
      <c r="A786" s="37"/>
      <c r="B786" s="37"/>
      <c r="C786" s="37"/>
      <c r="D786" s="37"/>
      <c r="E786" s="37"/>
      <c r="F786" s="37"/>
      <c r="G786" s="37"/>
      <c r="H786" s="37"/>
      <c r="I786" s="37"/>
      <c r="J786" s="52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>
      <c r="A787" s="37"/>
      <c r="B787" s="37"/>
      <c r="C787" s="37"/>
      <c r="D787" s="37"/>
      <c r="E787" s="37"/>
      <c r="F787" s="37"/>
      <c r="G787" s="37"/>
      <c r="H787" s="37"/>
      <c r="I787" s="37"/>
      <c r="J787" s="52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>
      <c r="A788" s="37"/>
      <c r="B788" s="37"/>
      <c r="C788" s="37"/>
      <c r="D788" s="37"/>
      <c r="E788" s="37"/>
      <c r="F788" s="37"/>
      <c r="G788" s="37"/>
      <c r="H788" s="37"/>
      <c r="I788" s="37"/>
      <c r="J788" s="52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>
      <c r="A789" s="37"/>
      <c r="B789" s="37"/>
      <c r="C789" s="37"/>
      <c r="D789" s="37"/>
      <c r="E789" s="37"/>
      <c r="F789" s="37"/>
      <c r="G789" s="37"/>
      <c r="H789" s="37"/>
      <c r="I789" s="37"/>
      <c r="J789" s="52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>
      <c r="A790" s="37"/>
      <c r="B790" s="37"/>
      <c r="C790" s="37"/>
      <c r="D790" s="37"/>
      <c r="E790" s="37"/>
      <c r="F790" s="37"/>
      <c r="G790" s="37"/>
      <c r="H790" s="37"/>
      <c r="I790" s="37"/>
      <c r="J790" s="52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>
      <c r="A791" s="37"/>
      <c r="B791" s="37"/>
      <c r="C791" s="37"/>
      <c r="D791" s="37"/>
      <c r="E791" s="37"/>
      <c r="F791" s="37"/>
      <c r="G791" s="37"/>
      <c r="H791" s="37"/>
      <c r="I791" s="37"/>
      <c r="J791" s="52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>
      <c r="A792" s="37"/>
      <c r="B792" s="37"/>
      <c r="C792" s="37"/>
      <c r="D792" s="37"/>
      <c r="E792" s="37"/>
      <c r="F792" s="37"/>
      <c r="G792" s="37"/>
      <c r="H792" s="37"/>
      <c r="I792" s="37"/>
      <c r="J792" s="52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>
      <c r="A793" s="37"/>
      <c r="B793" s="37"/>
      <c r="C793" s="37"/>
      <c r="D793" s="37"/>
      <c r="E793" s="37"/>
      <c r="F793" s="37"/>
      <c r="G793" s="37"/>
      <c r="H793" s="37"/>
      <c r="I793" s="37"/>
      <c r="J793" s="52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>
      <c r="A794" s="37"/>
      <c r="B794" s="37"/>
      <c r="C794" s="37"/>
      <c r="D794" s="37"/>
      <c r="E794" s="37"/>
      <c r="F794" s="37"/>
      <c r="G794" s="37"/>
      <c r="H794" s="37"/>
      <c r="I794" s="37"/>
      <c r="J794" s="52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>
      <c r="A795" s="37"/>
      <c r="B795" s="37"/>
      <c r="C795" s="37"/>
      <c r="D795" s="37"/>
      <c r="E795" s="37"/>
      <c r="F795" s="37"/>
      <c r="G795" s="37"/>
      <c r="H795" s="37"/>
      <c r="I795" s="37"/>
      <c r="J795" s="52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>
      <c r="A796" s="37"/>
      <c r="B796" s="37"/>
      <c r="C796" s="37"/>
      <c r="D796" s="37"/>
      <c r="E796" s="37"/>
      <c r="F796" s="37"/>
      <c r="G796" s="37"/>
      <c r="H796" s="37"/>
      <c r="I796" s="37"/>
      <c r="J796" s="52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>
      <c r="A797" s="37"/>
      <c r="B797" s="37"/>
      <c r="C797" s="37"/>
      <c r="D797" s="37"/>
      <c r="E797" s="37"/>
      <c r="F797" s="37"/>
      <c r="G797" s="37"/>
      <c r="H797" s="37"/>
      <c r="I797" s="37"/>
      <c r="J797" s="52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>
      <c r="A798" s="37"/>
      <c r="B798" s="37"/>
      <c r="C798" s="37"/>
      <c r="D798" s="37"/>
      <c r="E798" s="37"/>
      <c r="F798" s="37"/>
      <c r="G798" s="37"/>
      <c r="H798" s="37"/>
      <c r="I798" s="37"/>
      <c r="J798" s="52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>
      <c r="A799" s="37"/>
      <c r="B799" s="37"/>
      <c r="C799" s="37"/>
      <c r="D799" s="37"/>
      <c r="E799" s="37"/>
      <c r="F799" s="37"/>
      <c r="G799" s="37"/>
      <c r="H799" s="37"/>
      <c r="I799" s="37"/>
      <c r="J799" s="52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>
      <c r="A800" s="37"/>
      <c r="B800" s="37"/>
      <c r="C800" s="37"/>
      <c r="D800" s="37"/>
      <c r="E800" s="37"/>
      <c r="F800" s="37"/>
      <c r="G800" s="37"/>
      <c r="H800" s="37"/>
      <c r="I800" s="37"/>
      <c r="J800" s="52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>
      <c r="A801" s="37"/>
      <c r="B801" s="37"/>
      <c r="C801" s="37"/>
      <c r="D801" s="37"/>
      <c r="E801" s="37"/>
      <c r="F801" s="37"/>
      <c r="G801" s="37"/>
      <c r="H801" s="37"/>
      <c r="I801" s="37"/>
      <c r="J801" s="52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>
      <c r="A802" s="37"/>
      <c r="B802" s="37"/>
      <c r="C802" s="37"/>
      <c r="D802" s="37"/>
      <c r="E802" s="37"/>
      <c r="F802" s="37"/>
      <c r="G802" s="37"/>
      <c r="H802" s="37"/>
      <c r="I802" s="37"/>
      <c r="J802" s="52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>
      <c r="A803" s="37"/>
      <c r="B803" s="37"/>
      <c r="C803" s="37"/>
      <c r="D803" s="37"/>
      <c r="E803" s="37"/>
      <c r="F803" s="37"/>
      <c r="G803" s="37"/>
      <c r="H803" s="37"/>
      <c r="I803" s="37"/>
      <c r="J803" s="52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>
      <c r="A804" s="37"/>
      <c r="B804" s="37"/>
      <c r="C804" s="37"/>
      <c r="D804" s="37"/>
      <c r="E804" s="37"/>
      <c r="F804" s="37"/>
      <c r="G804" s="37"/>
      <c r="H804" s="37"/>
      <c r="I804" s="37"/>
      <c r="J804" s="52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>
      <c r="A805" s="37"/>
      <c r="B805" s="37"/>
      <c r="C805" s="37"/>
      <c r="D805" s="37"/>
      <c r="E805" s="37"/>
      <c r="F805" s="37"/>
      <c r="G805" s="37"/>
      <c r="H805" s="37"/>
      <c r="I805" s="37"/>
      <c r="J805" s="52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>
      <c r="A806" s="37"/>
      <c r="B806" s="37"/>
      <c r="C806" s="37"/>
      <c r="D806" s="37"/>
      <c r="E806" s="37"/>
      <c r="F806" s="37"/>
      <c r="G806" s="37"/>
      <c r="H806" s="37"/>
      <c r="I806" s="37"/>
      <c r="J806" s="52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>
      <c r="A807" s="37"/>
      <c r="B807" s="37"/>
      <c r="C807" s="37"/>
      <c r="D807" s="37"/>
      <c r="E807" s="37"/>
      <c r="F807" s="37"/>
      <c r="G807" s="37"/>
      <c r="H807" s="37"/>
      <c r="I807" s="37"/>
      <c r="J807" s="52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>
      <c r="A808" s="37"/>
      <c r="B808" s="37"/>
      <c r="C808" s="37"/>
      <c r="D808" s="37"/>
      <c r="E808" s="37"/>
      <c r="F808" s="37"/>
      <c r="G808" s="37"/>
      <c r="H808" s="37"/>
      <c r="I808" s="37"/>
      <c r="J808" s="52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>
      <c r="A809" s="37"/>
      <c r="B809" s="37"/>
      <c r="C809" s="37"/>
      <c r="D809" s="37"/>
      <c r="E809" s="37"/>
      <c r="F809" s="37"/>
      <c r="G809" s="37"/>
      <c r="H809" s="37"/>
      <c r="I809" s="37"/>
      <c r="J809" s="52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>
      <c r="A810" s="37"/>
      <c r="B810" s="37"/>
      <c r="C810" s="37"/>
      <c r="D810" s="37"/>
      <c r="E810" s="37"/>
      <c r="F810" s="37"/>
      <c r="G810" s="37"/>
      <c r="H810" s="37"/>
      <c r="I810" s="37"/>
      <c r="J810" s="52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>
      <c r="A811" s="37"/>
      <c r="B811" s="37"/>
      <c r="C811" s="37"/>
      <c r="D811" s="37"/>
      <c r="E811" s="37"/>
      <c r="F811" s="37"/>
      <c r="G811" s="37"/>
      <c r="H811" s="37"/>
      <c r="I811" s="37"/>
      <c r="J811" s="52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>
      <c r="A812" s="37"/>
      <c r="B812" s="37"/>
      <c r="C812" s="37"/>
      <c r="D812" s="37"/>
      <c r="E812" s="37"/>
      <c r="F812" s="37"/>
      <c r="G812" s="37"/>
      <c r="H812" s="37"/>
      <c r="I812" s="37"/>
      <c r="J812" s="52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>
      <c r="A813" s="37"/>
      <c r="B813" s="37"/>
      <c r="C813" s="37"/>
      <c r="D813" s="37"/>
      <c r="E813" s="37"/>
      <c r="F813" s="37"/>
      <c r="G813" s="37"/>
      <c r="H813" s="37"/>
      <c r="I813" s="37"/>
      <c r="J813" s="52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>
      <c r="A814" s="37"/>
      <c r="B814" s="37"/>
      <c r="C814" s="37"/>
      <c r="D814" s="37"/>
      <c r="E814" s="37"/>
      <c r="F814" s="37"/>
      <c r="G814" s="37"/>
      <c r="H814" s="37"/>
      <c r="I814" s="37"/>
      <c r="J814" s="52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>
      <c r="A815" s="37"/>
      <c r="B815" s="37"/>
      <c r="C815" s="37"/>
      <c r="D815" s="37"/>
      <c r="E815" s="37"/>
      <c r="F815" s="37"/>
      <c r="G815" s="37"/>
      <c r="H815" s="37"/>
      <c r="I815" s="37"/>
      <c r="J815" s="52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>
      <c r="A816" s="37"/>
      <c r="B816" s="37"/>
      <c r="C816" s="37"/>
      <c r="D816" s="37"/>
      <c r="E816" s="37"/>
      <c r="F816" s="37"/>
      <c r="G816" s="37"/>
      <c r="H816" s="37"/>
      <c r="I816" s="37"/>
      <c r="J816" s="52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>
      <c r="A817" s="37"/>
      <c r="B817" s="37"/>
      <c r="C817" s="37"/>
      <c r="D817" s="37"/>
      <c r="E817" s="37"/>
      <c r="F817" s="37"/>
      <c r="G817" s="37"/>
      <c r="H817" s="37"/>
      <c r="I817" s="37"/>
      <c r="J817" s="52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>
      <c r="A818" s="37"/>
      <c r="B818" s="37"/>
      <c r="C818" s="37"/>
      <c r="D818" s="37"/>
      <c r="E818" s="37"/>
      <c r="F818" s="37"/>
      <c r="G818" s="37"/>
      <c r="H818" s="37"/>
      <c r="I818" s="37"/>
      <c r="J818" s="52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>
      <c r="A819" s="37"/>
      <c r="B819" s="37"/>
      <c r="C819" s="37"/>
      <c r="D819" s="37"/>
      <c r="E819" s="37"/>
      <c r="F819" s="37"/>
      <c r="G819" s="37"/>
      <c r="H819" s="37"/>
      <c r="I819" s="37"/>
      <c r="J819" s="52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>
      <c r="A820" s="37"/>
      <c r="B820" s="37"/>
      <c r="C820" s="37"/>
      <c r="D820" s="37"/>
      <c r="E820" s="37"/>
      <c r="F820" s="37"/>
      <c r="G820" s="37"/>
      <c r="H820" s="37"/>
      <c r="I820" s="37"/>
      <c r="J820" s="52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>
      <c r="A821" s="37"/>
      <c r="B821" s="37"/>
      <c r="C821" s="37"/>
      <c r="D821" s="37"/>
      <c r="E821" s="37"/>
      <c r="F821" s="37"/>
      <c r="G821" s="37"/>
      <c r="H821" s="37"/>
      <c r="I821" s="37"/>
      <c r="J821" s="52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>
      <c r="A822" s="37"/>
      <c r="B822" s="37"/>
      <c r="C822" s="37"/>
      <c r="D822" s="37"/>
      <c r="E822" s="37"/>
      <c r="F822" s="37"/>
      <c r="G822" s="37"/>
      <c r="H822" s="37"/>
      <c r="I822" s="37"/>
      <c r="J822" s="52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>
      <c r="A823" s="37"/>
      <c r="B823" s="37"/>
      <c r="C823" s="37"/>
      <c r="D823" s="37"/>
      <c r="E823" s="37"/>
      <c r="F823" s="37"/>
      <c r="G823" s="37"/>
      <c r="H823" s="37"/>
      <c r="I823" s="37"/>
      <c r="J823" s="52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>
      <c r="A824" s="37"/>
      <c r="B824" s="37"/>
      <c r="C824" s="37"/>
      <c r="D824" s="37"/>
      <c r="E824" s="37"/>
      <c r="F824" s="37"/>
      <c r="G824" s="37"/>
      <c r="H824" s="37"/>
      <c r="I824" s="37"/>
      <c r="J824" s="52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>
      <c r="A825" s="37"/>
      <c r="B825" s="37"/>
      <c r="C825" s="37"/>
      <c r="D825" s="37"/>
      <c r="E825" s="37"/>
      <c r="F825" s="37"/>
      <c r="G825" s="37"/>
      <c r="H825" s="37"/>
      <c r="I825" s="37"/>
      <c r="J825" s="52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>
      <c r="A826" s="37"/>
      <c r="B826" s="37"/>
      <c r="C826" s="37"/>
      <c r="D826" s="37"/>
      <c r="E826" s="37"/>
      <c r="F826" s="37"/>
      <c r="G826" s="37"/>
      <c r="H826" s="37"/>
      <c r="I826" s="37"/>
      <c r="J826" s="52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>
      <c r="A827" s="37"/>
      <c r="B827" s="37"/>
      <c r="C827" s="37"/>
      <c r="D827" s="37"/>
      <c r="E827" s="37"/>
      <c r="F827" s="37"/>
      <c r="G827" s="37"/>
      <c r="H827" s="37"/>
      <c r="I827" s="37"/>
      <c r="J827" s="52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>
      <c r="A828" s="37"/>
      <c r="B828" s="37"/>
      <c r="C828" s="37"/>
      <c r="D828" s="37"/>
      <c r="E828" s="37"/>
      <c r="F828" s="37"/>
      <c r="G828" s="37"/>
      <c r="H828" s="37"/>
      <c r="I828" s="37"/>
      <c r="J828" s="52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>
      <c r="A829" s="37"/>
      <c r="B829" s="37"/>
      <c r="C829" s="37"/>
      <c r="D829" s="37"/>
      <c r="E829" s="37"/>
      <c r="F829" s="37"/>
      <c r="G829" s="37"/>
      <c r="H829" s="37"/>
      <c r="I829" s="37"/>
      <c r="J829" s="52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>
      <c r="A830" s="37"/>
      <c r="B830" s="37"/>
      <c r="C830" s="37"/>
      <c r="D830" s="37"/>
      <c r="E830" s="37"/>
      <c r="F830" s="37"/>
      <c r="G830" s="37"/>
      <c r="H830" s="37"/>
      <c r="I830" s="37"/>
      <c r="J830" s="52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>
      <c r="A831" s="37"/>
      <c r="B831" s="37"/>
      <c r="C831" s="37"/>
      <c r="D831" s="37"/>
      <c r="E831" s="37"/>
      <c r="F831" s="37"/>
      <c r="G831" s="37"/>
      <c r="H831" s="37"/>
      <c r="I831" s="37"/>
      <c r="J831" s="52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>
      <c r="A832" s="37"/>
      <c r="B832" s="37"/>
      <c r="C832" s="37"/>
      <c r="D832" s="37"/>
      <c r="E832" s="37"/>
      <c r="F832" s="37"/>
      <c r="G832" s="37"/>
      <c r="H832" s="37"/>
      <c r="I832" s="37"/>
      <c r="J832" s="52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>
      <c r="A833" s="37"/>
      <c r="B833" s="37"/>
      <c r="C833" s="37"/>
      <c r="D833" s="37"/>
      <c r="E833" s="37"/>
      <c r="F833" s="37"/>
      <c r="G833" s="37"/>
      <c r="H833" s="37"/>
      <c r="I833" s="37"/>
      <c r="J833" s="52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>
      <c r="A834" s="37"/>
      <c r="B834" s="37"/>
      <c r="C834" s="37"/>
      <c r="D834" s="37"/>
      <c r="E834" s="37"/>
      <c r="F834" s="37"/>
      <c r="G834" s="37"/>
      <c r="H834" s="37"/>
      <c r="I834" s="37"/>
      <c r="J834" s="52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>
      <c r="A835" s="37"/>
      <c r="B835" s="37"/>
      <c r="C835" s="37"/>
      <c r="D835" s="37"/>
      <c r="E835" s="37"/>
      <c r="F835" s="37"/>
      <c r="G835" s="37"/>
      <c r="H835" s="37"/>
      <c r="I835" s="37"/>
      <c r="J835" s="52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>
      <c r="A836" s="37"/>
      <c r="B836" s="37"/>
      <c r="C836" s="37"/>
      <c r="D836" s="37"/>
      <c r="E836" s="37"/>
      <c r="F836" s="37"/>
      <c r="G836" s="37"/>
      <c r="H836" s="37"/>
      <c r="I836" s="37"/>
      <c r="J836" s="52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>
      <c r="A837" s="37"/>
      <c r="B837" s="37"/>
      <c r="C837" s="37"/>
      <c r="D837" s="37"/>
      <c r="E837" s="37"/>
      <c r="F837" s="37"/>
      <c r="G837" s="37"/>
      <c r="H837" s="37"/>
      <c r="I837" s="37"/>
      <c r="J837" s="52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>
      <c r="A838" s="37"/>
      <c r="B838" s="37"/>
      <c r="C838" s="37"/>
      <c r="D838" s="37"/>
      <c r="E838" s="37"/>
      <c r="F838" s="37"/>
      <c r="G838" s="37"/>
      <c r="H838" s="37"/>
      <c r="I838" s="37"/>
      <c r="J838" s="52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>
      <c r="A839" s="37"/>
      <c r="B839" s="37"/>
      <c r="C839" s="37"/>
      <c r="D839" s="37"/>
      <c r="E839" s="37"/>
      <c r="F839" s="37"/>
      <c r="G839" s="37"/>
      <c r="H839" s="37"/>
      <c r="I839" s="37"/>
      <c r="J839" s="52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>
      <c r="A840" s="37"/>
      <c r="B840" s="37"/>
      <c r="C840" s="37"/>
      <c r="D840" s="37"/>
      <c r="E840" s="37"/>
      <c r="F840" s="37"/>
      <c r="G840" s="37"/>
      <c r="H840" s="37"/>
      <c r="I840" s="37"/>
      <c r="J840" s="52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>
      <c r="A841" s="37"/>
      <c r="B841" s="37"/>
      <c r="C841" s="37"/>
      <c r="D841" s="37"/>
      <c r="E841" s="37"/>
      <c r="F841" s="37"/>
      <c r="G841" s="37"/>
      <c r="H841" s="37"/>
      <c r="I841" s="37"/>
      <c r="J841" s="52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>
      <c r="A842" s="37"/>
      <c r="B842" s="37"/>
      <c r="C842" s="37"/>
      <c r="D842" s="37"/>
      <c r="E842" s="37"/>
      <c r="F842" s="37"/>
      <c r="G842" s="37"/>
      <c r="H842" s="37"/>
      <c r="I842" s="37"/>
      <c r="J842" s="52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>
      <c r="A843" s="37"/>
      <c r="B843" s="37"/>
      <c r="C843" s="37"/>
      <c r="D843" s="37"/>
      <c r="E843" s="37"/>
      <c r="F843" s="37"/>
      <c r="G843" s="37"/>
      <c r="H843" s="37"/>
      <c r="I843" s="37"/>
      <c r="J843" s="52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>
      <c r="A844" s="37"/>
      <c r="B844" s="37"/>
      <c r="C844" s="37"/>
      <c r="D844" s="37"/>
      <c r="E844" s="37"/>
      <c r="F844" s="37"/>
      <c r="G844" s="37"/>
      <c r="H844" s="37"/>
      <c r="I844" s="37"/>
      <c r="J844" s="52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>
      <c r="A845" s="37"/>
      <c r="B845" s="37"/>
      <c r="C845" s="37"/>
      <c r="D845" s="37"/>
      <c r="E845" s="37"/>
      <c r="F845" s="37"/>
      <c r="G845" s="37"/>
      <c r="H845" s="37"/>
      <c r="I845" s="37"/>
      <c r="J845" s="52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>
      <c r="A846" s="37"/>
      <c r="B846" s="37"/>
      <c r="C846" s="37"/>
      <c r="D846" s="37"/>
      <c r="E846" s="37"/>
      <c r="F846" s="37"/>
      <c r="G846" s="37"/>
      <c r="H846" s="37"/>
      <c r="I846" s="37"/>
      <c r="J846" s="52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>
      <c r="A847" s="37"/>
      <c r="B847" s="37"/>
      <c r="C847" s="37"/>
      <c r="D847" s="37"/>
      <c r="E847" s="37"/>
      <c r="F847" s="37"/>
      <c r="G847" s="37"/>
      <c r="H847" s="37"/>
      <c r="I847" s="37"/>
      <c r="J847" s="52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>
      <c r="A848" s="37"/>
      <c r="B848" s="37"/>
      <c r="C848" s="37"/>
      <c r="D848" s="37"/>
      <c r="E848" s="37"/>
      <c r="F848" s="37"/>
      <c r="G848" s="37"/>
      <c r="H848" s="37"/>
      <c r="I848" s="37"/>
      <c r="J848" s="52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>
      <c r="A849" s="37"/>
      <c r="B849" s="37"/>
      <c r="C849" s="37"/>
      <c r="D849" s="37"/>
      <c r="E849" s="37"/>
      <c r="F849" s="37"/>
      <c r="G849" s="37"/>
      <c r="H849" s="37"/>
      <c r="I849" s="37"/>
      <c r="J849" s="52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>
      <c r="A850" s="37"/>
      <c r="B850" s="37"/>
      <c r="C850" s="37"/>
      <c r="D850" s="37"/>
      <c r="E850" s="37"/>
      <c r="F850" s="37"/>
      <c r="G850" s="37"/>
      <c r="H850" s="37"/>
      <c r="I850" s="37"/>
      <c r="J850" s="52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>
      <c r="A851" s="37"/>
      <c r="B851" s="37"/>
      <c r="C851" s="37"/>
      <c r="D851" s="37"/>
      <c r="E851" s="37"/>
      <c r="F851" s="37"/>
      <c r="G851" s="37"/>
      <c r="H851" s="37"/>
      <c r="I851" s="37"/>
      <c r="J851" s="52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>
      <c r="A852" s="37"/>
      <c r="B852" s="37"/>
      <c r="C852" s="37"/>
      <c r="D852" s="37"/>
      <c r="E852" s="37"/>
      <c r="F852" s="37"/>
      <c r="G852" s="37"/>
      <c r="H852" s="37"/>
      <c r="I852" s="37"/>
      <c r="J852" s="52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>
      <c r="A853" s="37"/>
      <c r="B853" s="37"/>
      <c r="C853" s="37"/>
      <c r="D853" s="37"/>
      <c r="E853" s="37"/>
      <c r="F853" s="37"/>
      <c r="G853" s="37"/>
      <c r="H853" s="37"/>
      <c r="I853" s="37"/>
      <c r="J853" s="52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>
      <c r="A854" s="37"/>
      <c r="B854" s="37"/>
      <c r="C854" s="37"/>
      <c r="D854" s="37"/>
      <c r="E854" s="37"/>
      <c r="F854" s="37"/>
      <c r="G854" s="37"/>
      <c r="H854" s="37"/>
      <c r="I854" s="37"/>
      <c r="J854" s="52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>
      <c r="A855" s="37"/>
      <c r="B855" s="37"/>
      <c r="C855" s="37"/>
      <c r="D855" s="37"/>
      <c r="E855" s="37"/>
      <c r="F855" s="37"/>
      <c r="G855" s="37"/>
      <c r="H855" s="37"/>
      <c r="I855" s="37"/>
      <c r="J855" s="52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>
      <c r="A856" s="37"/>
      <c r="B856" s="37"/>
      <c r="C856" s="37"/>
      <c r="D856" s="37"/>
      <c r="E856" s="37"/>
      <c r="F856" s="37"/>
      <c r="G856" s="37"/>
      <c r="H856" s="37"/>
      <c r="I856" s="37"/>
      <c r="J856" s="52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>
      <c r="A857" s="37"/>
      <c r="B857" s="37"/>
      <c r="C857" s="37"/>
      <c r="D857" s="37"/>
      <c r="E857" s="37"/>
      <c r="F857" s="37"/>
      <c r="G857" s="37"/>
      <c r="H857" s="37"/>
      <c r="I857" s="37"/>
      <c r="J857" s="52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>
      <c r="A858" s="37"/>
      <c r="B858" s="37"/>
      <c r="C858" s="37"/>
      <c r="D858" s="37"/>
      <c r="E858" s="37"/>
      <c r="F858" s="37"/>
      <c r="G858" s="37"/>
      <c r="H858" s="37"/>
      <c r="I858" s="37"/>
      <c r="J858" s="52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>
      <c r="A859" s="37"/>
      <c r="B859" s="37"/>
      <c r="C859" s="37"/>
      <c r="D859" s="37"/>
      <c r="E859" s="37"/>
      <c r="F859" s="37"/>
      <c r="G859" s="37"/>
      <c r="H859" s="37"/>
      <c r="I859" s="37"/>
      <c r="J859" s="52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>
      <c r="A860" s="37"/>
      <c r="B860" s="37"/>
      <c r="C860" s="37"/>
      <c r="D860" s="37"/>
      <c r="E860" s="37"/>
      <c r="F860" s="37"/>
      <c r="G860" s="37"/>
      <c r="H860" s="37"/>
      <c r="I860" s="37"/>
      <c r="J860" s="52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>
      <c r="A861" s="37"/>
      <c r="B861" s="37"/>
      <c r="C861" s="37"/>
      <c r="D861" s="37"/>
      <c r="E861" s="37"/>
      <c r="F861" s="37"/>
      <c r="G861" s="37"/>
      <c r="H861" s="37"/>
      <c r="I861" s="37"/>
      <c r="J861" s="52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>
      <c r="A862" s="37"/>
      <c r="B862" s="37"/>
      <c r="C862" s="37"/>
      <c r="D862" s="37"/>
      <c r="E862" s="37"/>
      <c r="F862" s="37"/>
      <c r="G862" s="37"/>
      <c r="H862" s="37"/>
      <c r="I862" s="37"/>
      <c r="J862" s="52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>
      <c r="A863" s="37"/>
      <c r="B863" s="37"/>
      <c r="C863" s="37"/>
      <c r="D863" s="37"/>
      <c r="E863" s="37"/>
      <c r="F863" s="37"/>
      <c r="G863" s="37"/>
      <c r="H863" s="37"/>
      <c r="I863" s="37"/>
      <c r="J863" s="52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>
      <c r="A864" s="37"/>
      <c r="B864" s="37"/>
      <c r="C864" s="37"/>
      <c r="D864" s="37"/>
      <c r="E864" s="37"/>
      <c r="F864" s="37"/>
      <c r="G864" s="37"/>
      <c r="H864" s="37"/>
      <c r="I864" s="37"/>
      <c r="J864" s="52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>
      <c r="A865" s="37"/>
      <c r="B865" s="37"/>
      <c r="C865" s="37"/>
      <c r="D865" s="37"/>
      <c r="E865" s="37"/>
      <c r="F865" s="37"/>
      <c r="G865" s="37"/>
      <c r="H865" s="37"/>
      <c r="I865" s="37"/>
      <c r="J865" s="52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>
      <c r="A866" s="37"/>
      <c r="B866" s="37"/>
      <c r="C866" s="37"/>
      <c r="D866" s="37"/>
      <c r="E866" s="37"/>
      <c r="F866" s="37"/>
      <c r="G866" s="37"/>
      <c r="H866" s="37"/>
      <c r="I866" s="37"/>
      <c r="J866" s="52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>
      <c r="A867" s="37"/>
      <c r="B867" s="37"/>
      <c r="C867" s="37"/>
      <c r="D867" s="37"/>
      <c r="E867" s="37"/>
      <c r="F867" s="37"/>
      <c r="G867" s="37"/>
      <c r="H867" s="37"/>
      <c r="I867" s="37"/>
      <c r="J867" s="52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>
      <c r="A868" s="37"/>
      <c r="B868" s="37"/>
      <c r="C868" s="37"/>
      <c r="D868" s="37"/>
      <c r="E868" s="37"/>
      <c r="F868" s="37"/>
      <c r="G868" s="37"/>
      <c r="H868" s="37"/>
      <c r="I868" s="37"/>
      <c r="J868" s="52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>
      <c r="A869" s="37"/>
      <c r="B869" s="37"/>
      <c r="C869" s="37"/>
      <c r="D869" s="37"/>
      <c r="E869" s="37"/>
      <c r="F869" s="37"/>
      <c r="G869" s="37"/>
      <c r="H869" s="37"/>
      <c r="I869" s="37"/>
      <c r="J869" s="52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>
      <c r="A870" s="37"/>
      <c r="B870" s="37"/>
      <c r="C870" s="37"/>
      <c r="D870" s="37"/>
      <c r="E870" s="37"/>
      <c r="F870" s="37"/>
      <c r="G870" s="37"/>
      <c r="H870" s="37"/>
      <c r="I870" s="37"/>
      <c r="J870" s="52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>
      <c r="A871" s="37"/>
      <c r="B871" s="37"/>
      <c r="C871" s="37"/>
      <c r="D871" s="37"/>
      <c r="E871" s="37"/>
      <c r="F871" s="37"/>
      <c r="G871" s="37"/>
      <c r="H871" s="37"/>
      <c r="I871" s="37"/>
      <c r="J871" s="52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>
      <c r="A872" s="37"/>
      <c r="B872" s="37"/>
      <c r="C872" s="37"/>
      <c r="D872" s="37"/>
      <c r="E872" s="37"/>
      <c r="F872" s="37"/>
      <c r="G872" s="37"/>
      <c r="H872" s="37"/>
      <c r="I872" s="37"/>
      <c r="J872" s="52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>
      <c r="A873" s="37"/>
      <c r="B873" s="37"/>
      <c r="C873" s="37"/>
      <c r="D873" s="37"/>
      <c r="E873" s="37"/>
      <c r="F873" s="37"/>
      <c r="G873" s="37"/>
      <c r="H873" s="37"/>
      <c r="I873" s="37"/>
      <c r="J873" s="52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>
      <c r="A874" s="37"/>
      <c r="B874" s="37"/>
      <c r="C874" s="37"/>
      <c r="D874" s="37"/>
      <c r="E874" s="37"/>
      <c r="F874" s="37"/>
      <c r="G874" s="37"/>
      <c r="H874" s="37"/>
      <c r="I874" s="37"/>
      <c r="J874" s="52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>
      <c r="A875" s="37"/>
      <c r="B875" s="37"/>
      <c r="C875" s="37"/>
      <c r="D875" s="37"/>
      <c r="E875" s="37"/>
      <c r="F875" s="37"/>
      <c r="G875" s="37"/>
      <c r="H875" s="37"/>
      <c r="I875" s="37"/>
      <c r="J875" s="52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>
      <c r="A876" s="37"/>
      <c r="B876" s="37"/>
      <c r="C876" s="37"/>
      <c r="D876" s="37"/>
      <c r="E876" s="37"/>
      <c r="F876" s="37"/>
      <c r="G876" s="37"/>
      <c r="H876" s="37"/>
      <c r="I876" s="37"/>
      <c r="J876" s="52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>
      <c r="A877" s="37"/>
      <c r="B877" s="37"/>
      <c r="C877" s="37"/>
      <c r="D877" s="37"/>
      <c r="E877" s="37"/>
      <c r="F877" s="37"/>
      <c r="G877" s="37"/>
      <c r="H877" s="37"/>
      <c r="I877" s="37"/>
      <c r="J877" s="52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>
      <c r="A878" s="37"/>
      <c r="B878" s="37"/>
      <c r="C878" s="37"/>
      <c r="D878" s="37"/>
      <c r="E878" s="37"/>
      <c r="F878" s="37"/>
      <c r="G878" s="37"/>
      <c r="H878" s="37"/>
      <c r="I878" s="37"/>
      <c r="J878" s="52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>
      <c r="A879" s="37"/>
      <c r="B879" s="37"/>
      <c r="C879" s="37"/>
      <c r="D879" s="37"/>
      <c r="E879" s="37"/>
      <c r="F879" s="37"/>
      <c r="G879" s="37"/>
      <c r="H879" s="37"/>
      <c r="I879" s="37"/>
      <c r="J879" s="52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>
      <c r="A880" s="37"/>
      <c r="B880" s="37"/>
      <c r="C880" s="37"/>
      <c r="D880" s="37"/>
      <c r="E880" s="37"/>
      <c r="F880" s="37"/>
      <c r="G880" s="37"/>
      <c r="H880" s="37"/>
      <c r="I880" s="37"/>
      <c r="J880" s="52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>
      <c r="A881" s="37"/>
      <c r="B881" s="37"/>
      <c r="C881" s="37"/>
      <c r="D881" s="37"/>
      <c r="E881" s="37"/>
      <c r="F881" s="37"/>
      <c r="G881" s="37"/>
      <c r="H881" s="37"/>
      <c r="I881" s="37"/>
      <c r="J881" s="52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>
      <c r="A882" s="37"/>
      <c r="B882" s="37"/>
      <c r="C882" s="37"/>
      <c r="D882" s="37"/>
      <c r="E882" s="37"/>
      <c r="F882" s="37"/>
      <c r="G882" s="37"/>
      <c r="H882" s="37"/>
      <c r="I882" s="37"/>
      <c r="J882" s="52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>
      <c r="A883" s="37"/>
      <c r="B883" s="37"/>
      <c r="C883" s="37"/>
      <c r="D883" s="37"/>
      <c r="E883" s="37"/>
      <c r="F883" s="37"/>
      <c r="G883" s="37"/>
      <c r="H883" s="37"/>
      <c r="I883" s="37"/>
      <c r="J883" s="52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>
      <c r="A884" s="37"/>
      <c r="B884" s="37"/>
      <c r="C884" s="37"/>
      <c r="D884" s="37"/>
      <c r="E884" s="37"/>
      <c r="F884" s="37"/>
      <c r="G884" s="37"/>
      <c r="H884" s="37"/>
      <c r="I884" s="37"/>
      <c r="J884" s="52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>
      <c r="A885" s="37"/>
      <c r="B885" s="37"/>
      <c r="C885" s="37"/>
      <c r="D885" s="37"/>
      <c r="E885" s="37"/>
      <c r="F885" s="37"/>
      <c r="G885" s="37"/>
      <c r="H885" s="37"/>
      <c r="I885" s="37"/>
      <c r="J885" s="52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>
      <c r="A886" s="37"/>
      <c r="B886" s="37"/>
      <c r="C886" s="37"/>
      <c r="D886" s="37"/>
      <c r="E886" s="37"/>
      <c r="F886" s="37"/>
      <c r="G886" s="37"/>
      <c r="H886" s="37"/>
      <c r="I886" s="37"/>
      <c r="J886" s="52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>
      <c r="A887" s="37"/>
      <c r="B887" s="37"/>
      <c r="C887" s="37"/>
      <c r="D887" s="37"/>
      <c r="E887" s="37"/>
      <c r="F887" s="37"/>
      <c r="G887" s="37"/>
      <c r="H887" s="37"/>
      <c r="I887" s="37"/>
      <c r="J887" s="52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>
      <c r="A888" s="37"/>
      <c r="B888" s="37"/>
      <c r="C888" s="37"/>
      <c r="D888" s="37"/>
      <c r="E888" s="37"/>
      <c r="F888" s="37"/>
      <c r="G888" s="37"/>
      <c r="H888" s="37"/>
      <c r="I888" s="37"/>
      <c r="J888" s="52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>
      <c r="A889" s="37"/>
      <c r="B889" s="37"/>
      <c r="C889" s="37"/>
      <c r="D889" s="37"/>
      <c r="E889" s="37"/>
      <c r="F889" s="37"/>
      <c r="G889" s="37"/>
      <c r="H889" s="37"/>
      <c r="I889" s="37"/>
      <c r="J889" s="52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>
      <c r="A890" s="37"/>
      <c r="B890" s="37"/>
      <c r="C890" s="37"/>
      <c r="D890" s="37"/>
      <c r="E890" s="37"/>
      <c r="F890" s="37"/>
      <c r="G890" s="37"/>
      <c r="H890" s="37"/>
      <c r="I890" s="37"/>
      <c r="J890" s="52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>
      <c r="A891" s="37"/>
      <c r="B891" s="37"/>
      <c r="C891" s="37"/>
      <c r="D891" s="37"/>
      <c r="E891" s="37"/>
      <c r="F891" s="37"/>
      <c r="G891" s="37"/>
      <c r="H891" s="37"/>
      <c r="I891" s="37"/>
      <c r="J891" s="52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>
      <c r="A892" s="37"/>
      <c r="B892" s="37"/>
      <c r="C892" s="37"/>
      <c r="D892" s="37"/>
      <c r="E892" s="37"/>
      <c r="F892" s="37"/>
      <c r="G892" s="37"/>
      <c r="H892" s="37"/>
      <c r="I892" s="37"/>
      <c r="J892" s="52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>
      <c r="A893" s="37"/>
      <c r="B893" s="37"/>
      <c r="C893" s="37"/>
      <c r="D893" s="37"/>
      <c r="E893" s="37"/>
      <c r="F893" s="37"/>
      <c r="G893" s="37"/>
      <c r="H893" s="37"/>
      <c r="I893" s="37"/>
      <c r="J893" s="52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>
      <c r="A894" s="37"/>
      <c r="B894" s="37"/>
      <c r="C894" s="37"/>
      <c r="D894" s="37"/>
      <c r="E894" s="37"/>
      <c r="F894" s="37"/>
      <c r="G894" s="37"/>
      <c r="H894" s="37"/>
      <c r="I894" s="37"/>
      <c r="J894" s="52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>
      <c r="A895" s="37"/>
      <c r="B895" s="37"/>
      <c r="C895" s="37"/>
      <c r="D895" s="37"/>
      <c r="E895" s="37"/>
      <c r="F895" s="37"/>
      <c r="G895" s="37"/>
      <c r="H895" s="37"/>
      <c r="I895" s="37"/>
      <c r="J895" s="52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>
      <c r="A896" s="37"/>
      <c r="B896" s="37"/>
      <c r="C896" s="37"/>
      <c r="D896" s="37"/>
      <c r="E896" s="37"/>
      <c r="F896" s="37"/>
      <c r="G896" s="37"/>
      <c r="H896" s="37"/>
      <c r="I896" s="37"/>
      <c r="J896" s="52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>
      <c r="A897" s="37"/>
      <c r="B897" s="37"/>
      <c r="C897" s="37"/>
      <c r="D897" s="37"/>
      <c r="E897" s="37"/>
      <c r="F897" s="37"/>
      <c r="G897" s="37"/>
      <c r="H897" s="37"/>
      <c r="I897" s="37"/>
      <c r="J897" s="52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>
      <c r="A898" s="37"/>
      <c r="B898" s="37"/>
      <c r="C898" s="37"/>
      <c r="D898" s="37"/>
      <c r="E898" s="37"/>
      <c r="F898" s="37"/>
      <c r="G898" s="37"/>
      <c r="H898" s="37"/>
      <c r="I898" s="37"/>
      <c r="J898" s="52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>
      <c r="A899" s="37"/>
      <c r="B899" s="37"/>
      <c r="C899" s="37"/>
      <c r="D899" s="37"/>
      <c r="E899" s="37"/>
      <c r="F899" s="37"/>
      <c r="G899" s="37"/>
      <c r="H899" s="37"/>
      <c r="I899" s="37"/>
      <c r="J899" s="52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>
      <c r="A900" s="37"/>
      <c r="B900" s="37"/>
      <c r="C900" s="37"/>
      <c r="D900" s="37"/>
      <c r="E900" s="37"/>
      <c r="F900" s="37"/>
      <c r="G900" s="37"/>
      <c r="H900" s="37"/>
      <c r="I900" s="37"/>
      <c r="J900" s="52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>
      <c r="A901" s="37"/>
      <c r="B901" s="37"/>
      <c r="C901" s="37"/>
      <c r="D901" s="37"/>
      <c r="E901" s="37"/>
      <c r="F901" s="37"/>
      <c r="G901" s="37"/>
      <c r="H901" s="37"/>
      <c r="I901" s="37"/>
      <c r="J901" s="52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>
      <c r="A902" s="37"/>
      <c r="B902" s="37"/>
      <c r="C902" s="37"/>
      <c r="D902" s="37"/>
      <c r="E902" s="37"/>
      <c r="F902" s="37"/>
      <c r="G902" s="37"/>
      <c r="H902" s="37"/>
      <c r="I902" s="37"/>
      <c r="J902" s="52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>
      <c r="A903" s="37"/>
      <c r="B903" s="37"/>
      <c r="C903" s="37"/>
      <c r="D903" s="37"/>
      <c r="E903" s="37"/>
      <c r="F903" s="37"/>
      <c r="G903" s="37"/>
      <c r="H903" s="37"/>
      <c r="I903" s="37"/>
      <c r="J903" s="52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>
      <c r="A904" s="37"/>
      <c r="B904" s="37"/>
      <c r="C904" s="37"/>
      <c r="D904" s="37"/>
      <c r="E904" s="37"/>
      <c r="F904" s="37"/>
      <c r="G904" s="37"/>
      <c r="H904" s="37"/>
      <c r="I904" s="37"/>
      <c r="J904" s="52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>
      <c r="A905" s="37"/>
      <c r="B905" s="37"/>
      <c r="C905" s="37"/>
      <c r="D905" s="37"/>
      <c r="E905" s="37"/>
      <c r="F905" s="37"/>
      <c r="G905" s="37"/>
      <c r="H905" s="37"/>
      <c r="I905" s="37"/>
      <c r="J905" s="52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>
      <c r="A906" s="37"/>
      <c r="B906" s="37"/>
      <c r="C906" s="37"/>
      <c r="D906" s="37"/>
      <c r="E906" s="37"/>
      <c r="F906" s="37"/>
      <c r="G906" s="37"/>
      <c r="H906" s="37"/>
      <c r="I906" s="37"/>
      <c r="J906" s="52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>
      <c r="A907" s="37"/>
      <c r="B907" s="37"/>
      <c r="C907" s="37"/>
      <c r="D907" s="37"/>
      <c r="E907" s="37"/>
      <c r="F907" s="37"/>
      <c r="G907" s="37"/>
      <c r="H907" s="37"/>
      <c r="I907" s="37"/>
      <c r="J907" s="52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>
      <c r="A908" s="37"/>
      <c r="B908" s="37"/>
      <c r="C908" s="37"/>
      <c r="D908" s="37"/>
      <c r="E908" s="37"/>
      <c r="F908" s="37"/>
      <c r="G908" s="37"/>
      <c r="H908" s="37"/>
      <c r="I908" s="37"/>
      <c r="J908" s="52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>
      <c r="A909" s="37"/>
      <c r="B909" s="37"/>
      <c r="C909" s="37"/>
      <c r="D909" s="37"/>
      <c r="E909" s="37"/>
      <c r="F909" s="37"/>
      <c r="G909" s="37"/>
      <c r="H909" s="37"/>
      <c r="I909" s="37"/>
      <c r="J909" s="52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>
      <c r="A910" s="37"/>
      <c r="B910" s="37"/>
      <c r="C910" s="37"/>
      <c r="D910" s="37"/>
      <c r="E910" s="37"/>
      <c r="F910" s="37"/>
      <c r="G910" s="37"/>
      <c r="H910" s="37"/>
      <c r="I910" s="37"/>
      <c r="J910" s="52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>
      <c r="A911" s="37"/>
      <c r="B911" s="37"/>
      <c r="C911" s="37"/>
      <c r="D911" s="37"/>
      <c r="E911" s="37"/>
      <c r="F911" s="37"/>
      <c r="G911" s="37"/>
      <c r="H911" s="37"/>
      <c r="I911" s="37"/>
      <c r="J911" s="52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>
      <c r="A912" s="37"/>
      <c r="B912" s="37"/>
      <c r="C912" s="37"/>
      <c r="D912" s="37"/>
      <c r="E912" s="37"/>
      <c r="F912" s="37"/>
      <c r="G912" s="37"/>
      <c r="H912" s="37"/>
      <c r="I912" s="37"/>
      <c r="J912" s="52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>
      <c r="A913" s="37"/>
      <c r="B913" s="37"/>
      <c r="C913" s="37"/>
      <c r="D913" s="37"/>
      <c r="E913" s="37"/>
      <c r="F913" s="37"/>
      <c r="G913" s="37"/>
      <c r="H913" s="37"/>
      <c r="I913" s="37"/>
      <c r="J913" s="52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>
      <c r="A914" s="37"/>
      <c r="B914" s="37"/>
      <c r="C914" s="37"/>
      <c r="D914" s="37"/>
      <c r="E914" s="37"/>
      <c r="F914" s="37"/>
      <c r="G914" s="37"/>
      <c r="H914" s="37"/>
      <c r="I914" s="37"/>
      <c r="J914" s="52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>
      <c r="A915" s="37"/>
      <c r="B915" s="37"/>
      <c r="C915" s="37"/>
      <c r="D915" s="37"/>
      <c r="E915" s="37"/>
      <c r="F915" s="37"/>
      <c r="G915" s="37"/>
      <c r="H915" s="37"/>
      <c r="I915" s="37"/>
      <c r="J915" s="52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>
      <c r="A916" s="37"/>
      <c r="B916" s="37"/>
      <c r="C916" s="37"/>
      <c r="D916" s="37"/>
      <c r="E916" s="37"/>
      <c r="F916" s="37"/>
      <c r="G916" s="37"/>
      <c r="H916" s="37"/>
      <c r="I916" s="37"/>
      <c r="J916" s="52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>
      <c r="A917" s="37"/>
      <c r="B917" s="37"/>
      <c r="C917" s="37"/>
      <c r="D917" s="37"/>
      <c r="E917" s="37"/>
      <c r="F917" s="37"/>
      <c r="G917" s="37"/>
      <c r="H917" s="37"/>
      <c r="I917" s="37"/>
      <c r="J917" s="52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>
      <c r="A918" s="37"/>
      <c r="B918" s="37"/>
      <c r="C918" s="37"/>
      <c r="D918" s="37"/>
      <c r="E918" s="37"/>
      <c r="F918" s="37"/>
      <c r="G918" s="37"/>
      <c r="H918" s="37"/>
      <c r="I918" s="37"/>
      <c r="J918" s="52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>
      <c r="A919" s="37"/>
      <c r="B919" s="37"/>
      <c r="C919" s="37"/>
      <c r="D919" s="37"/>
      <c r="E919" s="37"/>
      <c r="F919" s="37"/>
      <c r="G919" s="37"/>
      <c r="H919" s="37"/>
      <c r="I919" s="37"/>
      <c r="J919" s="52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>
      <c r="A920" s="37"/>
      <c r="B920" s="37"/>
      <c r="C920" s="37"/>
      <c r="D920" s="37"/>
      <c r="E920" s="37"/>
      <c r="F920" s="37"/>
      <c r="G920" s="37"/>
      <c r="H920" s="37"/>
      <c r="I920" s="37"/>
      <c r="J920" s="52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>
      <c r="A921" s="37"/>
      <c r="B921" s="37"/>
      <c r="C921" s="37"/>
      <c r="D921" s="37"/>
      <c r="E921" s="37"/>
      <c r="F921" s="37"/>
      <c r="G921" s="37"/>
      <c r="H921" s="37"/>
      <c r="I921" s="37"/>
      <c r="J921" s="52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>
      <c r="A922" s="37"/>
      <c r="B922" s="37"/>
      <c r="C922" s="37"/>
      <c r="D922" s="37"/>
      <c r="E922" s="37"/>
      <c r="F922" s="37"/>
      <c r="G922" s="37"/>
      <c r="H922" s="37"/>
      <c r="I922" s="37"/>
      <c r="J922" s="52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>
      <c r="A923" s="37"/>
      <c r="B923" s="37"/>
      <c r="C923" s="37"/>
      <c r="D923" s="37"/>
      <c r="E923" s="37"/>
      <c r="F923" s="37"/>
      <c r="G923" s="37"/>
      <c r="H923" s="37"/>
      <c r="I923" s="37"/>
      <c r="J923" s="52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>
      <c r="A924" s="37"/>
      <c r="B924" s="37"/>
      <c r="C924" s="37"/>
      <c r="D924" s="37"/>
      <c r="E924" s="37"/>
      <c r="F924" s="37"/>
      <c r="G924" s="37"/>
      <c r="H924" s="37"/>
      <c r="I924" s="37"/>
      <c r="J924" s="52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>
      <c r="A925" s="37"/>
      <c r="B925" s="37"/>
      <c r="C925" s="37"/>
      <c r="D925" s="37"/>
      <c r="E925" s="37"/>
      <c r="F925" s="37"/>
      <c r="G925" s="37"/>
      <c r="H925" s="37"/>
      <c r="I925" s="37"/>
      <c r="J925" s="52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>
      <c r="A926" s="37"/>
      <c r="B926" s="37"/>
      <c r="C926" s="37"/>
      <c r="D926" s="37"/>
      <c r="E926" s="37"/>
      <c r="F926" s="37"/>
      <c r="G926" s="37"/>
      <c r="H926" s="37"/>
      <c r="I926" s="37"/>
      <c r="J926" s="52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>
      <c r="A927" s="37"/>
      <c r="B927" s="37"/>
      <c r="C927" s="37"/>
      <c r="D927" s="37"/>
      <c r="E927" s="37"/>
      <c r="F927" s="37"/>
      <c r="G927" s="37"/>
      <c r="H927" s="37"/>
      <c r="I927" s="37"/>
      <c r="J927" s="52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>
      <c r="A928" s="37"/>
      <c r="B928" s="37"/>
      <c r="C928" s="37"/>
      <c r="D928" s="37"/>
      <c r="E928" s="37"/>
      <c r="F928" s="37"/>
      <c r="G928" s="37"/>
      <c r="H928" s="37"/>
      <c r="I928" s="37"/>
      <c r="J928" s="52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>
      <c r="A929" s="37"/>
      <c r="B929" s="37"/>
      <c r="C929" s="37"/>
      <c r="D929" s="37"/>
      <c r="E929" s="37"/>
      <c r="F929" s="37"/>
      <c r="G929" s="37"/>
      <c r="H929" s="37"/>
      <c r="I929" s="37"/>
      <c r="J929" s="52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>
      <c r="A930" s="37"/>
      <c r="B930" s="37"/>
      <c r="C930" s="37"/>
      <c r="D930" s="37"/>
      <c r="E930" s="37"/>
      <c r="F930" s="37"/>
      <c r="G930" s="37"/>
      <c r="H930" s="37"/>
      <c r="I930" s="37"/>
      <c r="J930" s="52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>
      <c r="A931" s="37"/>
      <c r="B931" s="37"/>
      <c r="C931" s="37"/>
      <c r="D931" s="37"/>
      <c r="E931" s="37"/>
      <c r="F931" s="37"/>
      <c r="G931" s="37"/>
      <c r="H931" s="37"/>
      <c r="I931" s="37"/>
      <c r="J931" s="52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>
      <c r="A932" s="37"/>
      <c r="B932" s="37"/>
      <c r="C932" s="37"/>
      <c r="D932" s="37"/>
      <c r="E932" s="37"/>
      <c r="F932" s="37"/>
      <c r="G932" s="37"/>
      <c r="H932" s="37"/>
      <c r="I932" s="37"/>
      <c r="J932" s="52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>
      <c r="A933" s="37"/>
      <c r="B933" s="37"/>
      <c r="C933" s="37"/>
      <c r="D933" s="37"/>
      <c r="E933" s="37"/>
      <c r="F933" s="37"/>
      <c r="G933" s="37"/>
      <c r="H933" s="37"/>
      <c r="I933" s="37"/>
      <c r="J933" s="52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>
      <c r="A934" s="37"/>
      <c r="B934" s="37"/>
      <c r="C934" s="37"/>
      <c r="D934" s="37"/>
      <c r="E934" s="37"/>
      <c r="F934" s="37"/>
      <c r="G934" s="37"/>
      <c r="H934" s="37"/>
      <c r="I934" s="37"/>
      <c r="J934" s="52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>
      <c r="A935" s="37"/>
      <c r="B935" s="37"/>
      <c r="C935" s="37"/>
      <c r="D935" s="37"/>
      <c r="E935" s="37"/>
      <c r="F935" s="37"/>
      <c r="G935" s="37"/>
      <c r="H935" s="37"/>
      <c r="I935" s="37"/>
      <c r="J935" s="52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>
      <c r="A936" s="37"/>
      <c r="B936" s="37"/>
      <c r="C936" s="37"/>
      <c r="D936" s="37"/>
      <c r="E936" s="37"/>
      <c r="F936" s="37"/>
      <c r="G936" s="37"/>
      <c r="H936" s="37"/>
      <c r="I936" s="37"/>
      <c r="J936" s="52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>
      <c r="A937" s="37"/>
      <c r="B937" s="37"/>
      <c r="C937" s="37"/>
      <c r="D937" s="37"/>
      <c r="E937" s="37"/>
      <c r="F937" s="37"/>
      <c r="G937" s="37"/>
      <c r="H937" s="37"/>
      <c r="I937" s="37"/>
      <c r="J937" s="52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>
      <c r="A938" s="37"/>
      <c r="B938" s="37"/>
      <c r="C938" s="37"/>
      <c r="D938" s="37"/>
      <c r="E938" s="37"/>
      <c r="F938" s="37"/>
      <c r="G938" s="37"/>
      <c r="H938" s="37"/>
      <c r="I938" s="37"/>
      <c r="J938" s="52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>
      <c r="A939" s="37"/>
      <c r="B939" s="37"/>
      <c r="C939" s="37"/>
      <c r="D939" s="37"/>
      <c r="E939" s="37"/>
      <c r="F939" s="37"/>
      <c r="G939" s="37"/>
      <c r="H939" s="37"/>
      <c r="I939" s="37"/>
      <c r="J939" s="52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>
      <c r="A940" s="37"/>
      <c r="B940" s="37"/>
      <c r="C940" s="37"/>
      <c r="D940" s="37"/>
      <c r="E940" s="37"/>
      <c r="F940" s="37"/>
      <c r="G940" s="37"/>
      <c r="H940" s="37"/>
      <c r="I940" s="37"/>
      <c r="J940" s="52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>
      <c r="A941" s="37"/>
      <c r="B941" s="37"/>
      <c r="C941" s="37"/>
      <c r="D941" s="37"/>
      <c r="E941" s="37"/>
      <c r="F941" s="37"/>
      <c r="G941" s="37"/>
      <c r="H941" s="37"/>
      <c r="I941" s="37"/>
      <c r="J941" s="52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>
      <c r="A942" s="37"/>
      <c r="B942" s="37"/>
      <c r="C942" s="37"/>
      <c r="D942" s="37"/>
      <c r="E942" s="37"/>
      <c r="F942" s="37"/>
      <c r="G942" s="37"/>
      <c r="H942" s="37"/>
      <c r="I942" s="37"/>
      <c r="J942" s="52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>
      <c r="A943" s="37"/>
      <c r="B943" s="37"/>
      <c r="C943" s="37"/>
      <c r="D943" s="37"/>
      <c r="E943" s="37"/>
      <c r="F943" s="37"/>
      <c r="G943" s="37"/>
      <c r="H943" s="37"/>
      <c r="I943" s="37"/>
      <c r="J943" s="52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>
      <c r="A944" s="37"/>
      <c r="B944" s="37"/>
      <c r="C944" s="37"/>
      <c r="D944" s="37"/>
      <c r="E944" s="37"/>
      <c r="F944" s="37"/>
      <c r="G944" s="37"/>
      <c r="H944" s="37"/>
      <c r="I944" s="37"/>
      <c r="J944" s="52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>
      <c r="A945" s="37"/>
      <c r="B945" s="37"/>
      <c r="C945" s="37"/>
      <c r="D945" s="37"/>
      <c r="E945" s="37"/>
      <c r="F945" s="37"/>
      <c r="G945" s="37"/>
      <c r="H945" s="37"/>
      <c r="I945" s="37"/>
      <c r="J945" s="52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>
      <c r="A946" s="37"/>
      <c r="B946" s="37"/>
      <c r="C946" s="37"/>
      <c r="D946" s="37"/>
      <c r="E946" s="37"/>
      <c r="F946" s="37"/>
      <c r="G946" s="37"/>
      <c r="H946" s="37"/>
      <c r="I946" s="37"/>
      <c r="J946" s="52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>
      <c r="A947" s="37"/>
      <c r="B947" s="37"/>
      <c r="C947" s="37"/>
      <c r="D947" s="37"/>
      <c r="E947" s="37"/>
      <c r="F947" s="37"/>
      <c r="G947" s="37"/>
      <c r="H947" s="37"/>
      <c r="I947" s="37"/>
      <c r="J947" s="52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>
      <c r="A948" s="37"/>
      <c r="B948" s="37"/>
      <c r="C948" s="37"/>
      <c r="D948" s="37"/>
      <c r="E948" s="37"/>
      <c r="F948" s="37"/>
      <c r="G948" s="37"/>
      <c r="H948" s="37"/>
      <c r="I948" s="37"/>
      <c r="J948" s="52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>
      <c r="A949" s="37"/>
      <c r="B949" s="37"/>
      <c r="C949" s="37"/>
      <c r="D949" s="37"/>
      <c r="E949" s="37"/>
      <c r="F949" s="37"/>
      <c r="G949" s="37"/>
      <c r="H949" s="37"/>
      <c r="I949" s="37"/>
      <c r="J949" s="52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>
      <c r="A950" s="37"/>
      <c r="B950" s="37"/>
      <c r="C950" s="37"/>
      <c r="D950" s="37"/>
      <c r="E950" s="37"/>
      <c r="F950" s="37"/>
      <c r="G950" s="37"/>
      <c r="H950" s="37"/>
      <c r="I950" s="37"/>
      <c r="J950" s="52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>
      <c r="A951" s="37"/>
      <c r="B951" s="37"/>
      <c r="C951" s="37"/>
      <c r="D951" s="37"/>
      <c r="E951" s="37"/>
      <c r="F951" s="37"/>
      <c r="G951" s="37"/>
      <c r="H951" s="37"/>
      <c r="I951" s="37"/>
      <c r="J951" s="52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>
      <c r="A952" s="37"/>
      <c r="B952" s="37"/>
      <c r="C952" s="37"/>
      <c r="D952" s="37"/>
      <c r="E952" s="37"/>
      <c r="F952" s="37"/>
      <c r="G952" s="37"/>
      <c r="H952" s="37"/>
      <c r="I952" s="37"/>
      <c r="J952" s="52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>
      <c r="A953" s="37"/>
      <c r="B953" s="37"/>
      <c r="C953" s="37"/>
      <c r="D953" s="37"/>
      <c r="E953" s="37"/>
      <c r="F953" s="37"/>
      <c r="G953" s="37"/>
      <c r="H953" s="37"/>
      <c r="I953" s="37"/>
      <c r="J953" s="52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>
      <c r="A954" s="37"/>
      <c r="B954" s="37"/>
      <c r="C954" s="37"/>
      <c r="D954" s="37"/>
      <c r="E954" s="37"/>
      <c r="F954" s="37"/>
      <c r="G954" s="37"/>
      <c r="H954" s="37"/>
      <c r="I954" s="37"/>
      <c r="J954" s="52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>
      <c r="A955" s="37"/>
      <c r="B955" s="37"/>
      <c r="C955" s="37"/>
      <c r="D955" s="37"/>
      <c r="E955" s="37"/>
      <c r="F955" s="37"/>
      <c r="G955" s="37"/>
      <c r="H955" s="37"/>
      <c r="I955" s="37"/>
      <c r="J955" s="52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>
      <c r="A956" s="37"/>
      <c r="B956" s="37"/>
      <c r="C956" s="37"/>
      <c r="D956" s="37"/>
      <c r="E956" s="37"/>
      <c r="F956" s="37"/>
      <c r="G956" s="37"/>
      <c r="H956" s="37"/>
      <c r="I956" s="37"/>
      <c r="J956" s="52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>
      <c r="A957" s="37"/>
      <c r="B957" s="37"/>
      <c r="C957" s="37"/>
      <c r="D957" s="37"/>
      <c r="E957" s="37"/>
      <c r="F957" s="37"/>
      <c r="G957" s="37"/>
      <c r="H957" s="37"/>
      <c r="I957" s="37"/>
      <c r="J957" s="52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>
      <c r="A958" s="37"/>
      <c r="B958" s="37"/>
      <c r="C958" s="37"/>
      <c r="D958" s="37"/>
      <c r="E958" s="37"/>
      <c r="F958" s="37"/>
      <c r="G958" s="37"/>
      <c r="H958" s="37"/>
      <c r="I958" s="37"/>
      <c r="J958" s="52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>
      <c r="A959" s="37"/>
      <c r="B959" s="37"/>
      <c r="C959" s="37"/>
      <c r="D959" s="37"/>
      <c r="E959" s="37"/>
      <c r="F959" s="37"/>
      <c r="G959" s="37"/>
      <c r="H959" s="37"/>
      <c r="I959" s="37"/>
      <c r="J959" s="52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>
      <c r="A960" s="37"/>
      <c r="B960" s="37"/>
      <c r="C960" s="37"/>
      <c r="D960" s="37"/>
      <c r="E960" s="37"/>
      <c r="F960" s="37"/>
      <c r="G960" s="37"/>
      <c r="H960" s="37"/>
      <c r="I960" s="37"/>
      <c r="J960" s="52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>
      <c r="A961" s="37"/>
      <c r="B961" s="37"/>
      <c r="C961" s="37"/>
      <c r="D961" s="37"/>
      <c r="E961" s="37"/>
      <c r="F961" s="37"/>
      <c r="G961" s="37"/>
      <c r="H961" s="37"/>
      <c r="I961" s="37"/>
      <c r="J961" s="52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>
      <c r="A962" s="37"/>
      <c r="B962" s="37"/>
      <c r="C962" s="37"/>
      <c r="D962" s="37"/>
      <c r="E962" s="37"/>
      <c r="F962" s="37"/>
      <c r="G962" s="37"/>
      <c r="H962" s="37"/>
      <c r="I962" s="37"/>
      <c r="J962" s="52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>
      <c r="A963" s="37"/>
      <c r="B963" s="37"/>
      <c r="C963" s="37"/>
      <c r="D963" s="37"/>
      <c r="E963" s="37"/>
      <c r="F963" s="37"/>
      <c r="G963" s="37"/>
      <c r="H963" s="37"/>
      <c r="I963" s="37"/>
      <c r="J963" s="52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>
      <c r="A964" s="37"/>
      <c r="B964" s="37"/>
      <c r="C964" s="37"/>
      <c r="D964" s="37"/>
      <c r="E964" s="37"/>
      <c r="F964" s="37"/>
      <c r="G964" s="37"/>
      <c r="H964" s="37"/>
      <c r="I964" s="37"/>
      <c r="J964" s="52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>
      <c r="A965" s="37"/>
      <c r="B965" s="37"/>
      <c r="C965" s="37"/>
      <c r="D965" s="37"/>
      <c r="E965" s="37"/>
      <c r="F965" s="37"/>
      <c r="G965" s="37"/>
      <c r="H965" s="37"/>
      <c r="I965" s="37"/>
      <c r="J965" s="52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>
      <c r="A966" s="37"/>
      <c r="B966" s="37"/>
      <c r="C966" s="37"/>
      <c r="D966" s="37"/>
      <c r="E966" s="37"/>
      <c r="F966" s="37"/>
      <c r="G966" s="37"/>
      <c r="H966" s="37"/>
      <c r="I966" s="37"/>
      <c r="J966" s="52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>
      <c r="A967" s="37"/>
      <c r="B967" s="37"/>
      <c r="C967" s="37"/>
      <c r="D967" s="37"/>
      <c r="E967" s="37"/>
      <c r="F967" s="37"/>
      <c r="G967" s="37"/>
      <c r="H967" s="37"/>
      <c r="I967" s="37"/>
      <c r="J967" s="52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>
      <c r="A968" s="37"/>
      <c r="B968" s="37"/>
      <c r="C968" s="37"/>
      <c r="D968" s="37"/>
      <c r="E968" s="37"/>
      <c r="F968" s="37"/>
      <c r="G968" s="37"/>
      <c r="H968" s="37"/>
      <c r="I968" s="37"/>
      <c r="J968" s="52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>
      <c r="A969" s="37"/>
      <c r="B969" s="37"/>
      <c r="C969" s="37"/>
      <c r="D969" s="37"/>
      <c r="E969" s="37"/>
      <c r="F969" s="37"/>
      <c r="G969" s="37"/>
      <c r="H969" s="37"/>
      <c r="I969" s="37"/>
      <c r="J969" s="52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>
      <c r="A970" s="37"/>
      <c r="B970" s="37"/>
      <c r="C970" s="37"/>
      <c r="D970" s="37"/>
      <c r="E970" s="37"/>
      <c r="F970" s="37"/>
      <c r="G970" s="37"/>
      <c r="H970" s="37"/>
      <c r="I970" s="37"/>
      <c r="J970" s="52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>
      <c r="A971" s="37"/>
      <c r="B971" s="37"/>
      <c r="C971" s="37"/>
      <c r="D971" s="37"/>
      <c r="E971" s="37"/>
      <c r="F971" s="37"/>
      <c r="G971" s="37"/>
      <c r="H971" s="37"/>
      <c r="I971" s="37"/>
      <c r="J971" s="52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>
      <c r="A972" s="37"/>
      <c r="B972" s="37"/>
      <c r="C972" s="37"/>
      <c r="D972" s="37"/>
      <c r="E972" s="37"/>
      <c r="F972" s="37"/>
      <c r="G972" s="37"/>
      <c r="H972" s="37"/>
      <c r="I972" s="37"/>
      <c r="J972" s="52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>
      <c r="A973" s="37"/>
      <c r="B973" s="37"/>
      <c r="C973" s="37"/>
      <c r="D973" s="37"/>
      <c r="E973" s="37"/>
      <c r="F973" s="37"/>
      <c r="G973" s="37"/>
      <c r="H973" s="37"/>
      <c r="I973" s="37"/>
      <c r="J973" s="52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>
      <c r="A974" s="37"/>
      <c r="B974" s="37"/>
      <c r="C974" s="37"/>
      <c r="D974" s="37"/>
      <c r="E974" s="37"/>
      <c r="F974" s="37"/>
      <c r="G974" s="37"/>
      <c r="H974" s="37"/>
      <c r="I974" s="37"/>
      <c r="J974" s="52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>
      <c r="A975" s="37"/>
      <c r="B975" s="37"/>
      <c r="C975" s="37"/>
      <c r="D975" s="37"/>
      <c r="E975" s="37"/>
      <c r="F975" s="37"/>
      <c r="G975" s="37"/>
      <c r="H975" s="37"/>
      <c r="I975" s="37"/>
      <c r="J975" s="52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>
      <c r="A976" s="37"/>
      <c r="B976" s="37"/>
      <c r="C976" s="37"/>
      <c r="D976" s="37"/>
      <c r="E976" s="37"/>
      <c r="F976" s="37"/>
      <c r="G976" s="37"/>
      <c r="H976" s="37"/>
      <c r="I976" s="37"/>
      <c r="J976" s="52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>
      <c r="A977" s="37"/>
      <c r="B977" s="37"/>
      <c r="C977" s="37"/>
      <c r="D977" s="37"/>
      <c r="E977" s="37"/>
      <c r="F977" s="37"/>
      <c r="G977" s="37"/>
      <c r="H977" s="37"/>
      <c r="I977" s="37"/>
      <c r="J977" s="52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>
      <c r="A978" s="37"/>
      <c r="B978" s="37"/>
      <c r="C978" s="37"/>
      <c r="D978" s="37"/>
      <c r="E978" s="37"/>
      <c r="F978" s="37"/>
      <c r="G978" s="37"/>
      <c r="H978" s="37"/>
      <c r="I978" s="37"/>
      <c r="J978" s="52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>
      <c r="A979" s="37"/>
      <c r="B979" s="37"/>
      <c r="C979" s="37"/>
      <c r="D979" s="37"/>
      <c r="E979" s="37"/>
      <c r="F979" s="37"/>
      <c r="G979" s="37"/>
      <c r="H979" s="37"/>
      <c r="I979" s="37"/>
      <c r="J979" s="52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>
      <c r="A980" s="37"/>
      <c r="B980" s="37"/>
      <c r="C980" s="37"/>
      <c r="D980" s="37"/>
      <c r="E980" s="37"/>
      <c r="F980" s="37"/>
      <c r="G980" s="37"/>
      <c r="H980" s="37"/>
      <c r="I980" s="37"/>
      <c r="J980" s="52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>
      <c r="A981" s="37"/>
      <c r="B981" s="37"/>
      <c r="C981" s="37"/>
      <c r="D981" s="37"/>
      <c r="E981" s="37"/>
      <c r="F981" s="37"/>
      <c r="G981" s="37"/>
      <c r="H981" s="37"/>
      <c r="I981" s="37"/>
      <c r="J981" s="52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>
      <c r="A982" s="37"/>
      <c r="B982" s="37"/>
      <c r="C982" s="37"/>
      <c r="D982" s="37"/>
      <c r="E982" s="37"/>
      <c r="F982" s="37"/>
      <c r="G982" s="37"/>
      <c r="H982" s="37"/>
      <c r="I982" s="37"/>
      <c r="J982" s="52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>
      <c r="A983" s="37"/>
      <c r="B983" s="37"/>
      <c r="C983" s="37"/>
      <c r="D983" s="37"/>
      <c r="E983" s="37"/>
      <c r="F983" s="37"/>
      <c r="G983" s="37"/>
      <c r="H983" s="37"/>
      <c r="I983" s="37"/>
      <c r="J983" s="52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>
      <c r="A984" s="37"/>
      <c r="B984" s="37"/>
      <c r="C984" s="37"/>
      <c r="D984" s="37"/>
      <c r="E984" s="37"/>
      <c r="F984" s="37"/>
      <c r="G984" s="37"/>
      <c r="H984" s="37"/>
      <c r="I984" s="37"/>
      <c r="J984" s="52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>
      <c r="A985" s="37"/>
      <c r="B985" s="37"/>
      <c r="C985" s="37"/>
      <c r="D985" s="37"/>
      <c r="E985" s="37"/>
      <c r="F985" s="37"/>
      <c r="G985" s="37"/>
      <c r="H985" s="37"/>
      <c r="I985" s="37"/>
      <c r="J985" s="52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>
      <c r="A986" s="37"/>
      <c r="B986" s="37"/>
      <c r="C986" s="37"/>
      <c r="D986" s="37"/>
      <c r="E986" s="37"/>
      <c r="F986" s="37"/>
      <c r="G986" s="37"/>
      <c r="H986" s="37"/>
      <c r="I986" s="37"/>
      <c r="J986" s="52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>
      <c r="A987" s="37"/>
      <c r="B987" s="37"/>
      <c r="C987" s="37"/>
      <c r="D987" s="37"/>
      <c r="E987" s="37"/>
      <c r="F987" s="37"/>
      <c r="G987" s="37"/>
      <c r="H987" s="37"/>
      <c r="I987" s="37"/>
      <c r="J987" s="52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>
      <c r="A988" s="37"/>
      <c r="B988" s="37"/>
      <c r="C988" s="37"/>
      <c r="D988" s="37"/>
      <c r="E988" s="37"/>
      <c r="F988" s="37"/>
      <c r="G988" s="37"/>
      <c r="H988" s="37"/>
      <c r="I988" s="37"/>
      <c r="J988" s="52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>
      <c r="A989" s="37"/>
      <c r="B989" s="37"/>
      <c r="C989" s="37"/>
      <c r="D989" s="37"/>
      <c r="E989" s="37"/>
      <c r="F989" s="37"/>
      <c r="G989" s="37"/>
      <c r="H989" s="37"/>
      <c r="I989" s="37"/>
      <c r="J989" s="52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>
      <c r="A990" s="37"/>
      <c r="B990" s="37"/>
      <c r="C990" s="37"/>
      <c r="D990" s="37"/>
      <c r="E990" s="37"/>
      <c r="F990" s="37"/>
      <c r="G990" s="37"/>
      <c r="H990" s="37"/>
      <c r="I990" s="37"/>
      <c r="J990" s="52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>
      <c r="A991" s="37"/>
      <c r="B991" s="37"/>
      <c r="C991" s="37"/>
      <c r="D991" s="37"/>
      <c r="E991" s="37"/>
      <c r="F991" s="37"/>
      <c r="G991" s="37"/>
      <c r="H991" s="53"/>
      <c r="I991" s="37"/>
      <c r="J991" s="54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>
      <c r="A992" s="37"/>
      <c r="B992" s="37"/>
      <c r="C992" s="37"/>
      <c r="D992" s="37"/>
      <c r="E992" s="37"/>
      <c r="F992" s="37"/>
      <c r="G992" s="37"/>
      <c r="H992" s="53"/>
      <c r="I992" s="37"/>
      <c r="J992" s="54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>
      <c r="A993" s="37"/>
      <c r="B993" s="37"/>
      <c r="C993" s="37"/>
      <c r="D993" s="37"/>
      <c r="E993" s="37"/>
      <c r="F993" s="37"/>
      <c r="G993" s="37"/>
      <c r="H993" s="53"/>
      <c r="I993" s="37"/>
      <c r="J993" s="54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>
      <c r="A994" s="37"/>
      <c r="B994" s="37"/>
      <c r="C994" s="37"/>
      <c r="D994" s="37"/>
      <c r="E994" s="37"/>
      <c r="F994" s="37"/>
      <c r="G994" s="37"/>
      <c r="H994" s="53"/>
      <c r="I994" s="37"/>
      <c r="J994" s="54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>
      <c r="A995" s="37"/>
      <c r="B995" s="37"/>
      <c r="C995" s="37"/>
      <c r="D995" s="37"/>
      <c r="E995" s="37"/>
      <c r="F995" s="37"/>
      <c r="G995" s="37"/>
      <c r="H995" s="53"/>
      <c r="I995" s="37"/>
      <c r="J995" s="54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>
      <c r="A996" s="37"/>
      <c r="B996" s="37"/>
      <c r="C996" s="37"/>
      <c r="D996" s="37"/>
      <c r="E996" s="37"/>
      <c r="F996" s="37"/>
      <c r="G996" s="37"/>
      <c r="H996" s="53"/>
      <c r="I996" s="37"/>
      <c r="J996" s="54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>
      <c r="A997" s="37"/>
      <c r="B997" s="37"/>
      <c r="C997" s="37"/>
      <c r="D997" s="37"/>
      <c r="E997" s="37"/>
      <c r="F997" s="37"/>
      <c r="G997" s="37"/>
      <c r="H997" s="53"/>
      <c r="I997" s="37"/>
      <c r="J997" s="54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>
      <c r="A998" s="37"/>
      <c r="B998" s="37"/>
      <c r="C998" s="37"/>
      <c r="D998" s="37"/>
      <c r="E998" s="37"/>
      <c r="F998" s="37"/>
      <c r="G998" s="37"/>
      <c r="H998" s="53"/>
      <c r="I998" s="37"/>
      <c r="J998" s="54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>
      <c r="A999" s="37"/>
      <c r="B999" s="37"/>
      <c r="C999" s="37"/>
      <c r="D999" s="37"/>
      <c r="E999" s="37"/>
      <c r="F999" s="37"/>
      <c r="G999" s="37"/>
      <c r="H999" s="53"/>
      <c r="I999" s="37"/>
      <c r="J999" s="54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>
      <c r="A1000" s="37"/>
      <c r="B1000" s="37"/>
      <c r="C1000" s="37"/>
      <c r="D1000" s="37"/>
      <c r="E1000" s="37"/>
      <c r="F1000" s="37"/>
      <c r="G1000" s="37"/>
      <c r="H1000" s="53"/>
      <c r="I1000" s="37"/>
      <c r="J1000" s="54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2">
    <mergeCell ref="F1:I1"/>
    <mergeCell ref="O1:R1"/>
  </mergeCells>
  <conditionalFormatting sqref="F3:G29 H3:I31">
    <cfRule type="expression" dxfId="3" priority="1">
      <formula>$H3&lt;$J3</formula>
    </cfRule>
  </conditionalFormatting>
  <conditionalFormatting sqref="F3:G29 H3:I31">
    <cfRule type="expression" dxfId="4" priority="2">
      <formula>NOT($H3 &gt; $J3 * 1.3)</formula>
    </cfRule>
  </conditionalFormatting>
  <conditionalFormatting sqref="O3:O22 P3:R29">
    <cfRule type="expression" dxfId="3" priority="3">
      <formula>$Q3&lt;$S3</formula>
    </cfRule>
  </conditionalFormatting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2" max="2" width="20.88"/>
    <col customWidth="1" min="4" max="4" width="39.38"/>
    <col customWidth="1" min="5" max="5" width="16.38"/>
    <col customWidth="1" min="7" max="7" width="19.0"/>
  </cols>
  <sheetData>
    <row r="1">
      <c r="A1" s="55" t="s">
        <v>5302</v>
      </c>
      <c r="B1" s="56" t="s">
        <v>5303</v>
      </c>
      <c r="C1" s="57" t="s">
        <v>39</v>
      </c>
      <c r="D1" s="57" t="s">
        <v>2</v>
      </c>
      <c r="E1" s="58" t="s">
        <v>5304</v>
      </c>
      <c r="F1" s="57" t="s">
        <v>5305</v>
      </c>
      <c r="G1" s="59" t="s">
        <v>5306</v>
      </c>
    </row>
    <row r="2">
      <c r="A2" s="60">
        <v>45742.0</v>
      </c>
      <c r="B2" s="61" t="s">
        <v>5307</v>
      </c>
      <c r="C2" s="62">
        <v>605678.0</v>
      </c>
      <c r="D2" s="63" t="s">
        <v>376</v>
      </c>
      <c r="E2" s="64">
        <v>55.0</v>
      </c>
      <c r="F2" s="63">
        <v>55.0</v>
      </c>
      <c r="G2" s="65" t="s">
        <v>5308</v>
      </c>
    </row>
    <row r="3">
      <c r="A3" s="66">
        <v>45744.0</v>
      </c>
      <c r="B3" s="67" t="s">
        <v>5307</v>
      </c>
      <c r="C3" s="68">
        <v>605678.0</v>
      </c>
      <c r="D3" s="69" t="s">
        <v>376</v>
      </c>
      <c r="E3" s="70">
        <v>45.0</v>
      </c>
      <c r="F3" s="69">
        <v>45.0</v>
      </c>
      <c r="G3" s="71" t="s">
        <v>5308</v>
      </c>
    </row>
    <row r="4">
      <c r="A4" s="60">
        <v>45744.0</v>
      </c>
      <c r="B4" s="61" t="s">
        <v>5309</v>
      </c>
      <c r="C4" s="62" t="s">
        <v>5310</v>
      </c>
      <c r="D4" s="63" t="s">
        <v>5311</v>
      </c>
      <c r="E4" s="64">
        <v>200.0</v>
      </c>
      <c r="F4" s="63">
        <v>200.0</v>
      </c>
      <c r="G4" s="65" t="s">
        <v>5312</v>
      </c>
    </row>
    <row r="5">
      <c r="A5" s="66">
        <v>45747.0</v>
      </c>
      <c r="B5" s="67" t="s">
        <v>5313</v>
      </c>
      <c r="C5" s="68">
        <v>692265.0</v>
      </c>
      <c r="D5" s="69" t="s">
        <v>5314</v>
      </c>
      <c r="E5" s="70">
        <v>40.0</v>
      </c>
      <c r="F5" s="69">
        <v>40.0</v>
      </c>
      <c r="G5" s="71" t="s">
        <v>5315</v>
      </c>
    </row>
    <row r="6">
      <c r="A6" s="60">
        <v>45749.0</v>
      </c>
      <c r="B6" s="61" t="s">
        <v>5316</v>
      </c>
      <c r="C6" s="62" t="s">
        <v>5317</v>
      </c>
      <c r="D6" s="63" t="s">
        <v>5318</v>
      </c>
      <c r="E6" s="64">
        <v>350.0</v>
      </c>
      <c r="F6" s="63">
        <v>350.0</v>
      </c>
      <c r="G6" s="65" t="s">
        <v>5319</v>
      </c>
    </row>
    <row r="7">
      <c r="A7" s="66">
        <v>45749.0</v>
      </c>
      <c r="B7" s="67" t="s">
        <v>5320</v>
      </c>
      <c r="C7" s="68">
        <v>692036.0</v>
      </c>
      <c r="D7" s="69" t="s">
        <v>206</v>
      </c>
      <c r="E7" s="70">
        <v>96.0</v>
      </c>
      <c r="F7" s="69">
        <v>96.0</v>
      </c>
      <c r="G7" s="71" t="s">
        <v>5321</v>
      </c>
    </row>
    <row r="8">
      <c r="A8" s="60">
        <v>45747.0</v>
      </c>
      <c r="B8" s="61" t="s">
        <v>5322</v>
      </c>
      <c r="C8" s="62" t="s">
        <v>5323</v>
      </c>
      <c r="D8" s="63" t="s">
        <v>5324</v>
      </c>
      <c r="E8" s="63">
        <v>348.0</v>
      </c>
      <c r="F8" s="63">
        <v>348.0</v>
      </c>
      <c r="G8" s="65" t="s">
        <v>5325</v>
      </c>
    </row>
    <row r="9">
      <c r="A9" s="66">
        <v>45751.0</v>
      </c>
      <c r="B9" s="67" t="s">
        <v>5326</v>
      </c>
      <c r="C9" s="68">
        <v>692012.0</v>
      </c>
      <c r="D9" s="69" t="s">
        <v>212</v>
      </c>
      <c r="E9" s="69">
        <v>25.0</v>
      </c>
      <c r="F9" s="69">
        <v>25.0</v>
      </c>
      <c r="G9" s="71" t="s">
        <v>5327</v>
      </c>
    </row>
    <row r="10">
      <c r="A10" s="60">
        <v>45751.0</v>
      </c>
      <c r="B10" s="61" t="s">
        <v>5327</v>
      </c>
      <c r="C10" s="62">
        <v>692012.0</v>
      </c>
      <c r="D10" s="63" t="s">
        <v>212</v>
      </c>
      <c r="E10" s="63">
        <v>475.0</v>
      </c>
      <c r="F10" s="63">
        <v>475.0</v>
      </c>
      <c r="G10" s="65" t="s">
        <v>5316</v>
      </c>
    </row>
    <row r="11">
      <c r="A11" s="66">
        <v>45751.0</v>
      </c>
      <c r="B11" s="67" t="s">
        <v>5328</v>
      </c>
      <c r="C11" s="68">
        <v>692012.0</v>
      </c>
      <c r="D11" s="69" t="s">
        <v>212</v>
      </c>
      <c r="E11" s="69">
        <v>450.0</v>
      </c>
      <c r="F11" s="69">
        <v>450.0</v>
      </c>
      <c r="G11" s="71" t="s">
        <v>5329</v>
      </c>
    </row>
    <row r="12">
      <c r="A12" s="60">
        <v>45751.0</v>
      </c>
      <c r="B12" s="61" t="s">
        <v>5330</v>
      </c>
      <c r="C12" s="62">
        <v>692012.0</v>
      </c>
      <c r="D12" s="63" t="s">
        <v>212</v>
      </c>
      <c r="E12" s="63">
        <v>225.0</v>
      </c>
      <c r="F12" s="63">
        <v>225.0</v>
      </c>
      <c r="G12" s="65" t="s">
        <v>5331</v>
      </c>
    </row>
    <row r="13">
      <c r="A13" s="66">
        <v>45751.0</v>
      </c>
      <c r="B13" s="67" t="s">
        <v>5332</v>
      </c>
      <c r="C13" s="68">
        <v>692012.0</v>
      </c>
      <c r="D13" s="69" t="s">
        <v>212</v>
      </c>
      <c r="E13" s="69">
        <v>450.0</v>
      </c>
      <c r="F13" s="69">
        <v>450.0</v>
      </c>
      <c r="G13" s="71" t="s">
        <v>5330</v>
      </c>
    </row>
    <row r="14">
      <c r="A14" s="60">
        <v>45751.0</v>
      </c>
      <c r="B14" s="61" t="s">
        <v>5313</v>
      </c>
      <c r="C14" s="62" t="s">
        <v>5333</v>
      </c>
      <c r="D14" s="63" t="s">
        <v>5334</v>
      </c>
      <c r="E14" s="63">
        <v>1500.0</v>
      </c>
      <c r="F14" s="63">
        <v>1500.0</v>
      </c>
      <c r="G14" s="65" t="s">
        <v>5335</v>
      </c>
    </row>
    <row r="15">
      <c r="A15" s="66">
        <v>45751.0</v>
      </c>
      <c r="B15" s="67" t="s">
        <v>5336</v>
      </c>
      <c r="C15" s="68" t="s">
        <v>5323</v>
      </c>
      <c r="D15" s="69" t="s">
        <v>5324</v>
      </c>
      <c r="E15" s="69">
        <v>400.0</v>
      </c>
      <c r="F15" s="69">
        <v>400.0</v>
      </c>
      <c r="G15" s="71" t="s">
        <v>5337</v>
      </c>
    </row>
    <row r="16">
      <c r="A16" s="60">
        <v>45751.0</v>
      </c>
      <c r="B16" s="61" t="s">
        <v>5337</v>
      </c>
      <c r="C16" s="62" t="s">
        <v>5323</v>
      </c>
      <c r="D16" s="63" t="s">
        <v>5324</v>
      </c>
      <c r="E16" s="63">
        <v>800.0</v>
      </c>
      <c r="F16" s="63">
        <v>800.0</v>
      </c>
      <c r="G16" s="65" t="s">
        <v>5338</v>
      </c>
    </row>
    <row r="17">
      <c r="A17" s="66">
        <v>45751.0</v>
      </c>
      <c r="B17" s="67" t="s">
        <v>5339</v>
      </c>
      <c r="C17" s="68" t="s">
        <v>5323</v>
      </c>
      <c r="D17" s="69" t="s">
        <v>5324</v>
      </c>
      <c r="E17" s="69">
        <v>400.0</v>
      </c>
      <c r="F17" s="69">
        <v>400.0</v>
      </c>
      <c r="G17" s="71" t="s">
        <v>5340</v>
      </c>
    </row>
    <row r="18">
      <c r="A18" s="60">
        <v>45751.0</v>
      </c>
      <c r="B18" s="61" t="s">
        <v>5341</v>
      </c>
      <c r="C18" s="62">
        <v>692425.0</v>
      </c>
      <c r="D18" s="63" t="s">
        <v>239</v>
      </c>
      <c r="E18" s="63">
        <v>700.0</v>
      </c>
      <c r="F18" s="63">
        <v>700.0</v>
      </c>
      <c r="G18" s="65" t="s">
        <v>5342</v>
      </c>
    </row>
    <row r="19">
      <c r="A19" s="66">
        <v>45751.0</v>
      </c>
      <c r="B19" s="67" t="s">
        <v>5343</v>
      </c>
      <c r="C19" s="68">
        <v>692425.0</v>
      </c>
      <c r="D19" s="69" t="s">
        <v>239</v>
      </c>
      <c r="E19" s="69">
        <v>700.0</v>
      </c>
      <c r="F19" s="69">
        <v>700.0</v>
      </c>
      <c r="G19" s="71" t="s">
        <v>5344</v>
      </c>
    </row>
    <row r="20">
      <c r="A20" s="60">
        <v>45751.0</v>
      </c>
      <c r="B20" s="61" t="s">
        <v>5322</v>
      </c>
      <c r="C20" s="62">
        <v>692425.0</v>
      </c>
      <c r="D20" s="63" t="s">
        <v>239</v>
      </c>
      <c r="E20" s="63">
        <v>600.0</v>
      </c>
      <c r="F20" s="63">
        <v>600.0</v>
      </c>
      <c r="G20" s="65" t="s">
        <v>5345</v>
      </c>
    </row>
    <row r="21">
      <c r="A21" s="66">
        <v>45751.0</v>
      </c>
      <c r="B21" s="67" t="s">
        <v>5346</v>
      </c>
      <c r="C21" s="68" t="s">
        <v>5317</v>
      </c>
      <c r="D21" s="69" t="s">
        <v>5318</v>
      </c>
      <c r="E21" s="69">
        <v>350.0</v>
      </c>
      <c r="F21" s="69">
        <v>350.0</v>
      </c>
      <c r="G21" s="71" t="s">
        <v>5325</v>
      </c>
    </row>
    <row r="22">
      <c r="A22" s="60">
        <v>45751.0</v>
      </c>
      <c r="B22" s="61" t="s">
        <v>5347</v>
      </c>
      <c r="C22" s="62">
        <v>600673.0</v>
      </c>
      <c r="D22" s="63" t="s">
        <v>5348</v>
      </c>
      <c r="E22" s="63">
        <v>132.0</v>
      </c>
      <c r="F22" s="63">
        <v>132.0</v>
      </c>
      <c r="G22" s="65" t="s">
        <v>5349</v>
      </c>
    </row>
    <row r="23">
      <c r="A23" s="66">
        <v>45751.0</v>
      </c>
      <c r="B23" s="67" t="s">
        <v>5350</v>
      </c>
      <c r="C23" s="68" t="s">
        <v>5351</v>
      </c>
      <c r="D23" s="69" t="s">
        <v>5352</v>
      </c>
      <c r="E23" s="69">
        <v>399.0</v>
      </c>
      <c r="F23" s="69">
        <v>399.0</v>
      </c>
      <c r="G23" s="71" t="s">
        <v>5347</v>
      </c>
    </row>
    <row r="24">
      <c r="A24" s="60">
        <v>45751.0</v>
      </c>
      <c r="B24" s="61" t="s">
        <v>5353</v>
      </c>
      <c r="C24" s="62">
        <v>692012.0</v>
      </c>
      <c r="D24" s="63" t="s">
        <v>212</v>
      </c>
      <c r="E24" s="63">
        <v>50.0</v>
      </c>
      <c r="F24" s="63">
        <v>50.0</v>
      </c>
      <c r="G24" s="65" t="s">
        <v>5354</v>
      </c>
    </row>
    <row r="25">
      <c r="A25" s="66">
        <v>45751.0</v>
      </c>
      <c r="B25" s="67" t="s">
        <v>5355</v>
      </c>
      <c r="C25" s="68">
        <v>692012.0</v>
      </c>
      <c r="D25" s="69" t="s">
        <v>212</v>
      </c>
      <c r="E25" s="69">
        <v>225.0</v>
      </c>
      <c r="F25" s="69">
        <v>225.0</v>
      </c>
      <c r="G25" s="71" t="s">
        <v>5356</v>
      </c>
    </row>
    <row r="26">
      <c r="A26" s="60">
        <v>45751.0</v>
      </c>
      <c r="B26" s="61" t="s">
        <v>5309</v>
      </c>
      <c r="C26" s="62">
        <v>692012.0</v>
      </c>
      <c r="D26" s="63" t="s">
        <v>212</v>
      </c>
      <c r="E26" s="63">
        <v>225.0</v>
      </c>
      <c r="F26" s="63">
        <v>225.0</v>
      </c>
      <c r="G26" s="65" t="s">
        <v>5357</v>
      </c>
    </row>
    <row r="27">
      <c r="A27" s="66">
        <v>45751.0</v>
      </c>
      <c r="B27" s="67" t="s">
        <v>5356</v>
      </c>
      <c r="C27" s="68">
        <v>692012.0</v>
      </c>
      <c r="D27" s="69" t="s">
        <v>212</v>
      </c>
      <c r="E27" s="69">
        <v>450.0</v>
      </c>
      <c r="F27" s="69">
        <v>450.0</v>
      </c>
      <c r="G27" s="71" t="s">
        <v>5350</v>
      </c>
    </row>
    <row r="28">
      <c r="A28" s="60">
        <v>45751.0</v>
      </c>
      <c r="B28" s="61" t="s">
        <v>5357</v>
      </c>
      <c r="C28" s="62">
        <v>692012.0</v>
      </c>
      <c r="D28" s="63" t="s">
        <v>212</v>
      </c>
      <c r="E28" s="63">
        <v>450.0</v>
      </c>
      <c r="F28" s="63">
        <v>450.0</v>
      </c>
      <c r="G28" s="65" t="s">
        <v>5346</v>
      </c>
    </row>
    <row r="29">
      <c r="A29" s="66">
        <v>45754.0</v>
      </c>
      <c r="B29" s="67" t="s">
        <v>5331</v>
      </c>
      <c r="C29" s="68">
        <v>692012.0</v>
      </c>
      <c r="D29" s="69" t="s">
        <v>212</v>
      </c>
      <c r="E29" s="69">
        <v>225.0</v>
      </c>
      <c r="F29" s="69">
        <v>225.0</v>
      </c>
      <c r="G29" s="71" t="s">
        <v>5354</v>
      </c>
    </row>
    <row r="30">
      <c r="A30" s="60">
        <v>45754.0</v>
      </c>
      <c r="B30" s="61" t="s">
        <v>5350</v>
      </c>
      <c r="C30" s="62">
        <v>692012.0</v>
      </c>
      <c r="D30" s="63" t="s">
        <v>212</v>
      </c>
      <c r="E30" s="63">
        <v>450.0</v>
      </c>
      <c r="F30" s="63">
        <v>450.0</v>
      </c>
      <c r="G30" s="65" t="s">
        <v>5331</v>
      </c>
    </row>
    <row r="31">
      <c r="A31" s="66">
        <v>45754.0</v>
      </c>
      <c r="B31" s="67" t="s">
        <v>5346</v>
      </c>
      <c r="C31" s="68">
        <v>692012.0</v>
      </c>
      <c r="D31" s="69" t="s">
        <v>212</v>
      </c>
      <c r="E31" s="69">
        <v>450.0</v>
      </c>
      <c r="F31" s="69">
        <v>450.0</v>
      </c>
      <c r="G31" s="71" t="s">
        <v>5350</v>
      </c>
    </row>
    <row r="32">
      <c r="A32" s="60">
        <v>45754.0</v>
      </c>
      <c r="B32" s="61" t="s">
        <v>5358</v>
      </c>
      <c r="C32" s="62">
        <v>692012.0</v>
      </c>
      <c r="D32" s="63" t="s">
        <v>212</v>
      </c>
      <c r="E32" s="63">
        <v>198.0</v>
      </c>
      <c r="F32" s="63">
        <v>198.0</v>
      </c>
      <c r="G32" s="65" t="s">
        <v>5346</v>
      </c>
    </row>
    <row r="33">
      <c r="A33" s="66">
        <v>45754.0</v>
      </c>
      <c r="B33" s="67" t="s">
        <v>5328</v>
      </c>
      <c r="C33" s="68">
        <v>692012.0</v>
      </c>
      <c r="D33" s="69" t="s">
        <v>212</v>
      </c>
      <c r="E33" s="69">
        <v>225.0</v>
      </c>
      <c r="F33" s="69">
        <v>225.0</v>
      </c>
      <c r="G33" s="71" t="s">
        <v>5346</v>
      </c>
    </row>
    <row r="34">
      <c r="A34" s="60">
        <v>45754.0</v>
      </c>
      <c r="B34" s="61" t="s">
        <v>5359</v>
      </c>
      <c r="C34" s="62">
        <v>692036.0</v>
      </c>
      <c r="D34" s="63" t="s">
        <v>206</v>
      </c>
      <c r="E34" s="63">
        <v>255.0</v>
      </c>
      <c r="F34" s="63">
        <v>255.0</v>
      </c>
      <c r="G34" s="65" t="s">
        <v>5360</v>
      </c>
    </row>
    <row r="35">
      <c r="A35" s="66">
        <v>45754.0</v>
      </c>
      <c r="B35" s="67" t="s">
        <v>5361</v>
      </c>
      <c r="C35" s="68" t="s">
        <v>5317</v>
      </c>
      <c r="D35" s="69" t="s">
        <v>5318</v>
      </c>
      <c r="E35" s="69">
        <v>700.0</v>
      </c>
      <c r="F35" s="69">
        <v>700.0</v>
      </c>
      <c r="G35" s="71" t="s">
        <v>5319</v>
      </c>
    </row>
    <row r="36">
      <c r="A36" s="60">
        <v>45754.0</v>
      </c>
      <c r="B36" s="61" t="s">
        <v>5319</v>
      </c>
      <c r="C36" s="62" t="s">
        <v>5317</v>
      </c>
      <c r="D36" s="63" t="s">
        <v>5318</v>
      </c>
      <c r="E36" s="63">
        <v>700.0</v>
      </c>
      <c r="F36" s="63">
        <v>700.0</v>
      </c>
      <c r="G36" s="65" t="s">
        <v>5361</v>
      </c>
    </row>
    <row r="37">
      <c r="A37" s="66">
        <v>45754.0</v>
      </c>
      <c r="B37" s="67" t="s">
        <v>5320</v>
      </c>
      <c r="C37" s="68" t="s">
        <v>5317</v>
      </c>
      <c r="D37" s="69" t="s">
        <v>5318</v>
      </c>
      <c r="E37" s="69">
        <v>350.0</v>
      </c>
      <c r="F37" s="69">
        <v>350.0</v>
      </c>
      <c r="G37" s="71" t="s">
        <v>5362</v>
      </c>
    </row>
    <row r="38">
      <c r="A38" s="60">
        <v>45754.0</v>
      </c>
      <c r="B38" s="61" t="s">
        <v>5362</v>
      </c>
      <c r="C38" s="62" t="s">
        <v>5317</v>
      </c>
      <c r="D38" s="63" t="s">
        <v>5318</v>
      </c>
      <c r="E38" s="63">
        <v>699.0</v>
      </c>
      <c r="F38" s="63">
        <v>699.0</v>
      </c>
      <c r="G38" s="65" t="s">
        <v>5319</v>
      </c>
    </row>
    <row r="39">
      <c r="A39" s="66">
        <v>45754.0</v>
      </c>
      <c r="B39" s="67" t="s">
        <v>5360</v>
      </c>
      <c r="C39" s="68">
        <v>692036.0</v>
      </c>
      <c r="D39" s="69" t="s">
        <v>206</v>
      </c>
      <c r="E39" s="69">
        <v>605.0</v>
      </c>
      <c r="F39" s="69">
        <v>605.0</v>
      </c>
      <c r="G39" s="71" t="s">
        <v>5363</v>
      </c>
    </row>
    <row r="40">
      <c r="A40" s="60">
        <v>45754.0</v>
      </c>
      <c r="B40" s="61" t="s">
        <v>5364</v>
      </c>
      <c r="C40" s="62">
        <v>605678.0</v>
      </c>
      <c r="D40" s="63" t="s">
        <v>376</v>
      </c>
      <c r="E40" s="63">
        <v>30.0</v>
      </c>
      <c r="F40" s="63">
        <v>30.0</v>
      </c>
      <c r="G40" s="65" t="s">
        <v>5308</v>
      </c>
    </row>
    <row r="41">
      <c r="A41" s="66">
        <v>45756.0</v>
      </c>
      <c r="B41" s="67" t="s">
        <v>5365</v>
      </c>
      <c r="C41" s="68">
        <v>605678.0</v>
      </c>
      <c r="D41" s="69" t="s">
        <v>376</v>
      </c>
      <c r="E41" s="69">
        <v>25.0</v>
      </c>
      <c r="F41" s="69">
        <v>25.0</v>
      </c>
      <c r="G41" s="71" t="s">
        <v>5366</v>
      </c>
    </row>
    <row r="42">
      <c r="A42" s="60">
        <v>45758.0</v>
      </c>
      <c r="B42" s="61" t="s">
        <v>5365</v>
      </c>
      <c r="C42" s="62">
        <v>600697.0</v>
      </c>
      <c r="D42" s="63" t="s">
        <v>5367</v>
      </c>
      <c r="E42" s="63">
        <v>33.0</v>
      </c>
      <c r="F42" s="63">
        <v>33.0</v>
      </c>
      <c r="G42" s="65" t="s">
        <v>5368</v>
      </c>
    </row>
    <row r="43">
      <c r="A43" s="66">
        <v>45761.0</v>
      </c>
      <c r="B43" s="67" t="s">
        <v>5365</v>
      </c>
      <c r="C43" s="68">
        <v>692265.0</v>
      </c>
      <c r="D43" s="69" t="s">
        <v>5314</v>
      </c>
      <c r="E43" s="69">
        <v>45.0</v>
      </c>
      <c r="F43" s="69">
        <v>45.0</v>
      </c>
      <c r="G43" s="71" t="s">
        <v>5315</v>
      </c>
    </row>
    <row r="44">
      <c r="A44" s="60">
        <v>45762.0</v>
      </c>
      <c r="B44" s="61" t="s">
        <v>5365</v>
      </c>
      <c r="C44" s="62">
        <v>605678.0</v>
      </c>
      <c r="D44" s="63" t="s">
        <v>376</v>
      </c>
      <c r="E44" s="63">
        <v>20.0</v>
      </c>
      <c r="F44" s="63">
        <v>20.0</v>
      </c>
      <c r="G44" s="65" t="s">
        <v>5366</v>
      </c>
    </row>
    <row r="45">
      <c r="A45" s="66">
        <v>45763.0</v>
      </c>
      <c r="B45" s="67" t="s">
        <v>5358</v>
      </c>
      <c r="C45" s="68" t="s">
        <v>5369</v>
      </c>
      <c r="D45" s="69" t="s">
        <v>206</v>
      </c>
      <c r="E45" s="69">
        <v>350.0</v>
      </c>
      <c r="F45" s="69">
        <v>350.0</v>
      </c>
      <c r="G45" s="71" t="s">
        <v>5328</v>
      </c>
    </row>
    <row r="46">
      <c r="A46" s="60">
        <v>45763.0</v>
      </c>
      <c r="B46" s="61" t="s">
        <v>5332</v>
      </c>
      <c r="C46" s="62" t="s">
        <v>5369</v>
      </c>
      <c r="D46" s="63" t="s">
        <v>206</v>
      </c>
      <c r="E46" s="63">
        <v>350.0</v>
      </c>
      <c r="F46" s="63">
        <v>350.0</v>
      </c>
      <c r="G46" s="65" t="s">
        <v>5370</v>
      </c>
    </row>
    <row r="47">
      <c r="A47" s="66">
        <v>45763.0</v>
      </c>
      <c r="B47" s="67" t="s">
        <v>5371</v>
      </c>
      <c r="C47" s="68" t="s">
        <v>5369</v>
      </c>
      <c r="D47" s="69" t="s">
        <v>206</v>
      </c>
      <c r="E47" s="69">
        <v>350.0</v>
      </c>
      <c r="F47" s="69">
        <v>350.0</v>
      </c>
      <c r="G47" s="71" t="s">
        <v>5372</v>
      </c>
    </row>
    <row r="48">
      <c r="A48" s="60">
        <v>45763.0</v>
      </c>
      <c r="B48" s="61" t="s">
        <v>5370</v>
      </c>
      <c r="C48" s="62" t="s">
        <v>5369</v>
      </c>
      <c r="D48" s="63" t="s">
        <v>206</v>
      </c>
      <c r="E48" s="63">
        <v>700.0</v>
      </c>
      <c r="F48" s="63">
        <v>700.0</v>
      </c>
      <c r="G48" s="65" t="s">
        <v>5373</v>
      </c>
    </row>
    <row r="49">
      <c r="A49" s="66">
        <v>45763.0</v>
      </c>
      <c r="B49" s="67" t="s">
        <v>5328</v>
      </c>
      <c r="C49" s="68" t="s">
        <v>5369</v>
      </c>
      <c r="D49" s="69" t="s">
        <v>206</v>
      </c>
      <c r="E49" s="69">
        <v>700.0</v>
      </c>
      <c r="F49" s="69">
        <v>700.0</v>
      </c>
      <c r="G49" s="71" t="s">
        <v>5320</v>
      </c>
    </row>
    <row r="50">
      <c r="A50" s="60">
        <v>45763.0</v>
      </c>
      <c r="B50" s="61" t="s">
        <v>5372</v>
      </c>
      <c r="C50" s="62" t="s">
        <v>5369</v>
      </c>
      <c r="D50" s="63" t="s">
        <v>206</v>
      </c>
      <c r="E50" s="63">
        <v>513.0</v>
      </c>
      <c r="F50" s="63">
        <v>513.0</v>
      </c>
      <c r="G50" s="65" t="s">
        <v>5346</v>
      </c>
    </row>
    <row r="51">
      <c r="A51" s="66">
        <v>45769.0</v>
      </c>
      <c r="B51" s="67" t="s">
        <v>5374</v>
      </c>
      <c r="C51" s="68">
        <v>692265.0</v>
      </c>
      <c r="D51" s="69" t="s">
        <v>5314</v>
      </c>
      <c r="E51" s="69">
        <v>45.0</v>
      </c>
      <c r="F51" s="69">
        <v>45.0</v>
      </c>
      <c r="G51" s="71" t="s">
        <v>5315</v>
      </c>
    </row>
    <row r="52">
      <c r="A52" s="60">
        <v>45769.0</v>
      </c>
      <c r="B52" s="61" t="s">
        <v>5375</v>
      </c>
      <c r="C52" s="62">
        <v>605678.0</v>
      </c>
      <c r="D52" s="63" t="s">
        <v>376</v>
      </c>
      <c r="E52" s="63">
        <v>30.0</v>
      </c>
      <c r="F52" s="63">
        <v>30.0</v>
      </c>
      <c r="G52" s="65" t="s">
        <v>5308</v>
      </c>
    </row>
    <row r="53">
      <c r="A53" s="66">
        <v>45770.0</v>
      </c>
      <c r="B53" s="67" t="s">
        <v>5308</v>
      </c>
      <c r="C53" s="68">
        <v>605678.0</v>
      </c>
      <c r="D53" s="69" t="s">
        <v>376</v>
      </c>
      <c r="E53" s="69">
        <v>30.0</v>
      </c>
      <c r="F53" s="69">
        <v>30.0</v>
      </c>
      <c r="G53" s="71" t="s">
        <v>5366</v>
      </c>
    </row>
    <row r="54">
      <c r="A54" s="60">
        <v>45770.0</v>
      </c>
      <c r="B54" s="61" t="s">
        <v>5374</v>
      </c>
      <c r="C54" s="62">
        <v>682778.0</v>
      </c>
      <c r="D54" s="63" t="s">
        <v>1378</v>
      </c>
      <c r="E54" s="63">
        <v>150.0</v>
      </c>
      <c r="F54" s="63">
        <v>150.0</v>
      </c>
      <c r="G54" s="65" t="s">
        <v>5308</v>
      </c>
    </row>
    <row r="55">
      <c r="A55" s="66">
        <v>45771.0</v>
      </c>
      <c r="B55" s="67" t="s">
        <v>5376</v>
      </c>
      <c r="C55" s="68">
        <v>600659.0</v>
      </c>
      <c r="D55" s="69" t="s">
        <v>5377</v>
      </c>
      <c r="E55" s="69">
        <v>9.0</v>
      </c>
      <c r="F55" s="69">
        <v>9.0</v>
      </c>
      <c r="G55" s="71" t="s">
        <v>5378</v>
      </c>
    </row>
    <row r="56">
      <c r="A56" s="60">
        <v>45771.0</v>
      </c>
      <c r="B56" s="61" t="s">
        <v>5379</v>
      </c>
      <c r="C56" s="62">
        <v>600550.0</v>
      </c>
      <c r="D56" s="63" t="s">
        <v>5380</v>
      </c>
      <c r="E56" s="63">
        <v>71.0</v>
      </c>
      <c r="F56" s="63">
        <v>71.0</v>
      </c>
      <c r="G56" s="65" t="s">
        <v>5381</v>
      </c>
    </row>
    <row r="57">
      <c r="A57" s="66">
        <v>45771.0</v>
      </c>
      <c r="B57" s="67" t="s">
        <v>5382</v>
      </c>
      <c r="C57" s="68" t="s">
        <v>5383</v>
      </c>
      <c r="D57" s="69" t="s">
        <v>5384</v>
      </c>
      <c r="E57" s="69">
        <v>20.0</v>
      </c>
      <c r="F57" s="69">
        <v>20.0</v>
      </c>
      <c r="G57" s="71" t="s">
        <v>5385</v>
      </c>
    </row>
    <row r="58">
      <c r="A58" s="60">
        <v>45771.0</v>
      </c>
      <c r="B58" s="61" t="s">
        <v>5386</v>
      </c>
      <c r="C58" s="62">
        <v>600659.0</v>
      </c>
      <c r="D58" s="63" t="s">
        <v>5377</v>
      </c>
      <c r="E58" s="63">
        <v>14.0</v>
      </c>
      <c r="F58" s="63">
        <v>14.0</v>
      </c>
      <c r="G58" s="65" t="s">
        <v>5378</v>
      </c>
    </row>
    <row r="59">
      <c r="A59" s="66">
        <v>45771.0</v>
      </c>
      <c r="B59" s="67" t="s">
        <v>5387</v>
      </c>
      <c r="C59" s="68">
        <v>600512.0</v>
      </c>
      <c r="D59" s="69" t="s">
        <v>5388</v>
      </c>
      <c r="E59" s="69">
        <v>22.0</v>
      </c>
      <c r="F59" s="69">
        <v>22.0</v>
      </c>
      <c r="G59" s="71" t="s">
        <v>5379</v>
      </c>
    </row>
    <row r="60">
      <c r="A60" s="60">
        <v>45771.0</v>
      </c>
      <c r="B60" s="61" t="s">
        <v>5378</v>
      </c>
      <c r="C60" s="62">
        <v>600659.0</v>
      </c>
      <c r="D60" s="63" t="s">
        <v>5377</v>
      </c>
      <c r="E60" s="63">
        <v>76.0</v>
      </c>
      <c r="F60" s="63">
        <v>76.0</v>
      </c>
      <c r="G60" s="65" t="s">
        <v>5387</v>
      </c>
    </row>
    <row r="61">
      <c r="A61" s="66">
        <v>45776.0</v>
      </c>
      <c r="B61" s="67" t="s">
        <v>5315</v>
      </c>
      <c r="C61" s="68">
        <v>692265.0</v>
      </c>
      <c r="D61" s="69" t="s">
        <v>5314</v>
      </c>
      <c r="E61" s="69">
        <v>34.0</v>
      </c>
      <c r="F61" s="69">
        <v>34.0</v>
      </c>
      <c r="G61" s="71" t="s">
        <v>5332</v>
      </c>
    </row>
    <row r="62">
      <c r="A62" s="60">
        <v>45776.0</v>
      </c>
      <c r="B62" s="61" t="s">
        <v>5366</v>
      </c>
      <c r="C62" s="62">
        <v>605678.0</v>
      </c>
      <c r="D62" s="63" t="s">
        <v>376</v>
      </c>
      <c r="E62" s="63">
        <v>2.0</v>
      </c>
      <c r="F62" s="63">
        <v>2.0</v>
      </c>
      <c r="G62" s="65" t="s">
        <v>5364</v>
      </c>
    </row>
    <row r="63">
      <c r="A63" s="66">
        <v>45776.0</v>
      </c>
      <c r="B63" s="67" t="s">
        <v>5308</v>
      </c>
      <c r="C63" s="68">
        <v>682778.0</v>
      </c>
      <c r="D63" s="69" t="s">
        <v>1378</v>
      </c>
      <c r="E63" s="69">
        <v>38.0</v>
      </c>
      <c r="F63" s="69">
        <v>38.0</v>
      </c>
      <c r="G63" s="71" t="s">
        <v>5389</v>
      </c>
    </row>
    <row r="64">
      <c r="A64" s="60">
        <v>45776.0</v>
      </c>
      <c r="B64" s="61" t="s">
        <v>5332</v>
      </c>
      <c r="C64" s="62">
        <v>692265.0</v>
      </c>
      <c r="D64" s="63" t="s">
        <v>5314</v>
      </c>
      <c r="E64" s="63">
        <v>34.0</v>
      </c>
      <c r="F64" s="63">
        <v>34.0</v>
      </c>
      <c r="G64" s="65" t="s">
        <v>5382</v>
      </c>
    </row>
    <row r="65">
      <c r="A65" s="66">
        <v>45776.0</v>
      </c>
      <c r="B65" s="67" t="s">
        <v>5390</v>
      </c>
      <c r="C65" s="68">
        <v>692265.0</v>
      </c>
      <c r="D65" s="69" t="s">
        <v>5314</v>
      </c>
      <c r="E65" s="69">
        <v>45.0</v>
      </c>
      <c r="F65" s="69">
        <v>45.0</v>
      </c>
      <c r="G65" s="71" t="s">
        <v>5315</v>
      </c>
    </row>
    <row r="66">
      <c r="A66" s="60">
        <v>45776.0</v>
      </c>
      <c r="B66" s="61" t="s">
        <v>5391</v>
      </c>
      <c r="C66" s="62">
        <v>692043.0</v>
      </c>
      <c r="D66" s="63" t="s">
        <v>224</v>
      </c>
      <c r="E66" s="63">
        <v>150.0</v>
      </c>
      <c r="F66" s="63">
        <v>150.0</v>
      </c>
      <c r="G66" s="65" t="s">
        <v>5308</v>
      </c>
    </row>
    <row r="67">
      <c r="A67" s="66">
        <v>45776.0</v>
      </c>
      <c r="B67" s="67" t="s">
        <v>5392</v>
      </c>
      <c r="C67" s="68">
        <v>692043.0</v>
      </c>
      <c r="D67" s="69" t="s">
        <v>224</v>
      </c>
      <c r="E67" s="69">
        <v>150.0</v>
      </c>
      <c r="F67" s="69">
        <v>150.0</v>
      </c>
      <c r="G67" s="71" t="s">
        <v>5308</v>
      </c>
    </row>
    <row r="68">
      <c r="A68" s="60">
        <v>45776.0</v>
      </c>
      <c r="B68" s="61" t="s">
        <v>5393</v>
      </c>
      <c r="C68" s="62">
        <v>692043.0</v>
      </c>
      <c r="D68" s="63" t="s">
        <v>224</v>
      </c>
      <c r="E68" s="63">
        <v>150.0</v>
      </c>
      <c r="F68" s="63">
        <v>150.0</v>
      </c>
      <c r="G68" s="65" t="s">
        <v>5308</v>
      </c>
    </row>
    <row r="69">
      <c r="A69" s="66">
        <v>45776.0</v>
      </c>
      <c r="B69" s="67" t="s">
        <v>5394</v>
      </c>
      <c r="C69" s="68">
        <v>692043.0</v>
      </c>
      <c r="D69" s="69" t="s">
        <v>224</v>
      </c>
      <c r="E69" s="69">
        <v>150.0</v>
      </c>
      <c r="F69" s="69">
        <v>150.0</v>
      </c>
      <c r="G69" s="71" t="s">
        <v>5308</v>
      </c>
    </row>
    <row r="70">
      <c r="A70" s="60">
        <v>45776.0</v>
      </c>
      <c r="B70" s="61" t="s">
        <v>5395</v>
      </c>
      <c r="C70" s="62">
        <v>692043.0</v>
      </c>
      <c r="D70" s="63" t="s">
        <v>224</v>
      </c>
      <c r="E70" s="63">
        <v>150.0</v>
      </c>
      <c r="F70" s="63">
        <v>150.0</v>
      </c>
      <c r="G70" s="65" t="s">
        <v>5308</v>
      </c>
    </row>
    <row r="71">
      <c r="A71" s="66">
        <v>45776.0</v>
      </c>
      <c r="B71" s="67" t="s">
        <v>5396</v>
      </c>
      <c r="C71" s="68">
        <v>692043.0</v>
      </c>
      <c r="D71" s="69" t="s">
        <v>224</v>
      </c>
      <c r="E71" s="69">
        <v>150.0</v>
      </c>
      <c r="F71" s="69">
        <v>150.0</v>
      </c>
      <c r="G71" s="71" t="s">
        <v>5308</v>
      </c>
    </row>
    <row r="72">
      <c r="A72" s="60">
        <v>45776.0</v>
      </c>
      <c r="B72" s="61" t="s">
        <v>5397</v>
      </c>
      <c r="C72" s="62">
        <v>692043.0</v>
      </c>
      <c r="D72" s="63" t="s">
        <v>224</v>
      </c>
      <c r="E72" s="63">
        <v>150.0</v>
      </c>
      <c r="F72" s="63">
        <v>150.0</v>
      </c>
      <c r="G72" s="65" t="s">
        <v>5308</v>
      </c>
    </row>
    <row r="73">
      <c r="A73" s="66">
        <v>45776.0</v>
      </c>
      <c r="B73" s="67" t="s">
        <v>5398</v>
      </c>
      <c r="C73" s="68">
        <v>692043.0</v>
      </c>
      <c r="D73" s="69" t="s">
        <v>224</v>
      </c>
      <c r="E73" s="69">
        <v>150.0</v>
      </c>
      <c r="F73" s="69">
        <v>150.0</v>
      </c>
      <c r="G73" s="71" t="s">
        <v>5308</v>
      </c>
    </row>
    <row r="74">
      <c r="A74" s="60">
        <v>45776.0</v>
      </c>
      <c r="B74" s="61" t="s">
        <v>5399</v>
      </c>
      <c r="C74" s="62">
        <v>692043.0</v>
      </c>
      <c r="D74" s="63" t="s">
        <v>224</v>
      </c>
      <c r="E74" s="63">
        <v>150.0</v>
      </c>
      <c r="F74" s="63">
        <v>150.0</v>
      </c>
      <c r="G74" s="65" t="s">
        <v>5308</v>
      </c>
    </row>
    <row r="75">
      <c r="A75" s="66">
        <v>45776.0</v>
      </c>
      <c r="B75" s="67" t="s">
        <v>5400</v>
      </c>
      <c r="C75" s="68">
        <v>692043.0</v>
      </c>
      <c r="D75" s="69" t="s">
        <v>224</v>
      </c>
      <c r="E75" s="69">
        <v>150.0</v>
      </c>
      <c r="F75" s="69">
        <v>150.0</v>
      </c>
      <c r="G75" s="71" t="s">
        <v>5308</v>
      </c>
    </row>
    <row r="76">
      <c r="A76" s="60">
        <v>45776.0</v>
      </c>
      <c r="B76" s="61" t="s">
        <v>5401</v>
      </c>
      <c r="C76" s="62">
        <v>692043.0</v>
      </c>
      <c r="D76" s="63" t="s">
        <v>224</v>
      </c>
      <c r="E76" s="63">
        <v>150.0</v>
      </c>
      <c r="F76" s="63">
        <v>150.0</v>
      </c>
      <c r="G76" s="65" t="s">
        <v>5308</v>
      </c>
    </row>
    <row r="77">
      <c r="A77" s="66">
        <v>45776.0</v>
      </c>
      <c r="B77" s="67" t="s">
        <v>5402</v>
      </c>
      <c r="C77" s="68">
        <v>692043.0</v>
      </c>
      <c r="D77" s="69" t="s">
        <v>224</v>
      </c>
      <c r="E77" s="69">
        <v>93.0</v>
      </c>
      <c r="F77" s="69">
        <v>93.0</v>
      </c>
      <c r="G77" s="71" t="s">
        <v>5308</v>
      </c>
    </row>
    <row r="78">
      <c r="A78" s="60">
        <v>45783.0</v>
      </c>
      <c r="B78" s="61" t="s">
        <v>5364</v>
      </c>
      <c r="C78" s="62">
        <v>682778.0</v>
      </c>
      <c r="D78" s="63" t="s">
        <v>1378</v>
      </c>
      <c r="E78" s="63">
        <v>240.0</v>
      </c>
      <c r="F78" s="63">
        <v>240.0</v>
      </c>
      <c r="G78" s="65" t="s">
        <v>5341</v>
      </c>
    </row>
    <row r="79">
      <c r="A79" s="66">
        <v>45784.0</v>
      </c>
      <c r="B79" s="67" t="s">
        <v>5393</v>
      </c>
      <c r="C79" s="68" t="s">
        <v>5403</v>
      </c>
      <c r="D79" s="69" t="s">
        <v>218</v>
      </c>
      <c r="E79" s="69">
        <v>200.0</v>
      </c>
      <c r="F79" s="69">
        <v>200.0</v>
      </c>
      <c r="G79" s="71" t="s">
        <v>5394</v>
      </c>
    </row>
    <row r="80">
      <c r="A80" s="60">
        <v>45784.0</v>
      </c>
      <c r="B80" s="61" t="s">
        <v>5395</v>
      </c>
      <c r="C80" s="62" t="s">
        <v>5403</v>
      </c>
      <c r="D80" s="63" t="s">
        <v>218</v>
      </c>
      <c r="E80" s="63">
        <v>200.0</v>
      </c>
      <c r="F80" s="63">
        <v>200.0</v>
      </c>
      <c r="G80" s="65" t="s">
        <v>5396</v>
      </c>
    </row>
    <row r="81">
      <c r="A81" s="66">
        <v>45784.0</v>
      </c>
      <c r="B81" s="67" t="s">
        <v>5397</v>
      </c>
      <c r="C81" s="68" t="s">
        <v>5403</v>
      </c>
      <c r="D81" s="69" t="s">
        <v>218</v>
      </c>
      <c r="E81" s="69">
        <v>200.0</v>
      </c>
      <c r="F81" s="69">
        <v>200.0</v>
      </c>
      <c r="G81" s="71" t="s">
        <v>5398</v>
      </c>
    </row>
    <row r="82">
      <c r="A82" s="60">
        <v>45784.0</v>
      </c>
      <c r="B82" s="61" t="s">
        <v>5402</v>
      </c>
      <c r="C82" s="62" t="s">
        <v>5403</v>
      </c>
      <c r="D82" s="63" t="s">
        <v>218</v>
      </c>
      <c r="E82" s="63">
        <v>200.0</v>
      </c>
      <c r="F82" s="63">
        <v>200.0</v>
      </c>
      <c r="G82" s="65" t="s">
        <v>5399</v>
      </c>
    </row>
    <row r="83">
      <c r="A83" s="66">
        <v>45784.0</v>
      </c>
      <c r="B83" s="67" t="s">
        <v>5400</v>
      </c>
      <c r="C83" s="68" t="s">
        <v>5403</v>
      </c>
      <c r="D83" s="69" t="s">
        <v>218</v>
      </c>
      <c r="E83" s="69">
        <v>200.0</v>
      </c>
      <c r="F83" s="69">
        <v>200.0</v>
      </c>
      <c r="G83" s="71" t="s">
        <v>5401</v>
      </c>
    </row>
    <row r="84">
      <c r="A84" s="60">
        <v>45784.0</v>
      </c>
      <c r="B84" s="61" t="s">
        <v>5404</v>
      </c>
      <c r="C84" s="62" t="s">
        <v>5403</v>
      </c>
      <c r="D84" s="63" t="s">
        <v>218</v>
      </c>
      <c r="E84" s="63">
        <v>200.0</v>
      </c>
      <c r="F84" s="63">
        <v>200.0</v>
      </c>
      <c r="G84" s="65" t="s">
        <v>5405</v>
      </c>
    </row>
    <row r="85">
      <c r="A85" s="66">
        <v>45784.0</v>
      </c>
      <c r="B85" s="67" t="s">
        <v>5342</v>
      </c>
      <c r="C85" s="68">
        <v>600666.0</v>
      </c>
      <c r="D85" s="69" t="s">
        <v>5406</v>
      </c>
      <c r="E85" s="69">
        <v>40.0</v>
      </c>
      <c r="F85" s="69">
        <v>40.0</v>
      </c>
      <c r="G85" s="71" t="s">
        <v>5407</v>
      </c>
    </row>
    <row r="86">
      <c r="A86" s="60">
        <v>45784.0</v>
      </c>
      <c r="B86" s="61" t="s">
        <v>5331</v>
      </c>
      <c r="C86" s="62" t="s">
        <v>5408</v>
      </c>
      <c r="D86" s="63" t="s">
        <v>212</v>
      </c>
      <c r="E86" s="63">
        <v>50.0</v>
      </c>
      <c r="F86" s="63">
        <v>50.0</v>
      </c>
      <c r="G86" s="65" t="s">
        <v>5329</v>
      </c>
    </row>
    <row r="87">
      <c r="A87" s="66">
        <v>45784.0</v>
      </c>
      <c r="B87" s="67" t="s">
        <v>5394</v>
      </c>
      <c r="C87" s="68" t="s">
        <v>5403</v>
      </c>
      <c r="D87" s="69" t="s">
        <v>218</v>
      </c>
      <c r="E87" s="69">
        <v>400.0</v>
      </c>
      <c r="F87" s="69">
        <v>400.0</v>
      </c>
      <c r="G87" s="71" t="s">
        <v>5312</v>
      </c>
    </row>
    <row r="88">
      <c r="A88" s="60">
        <v>45784.0</v>
      </c>
      <c r="B88" s="61" t="s">
        <v>5396</v>
      </c>
      <c r="C88" s="62" t="s">
        <v>5403</v>
      </c>
      <c r="D88" s="63" t="s">
        <v>218</v>
      </c>
      <c r="E88" s="63">
        <v>400.0</v>
      </c>
      <c r="F88" s="63">
        <v>400.0</v>
      </c>
      <c r="G88" s="65" t="s">
        <v>5409</v>
      </c>
    </row>
    <row r="89">
      <c r="A89" s="66">
        <v>45784.0</v>
      </c>
      <c r="B89" s="67" t="s">
        <v>5398</v>
      </c>
      <c r="C89" s="68" t="s">
        <v>5403</v>
      </c>
      <c r="D89" s="69" t="s">
        <v>218</v>
      </c>
      <c r="E89" s="69">
        <v>400.0</v>
      </c>
      <c r="F89" s="69">
        <v>400.0</v>
      </c>
      <c r="G89" s="71" t="s">
        <v>5342</v>
      </c>
    </row>
    <row r="90">
      <c r="A90" s="60">
        <v>45784.0</v>
      </c>
      <c r="B90" s="61" t="s">
        <v>5399</v>
      </c>
      <c r="C90" s="62" t="s">
        <v>5403</v>
      </c>
      <c r="D90" s="63" t="s">
        <v>218</v>
      </c>
      <c r="E90" s="63">
        <v>400.0</v>
      </c>
      <c r="F90" s="63">
        <v>400.0</v>
      </c>
      <c r="G90" s="65" t="s">
        <v>5345</v>
      </c>
    </row>
    <row r="91">
      <c r="A91" s="66">
        <v>45784.0</v>
      </c>
      <c r="B91" s="67" t="s">
        <v>5401</v>
      </c>
      <c r="C91" s="68" t="s">
        <v>5403</v>
      </c>
      <c r="D91" s="69" t="s">
        <v>218</v>
      </c>
      <c r="E91" s="69">
        <v>400.0</v>
      </c>
      <c r="F91" s="69">
        <v>400.0</v>
      </c>
      <c r="G91" s="71" t="s">
        <v>5325</v>
      </c>
    </row>
    <row r="92">
      <c r="A92" s="60">
        <v>45784.0</v>
      </c>
      <c r="B92" s="61" t="s">
        <v>5410</v>
      </c>
      <c r="C92" s="62">
        <v>692425.0</v>
      </c>
      <c r="D92" s="63" t="s">
        <v>239</v>
      </c>
      <c r="E92" s="63">
        <v>549.0</v>
      </c>
      <c r="F92" s="63">
        <v>549.0</v>
      </c>
      <c r="G92" s="65" t="s">
        <v>5411</v>
      </c>
    </row>
    <row r="93">
      <c r="A93" s="66">
        <v>45784.0</v>
      </c>
      <c r="B93" s="67" t="s">
        <v>5370</v>
      </c>
      <c r="C93" s="68" t="s">
        <v>5408</v>
      </c>
      <c r="D93" s="69" t="s">
        <v>212</v>
      </c>
      <c r="E93" s="69">
        <v>225.0</v>
      </c>
      <c r="F93" s="69">
        <v>225.0</v>
      </c>
      <c r="G93" s="71" t="s">
        <v>5412</v>
      </c>
    </row>
    <row r="94">
      <c r="A94" s="60">
        <v>45784.0</v>
      </c>
      <c r="B94" s="61" t="s">
        <v>5412</v>
      </c>
      <c r="C94" s="62" t="s">
        <v>5408</v>
      </c>
      <c r="D94" s="63" t="s">
        <v>212</v>
      </c>
      <c r="E94" s="63">
        <v>450.0</v>
      </c>
      <c r="F94" s="63">
        <v>450.0</v>
      </c>
      <c r="G94" s="65" t="s">
        <v>5331</v>
      </c>
    </row>
    <row r="95">
      <c r="A95" s="66">
        <v>45784.0</v>
      </c>
      <c r="B95" s="67" t="s">
        <v>5413</v>
      </c>
      <c r="C95" s="68" t="s">
        <v>5408</v>
      </c>
      <c r="D95" s="69" t="s">
        <v>212</v>
      </c>
      <c r="E95" s="69">
        <v>225.0</v>
      </c>
      <c r="F95" s="69">
        <v>225.0</v>
      </c>
      <c r="G95" s="71" t="s">
        <v>5327</v>
      </c>
    </row>
    <row r="96">
      <c r="A96" s="60">
        <v>45784.0</v>
      </c>
      <c r="B96" s="61" t="s">
        <v>5327</v>
      </c>
      <c r="C96" s="62" t="s">
        <v>5408</v>
      </c>
      <c r="D96" s="63" t="s">
        <v>212</v>
      </c>
      <c r="E96" s="63">
        <v>391.0</v>
      </c>
      <c r="F96" s="63">
        <v>391.0</v>
      </c>
      <c r="G96" s="65" t="s">
        <v>5350</v>
      </c>
    </row>
    <row r="97">
      <c r="A97" s="66">
        <v>45784.0</v>
      </c>
      <c r="B97" s="67" t="s">
        <v>5405</v>
      </c>
      <c r="C97" s="68" t="s">
        <v>5403</v>
      </c>
      <c r="D97" s="69" t="s">
        <v>218</v>
      </c>
      <c r="E97" s="69">
        <v>400.0</v>
      </c>
      <c r="F97" s="69">
        <v>400.0</v>
      </c>
      <c r="G97" s="71" t="s">
        <v>5346</v>
      </c>
    </row>
    <row r="98">
      <c r="A98" s="60">
        <v>45784.0</v>
      </c>
      <c r="B98" s="61" t="s">
        <v>5414</v>
      </c>
      <c r="C98" s="62" t="s">
        <v>5403</v>
      </c>
      <c r="D98" s="63" t="s">
        <v>218</v>
      </c>
      <c r="E98" s="63">
        <v>25.0</v>
      </c>
      <c r="F98" s="63">
        <v>25.0</v>
      </c>
      <c r="G98" s="65" t="s">
        <v>5415</v>
      </c>
    </row>
    <row r="99">
      <c r="A99" s="66">
        <v>45784.0</v>
      </c>
      <c r="B99" s="67" t="s">
        <v>5415</v>
      </c>
      <c r="C99" s="68" t="s">
        <v>5403</v>
      </c>
      <c r="D99" s="69" t="s">
        <v>218</v>
      </c>
      <c r="E99" s="69">
        <v>240.0</v>
      </c>
      <c r="F99" s="69">
        <v>240.0</v>
      </c>
      <c r="G99" s="71" t="s">
        <v>5316</v>
      </c>
    </row>
    <row r="100">
      <c r="A100" s="60">
        <v>45790.0</v>
      </c>
      <c r="B100" s="61" t="s">
        <v>5346</v>
      </c>
      <c r="C100" s="62" t="s">
        <v>5403</v>
      </c>
      <c r="D100" s="63" t="s">
        <v>218</v>
      </c>
      <c r="E100" s="63">
        <v>50.0</v>
      </c>
      <c r="F100" s="63">
        <v>50.0</v>
      </c>
      <c r="G100" s="65" t="s">
        <v>5342</v>
      </c>
    </row>
    <row r="101">
      <c r="A101" s="66">
        <v>45790.0</v>
      </c>
      <c r="B101" s="67" t="s">
        <v>5416</v>
      </c>
      <c r="C101" s="68">
        <v>600550.0</v>
      </c>
      <c r="D101" s="69" t="s">
        <v>5380</v>
      </c>
      <c r="E101" s="69">
        <v>148.0</v>
      </c>
      <c r="F101" s="69">
        <v>148.0</v>
      </c>
      <c r="G101" s="71" t="s">
        <v>5381</v>
      </c>
    </row>
    <row r="102">
      <c r="A102" s="60">
        <v>45792.0</v>
      </c>
      <c r="B102" s="61" t="s">
        <v>5417</v>
      </c>
      <c r="C102" s="62" t="s">
        <v>5403</v>
      </c>
      <c r="D102" s="63" t="s">
        <v>218</v>
      </c>
      <c r="E102" s="63">
        <v>200.0</v>
      </c>
      <c r="F102" s="63">
        <v>200.0</v>
      </c>
      <c r="G102" s="65" t="s">
        <v>5418</v>
      </c>
    </row>
    <row r="103">
      <c r="A103" s="66">
        <v>45792.0</v>
      </c>
      <c r="B103" s="67" t="s">
        <v>5418</v>
      </c>
      <c r="C103" s="68" t="s">
        <v>5403</v>
      </c>
      <c r="D103" s="69" t="s">
        <v>218</v>
      </c>
      <c r="E103" s="69">
        <v>400.0</v>
      </c>
      <c r="F103" s="69">
        <v>400.0</v>
      </c>
      <c r="G103" s="71" t="s">
        <v>5346</v>
      </c>
    </row>
    <row r="104">
      <c r="A104" s="60">
        <v>45792.0</v>
      </c>
      <c r="B104" s="61" t="s">
        <v>5419</v>
      </c>
      <c r="C104" s="62" t="s">
        <v>5403</v>
      </c>
      <c r="D104" s="63" t="s">
        <v>218</v>
      </c>
      <c r="E104" s="63">
        <v>200.0</v>
      </c>
      <c r="F104" s="63">
        <v>200.0</v>
      </c>
      <c r="G104" s="65" t="s">
        <v>5313</v>
      </c>
    </row>
    <row r="105">
      <c r="A105" s="66">
        <v>45792.0</v>
      </c>
      <c r="B105" s="67" t="s">
        <v>5419</v>
      </c>
      <c r="C105" s="68">
        <v>600697.0</v>
      </c>
      <c r="D105" s="69" t="s">
        <v>5367</v>
      </c>
      <c r="E105" s="69">
        <v>30.0</v>
      </c>
      <c r="F105" s="69">
        <v>30.0</v>
      </c>
      <c r="G105" s="71" t="s">
        <v>5347</v>
      </c>
    </row>
    <row r="106">
      <c r="A106" s="60">
        <v>45799.0</v>
      </c>
      <c r="B106" s="61" t="s">
        <v>5420</v>
      </c>
      <c r="C106" s="62">
        <v>682778.0</v>
      </c>
      <c r="D106" s="63" t="s">
        <v>1378</v>
      </c>
      <c r="E106" s="63">
        <v>240.0</v>
      </c>
      <c r="F106" s="63">
        <v>240.0</v>
      </c>
      <c r="G106" s="65" t="s">
        <v>5315</v>
      </c>
    </row>
    <row r="107">
      <c r="A107" s="66">
        <v>45799.0</v>
      </c>
      <c r="B107" s="67" t="s">
        <v>5421</v>
      </c>
      <c r="C107" s="68">
        <v>682778.0</v>
      </c>
      <c r="D107" s="69" t="s">
        <v>1378</v>
      </c>
      <c r="E107" s="69">
        <v>20.0</v>
      </c>
      <c r="F107" s="69">
        <v>20.0</v>
      </c>
      <c r="G107" s="71" t="s">
        <v>5315</v>
      </c>
    </row>
    <row r="108">
      <c r="A108" s="60">
        <v>45800.0</v>
      </c>
      <c r="B108" s="61" t="s">
        <v>5422</v>
      </c>
      <c r="C108" s="62" t="s">
        <v>5423</v>
      </c>
      <c r="D108" s="63" t="s">
        <v>5324</v>
      </c>
      <c r="E108" s="63">
        <v>55.0</v>
      </c>
      <c r="F108" s="63">
        <v>55.0</v>
      </c>
      <c r="G108" s="65" t="s">
        <v>5424</v>
      </c>
    </row>
    <row r="109">
      <c r="A109" s="66">
        <v>45813.0</v>
      </c>
      <c r="B109" s="67" t="s">
        <v>5364</v>
      </c>
      <c r="C109" s="68">
        <v>600536.0</v>
      </c>
      <c r="D109" s="69" t="s">
        <v>5425</v>
      </c>
      <c r="E109" s="69">
        <v>300.0</v>
      </c>
      <c r="F109" s="69">
        <v>300.0</v>
      </c>
      <c r="G109" s="71" t="s">
        <v>5426</v>
      </c>
    </row>
    <row r="110">
      <c r="A110" s="60">
        <v>45818.0</v>
      </c>
      <c r="B110" s="61" t="s">
        <v>5327</v>
      </c>
      <c r="C110" s="62">
        <v>657325.0</v>
      </c>
      <c r="D110" s="63" t="s">
        <v>5427</v>
      </c>
      <c r="E110" s="63">
        <v>180.0</v>
      </c>
      <c r="F110" s="63">
        <v>180.0</v>
      </c>
      <c r="G110" s="65" t="s">
        <v>5428</v>
      </c>
    </row>
    <row r="111">
      <c r="A111" s="66">
        <v>45818.0</v>
      </c>
      <c r="B111" s="67" t="s">
        <v>5429</v>
      </c>
      <c r="C111" s="68">
        <v>600673.0</v>
      </c>
      <c r="D111" s="69" t="s">
        <v>5430</v>
      </c>
      <c r="E111" s="69">
        <v>10.0</v>
      </c>
      <c r="F111" s="69">
        <v>10.0</v>
      </c>
      <c r="G111" s="71" t="s">
        <v>5431</v>
      </c>
    </row>
    <row r="112">
      <c r="A112" s="60">
        <v>45818.0</v>
      </c>
      <c r="B112" s="61" t="s">
        <v>5389</v>
      </c>
      <c r="C112" s="62">
        <v>692265.0</v>
      </c>
      <c r="D112" s="63" t="s">
        <v>5314</v>
      </c>
      <c r="E112" s="63">
        <v>13.0</v>
      </c>
      <c r="F112" s="63">
        <v>13.0</v>
      </c>
      <c r="G112" s="65" t="s">
        <v>5364</v>
      </c>
    </row>
    <row r="113">
      <c r="A113" s="66">
        <v>45818.0</v>
      </c>
      <c r="B113" s="67" t="s">
        <v>5389</v>
      </c>
      <c r="C113" s="68">
        <v>692265.0</v>
      </c>
      <c r="D113" s="69" t="s">
        <v>5314</v>
      </c>
      <c r="E113" s="69">
        <v>13.0</v>
      </c>
      <c r="F113" s="69">
        <v>13.0</v>
      </c>
      <c r="G113" s="71" t="s">
        <v>5364</v>
      </c>
    </row>
    <row r="114">
      <c r="A114" s="60">
        <v>45818.0</v>
      </c>
      <c r="B114" s="61" t="s">
        <v>5364</v>
      </c>
      <c r="C114" s="62">
        <v>692265.0</v>
      </c>
      <c r="D114" s="63" t="s">
        <v>5314</v>
      </c>
      <c r="E114" s="63">
        <v>76.0</v>
      </c>
      <c r="F114" s="63">
        <v>76.0</v>
      </c>
      <c r="G114" s="65" t="s">
        <v>5382</v>
      </c>
    </row>
    <row r="115">
      <c r="A115" s="66">
        <v>45818.0</v>
      </c>
      <c r="B115" s="67" t="s">
        <v>5307</v>
      </c>
      <c r="C115" s="68">
        <v>605678.0</v>
      </c>
      <c r="D115" s="69" t="s">
        <v>376</v>
      </c>
      <c r="E115" s="69">
        <v>4.0</v>
      </c>
      <c r="F115" s="69">
        <v>4.0</v>
      </c>
      <c r="G115" s="71" t="s">
        <v>5432</v>
      </c>
    </row>
    <row r="116">
      <c r="A116" s="60">
        <v>45818.0</v>
      </c>
      <c r="B116" s="61" t="s">
        <v>5432</v>
      </c>
      <c r="C116" s="62">
        <v>605678.0</v>
      </c>
      <c r="D116" s="63" t="s">
        <v>376</v>
      </c>
      <c r="E116" s="63">
        <v>54.0</v>
      </c>
      <c r="F116" s="63">
        <v>54.0</v>
      </c>
      <c r="G116" s="65" t="s">
        <v>5315</v>
      </c>
    </row>
    <row r="117">
      <c r="A117" s="66">
        <v>45818.0</v>
      </c>
      <c r="B117" s="67" t="s">
        <v>5433</v>
      </c>
      <c r="C117" s="68">
        <v>682778.0</v>
      </c>
      <c r="D117" s="69" t="s">
        <v>1378</v>
      </c>
      <c r="E117" s="69">
        <v>72.0</v>
      </c>
      <c r="F117" s="69">
        <v>72.0</v>
      </c>
      <c r="G117" s="71" t="s">
        <v>5366</v>
      </c>
    </row>
    <row r="118">
      <c r="A118" s="60">
        <v>45818.0</v>
      </c>
      <c r="B118" s="61" t="s">
        <v>5372</v>
      </c>
      <c r="C118" s="62">
        <v>600574.0</v>
      </c>
      <c r="D118" s="63" t="s">
        <v>5434</v>
      </c>
      <c r="E118" s="63">
        <v>716.0</v>
      </c>
      <c r="F118" s="63">
        <v>716.0</v>
      </c>
      <c r="G118" s="65" t="s">
        <v>5435</v>
      </c>
    </row>
    <row r="119">
      <c r="A119" s="66">
        <v>45818.0</v>
      </c>
      <c r="B119" s="67" t="s">
        <v>5360</v>
      </c>
      <c r="C119" s="68">
        <v>600666.0</v>
      </c>
      <c r="D119" s="69" t="s">
        <v>5406</v>
      </c>
      <c r="E119" s="69">
        <v>600.0</v>
      </c>
      <c r="F119" s="69">
        <v>600.0</v>
      </c>
      <c r="G119" s="71" t="s">
        <v>5436</v>
      </c>
    </row>
    <row r="120">
      <c r="A120" s="60">
        <v>45818.0</v>
      </c>
      <c r="B120" s="61" t="s">
        <v>5357</v>
      </c>
      <c r="C120" s="62">
        <v>600666.0</v>
      </c>
      <c r="D120" s="63" t="s">
        <v>5406</v>
      </c>
      <c r="E120" s="63">
        <v>996.0</v>
      </c>
      <c r="F120" s="63">
        <v>996.0</v>
      </c>
      <c r="G120" s="65" t="s">
        <v>5437</v>
      </c>
    </row>
    <row r="121">
      <c r="A121" s="66">
        <v>45818.0</v>
      </c>
      <c r="B121" s="67" t="s">
        <v>5371</v>
      </c>
      <c r="C121" s="68">
        <v>600574.0</v>
      </c>
      <c r="D121" s="69" t="s">
        <v>5434</v>
      </c>
      <c r="E121" s="69">
        <v>718.0</v>
      </c>
      <c r="F121" s="69">
        <v>718.0</v>
      </c>
      <c r="G121" s="71" t="s">
        <v>5438</v>
      </c>
    </row>
    <row r="122">
      <c r="A122" s="72">
        <v>45818.0</v>
      </c>
      <c r="B122" s="73" t="s">
        <v>5309</v>
      </c>
      <c r="C122" s="74">
        <v>600666.0</v>
      </c>
      <c r="D122" s="75" t="s">
        <v>5406</v>
      </c>
      <c r="E122" s="75">
        <v>600.0</v>
      </c>
      <c r="F122" s="75">
        <v>600.0</v>
      </c>
      <c r="G122" s="76" t="s">
        <v>5410</v>
      </c>
    </row>
    <row r="123">
      <c r="B123" s="12"/>
      <c r="C123" s="77"/>
      <c r="G123" s="12"/>
    </row>
    <row r="124">
      <c r="B124" s="12"/>
      <c r="C124" s="77"/>
      <c r="G124" s="12"/>
    </row>
    <row r="125">
      <c r="B125" s="12"/>
      <c r="C125" s="77"/>
      <c r="G125" s="12"/>
    </row>
    <row r="126">
      <c r="B126" s="12"/>
      <c r="C126" s="77"/>
      <c r="G126" s="12"/>
    </row>
    <row r="127">
      <c r="B127" s="12"/>
      <c r="C127" s="77"/>
      <c r="G127" s="12"/>
    </row>
    <row r="128">
      <c r="B128" s="12"/>
      <c r="C128" s="77"/>
      <c r="G128" s="12"/>
    </row>
    <row r="129">
      <c r="B129" s="12"/>
      <c r="C129" s="77"/>
      <c r="G129" s="12"/>
    </row>
    <row r="130">
      <c r="B130" s="12"/>
      <c r="C130" s="77"/>
      <c r="G130" s="12"/>
    </row>
    <row r="131">
      <c r="B131" s="12"/>
      <c r="C131" s="77"/>
      <c r="G131" s="12"/>
    </row>
    <row r="132">
      <c r="B132" s="12"/>
      <c r="C132" s="77"/>
      <c r="G132" s="12"/>
    </row>
    <row r="133">
      <c r="B133" s="12"/>
      <c r="C133" s="77"/>
      <c r="G133" s="12"/>
    </row>
    <row r="134">
      <c r="B134" s="12"/>
      <c r="C134" s="77"/>
      <c r="G134" s="12"/>
    </row>
    <row r="135">
      <c r="B135" s="12"/>
      <c r="C135" s="77"/>
      <c r="G135" s="12"/>
    </row>
    <row r="136">
      <c r="B136" s="12"/>
      <c r="C136" s="77"/>
      <c r="G136" s="12"/>
    </row>
    <row r="137">
      <c r="B137" s="12"/>
      <c r="C137" s="77"/>
      <c r="G137" s="12"/>
    </row>
    <row r="138">
      <c r="B138" s="12"/>
      <c r="C138" s="77"/>
      <c r="G138" s="12"/>
    </row>
    <row r="139">
      <c r="B139" s="12"/>
      <c r="C139" s="77"/>
      <c r="G139" s="12"/>
    </row>
    <row r="140">
      <c r="B140" s="12"/>
      <c r="C140" s="77"/>
      <c r="G140" s="12"/>
    </row>
    <row r="141">
      <c r="B141" s="12"/>
      <c r="C141" s="77"/>
      <c r="G141" s="12"/>
    </row>
    <row r="142">
      <c r="B142" s="12"/>
      <c r="C142" s="77"/>
      <c r="G142" s="12"/>
    </row>
    <row r="143">
      <c r="B143" s="12"/>
      <c r="C143" s="77"/>
      <c r="G143" s="12"/>
    </row>
    <row r="144">
      <c r="B144" s="12"/>
      <c r="C144" s="77"/>
      <c r="G144" s="12"/>
    </row>
    <row r="145">
      <c r="B145" s="12"/>
      <c r="C145" s="77"/>
      <c r="G145" s="12"/>
    </row>
    <row r="146">
      <c r="B146" s="12"/>
      <c r="C146" s="77"/>
      <c r="G146" s="12"/>
    </row>
    <row r="147">
      <c r="B147" s="12"/>
      <c r="C147" s="77"/>
      <c r="G147" s="12"/>
    </row>
    <row r="148">
      <c r="B148" s="12"/>
      <c r="C148" s="77"/>
      <c r="G148" s="12"/>
    </row>
    <row r="149">
      <c r="B149" s="12"/>
      <c r="C149" s="77"/>
      <c r="G149" s="12"/>
    </row>
    <row r="150">
      <c r="B150" s="12"/>
      <c r="C150" s="77"/>
      <c r="G150" s="12"/>
    </row>
    <row r="151">
      <c r="B151" s="12"/>
      <c r="C151" s="77"/>
      <c r="G151" s="12"/>
    </row>
    <row r="152">
      <c r="B152" s="12"/>
      <c r="C152" s="77"/>
      <c r="G152" s="12"/>
    </row>
    <row r="153">
      <c r="B153" s="12"/>
      <c r="C153" s="77"/>
      <c r="G153" s="12"/>
    </row>
    <row r="154">
      <c r="B154" s="12"/>
      <c r="C154" s="77"/>
      <c r="G154" s="12"/>
    </row>
    <row r="155">
      <c r="B155" s="12"/>
      <c r="C155" s="77"/>
      <c r="G155" s="12"/>
    </row>
    <row r="156">
      <c r="B156" s="12"/>
      <c r="C156" s="77"/>
      <c r="G156" s="12"/>
    </row>
    <row r="157">
      <c r="B157" s="12"/>
      <c r="C157" s="77"/>
      <c r="G157" s="12"/>
    </row>
    <row r="158">
      <c r="B158" s="12"/>
      <c r="C158" s="77"/>
      <c r="G158" s="12"/>
    </row>
    <row r="159">
      <c r="B159" s="12"/>
      <c r="C159" s="77"/>
      <c r="G159" s="12"/>
    </row>
    <row r="160">
      <c r="B160" s="12"/>
      <c r="C160" s="77"/>
      <c r="G160" s="12"/>
    </row>
    <row r="161">
      <c r="B161" s="12"/>
      <c r="C161" s="77"/>
      <c r="G161" s="12"/>
    </row>
    <row r="162">
      <c r="B162" s="12"/>
      <c r="C162" s="77"/>
      <c r="G162" s="12"/>
    </row>
    <row r="163">
      <c r="B163" s="12"/>
      <c r="C163" s="77"/>
      <c r="G163" s="12"/>
    </row>
    <row r="164">
      <c r="B164" s="12"/>
      <c r="C164" s="77"/>
      <c r="G164" s="12"/>
    </row>
    <row r="165">
      <c r="B165" s="12"/>
      <c r="C165" s="77"/>
      <c r="G165" s="12"/>
    </row>
    <row r="166">
      <c r="B166" s="12"/>
      <c r="C166" s="77"/>
      <c r="G166" s="12"/>
    </row>
    <row r="167">
      <c r="B167" s="12"/>
      <c r="C167" s="77"/>
      <c r="G167" s="12"/>
    </row>
    <row r="168">
      <c r="B168" s="12"/>
      <c r="C168" s="77"/>
      <c r="G168" s="12"/>
    </row>
    <row r="169">
      <c r="B169" s="12"/>
      <c r="C169" s="77"/>
      <c r="G169" s="12"/>
    </row>
    <row r="170">
      <c r="B170" s="12"/>
      <c r="C170" s="77"/>
      <c r="G170" s="12"/>
    </row>
    <row r="171">
      <c r="B171" s="12"/>
      <c r="C171" s="77"/>
      <c r="G171" s="12"/>
    </row>
    <row r="172">
      <c r="B172" s="12"/>
      <c r="C172" s="77"/>
      <c r="G172" s="12"/>
    </row>
    <row r="173">
      <c r="B173" s="12"/>
      <c r="C173" s="77"/>
      <c r="G173" s="12"/>
    </row>
    <row r="174">
      <c r="B174" s="12"/>
      <c r="C174" s="77"/>
      <c r="G174" s="12"/>
    </row>
    <row r="175">
      <c r="B175" s="12"/>
      <c r="C175" s="77"/>
      <c r="G175" s="12"/>
    </row>
    <row r="176">
      <c r="B176" s="12"/>
      <c r="C176" s="77"/>
      <c r="G176" s="12"/>
    </row>
    <row r="177">
      <c r="B177" s="12"/>
      <c r="C177" s="77"/>
      <c r="G177" s="12"/>
    </row>
    <row r="178">
      <c r="B178" s="12"/>
      <c r="C178" s="77"/>
      <c r="G178" s="12"/>
    </row>
    <row r="179">
      <c r="B179" s="12"/>
      <c r="C179" s="77"/>
      <c r="G179" s="12"/>
    </row>
    <row r="180">
      <c r="B180" s="12"/>
      <c r="C180" s="77"/>
      <c r="G180" s="12"/>
    </row>
    <row r="181">
      <c r="B181" s="12"/>
      <c r="C181" s="77"/>
      <c r="G181" s="12"/>
    </row>
    <row r="182">
      <c r="B182" s="12"/>
      <c r="C182" s="77"/>
      <c r="G182" s="12"/>
    </row>
    <row r="183">
      <c r="B183" s="12"/>
      <c r="C183" s="77"/>
      <c r="G183" s="12"/>
    </row>
    <row r="184">
      <c r="B184" s="12"/>
      <c r="C184" s="77"/>
      <c r="G184" s="12"/>
    </row>
    <row r="185">
      <c r="B185" s="12"/>
      <c r="C185" s="77"/>
      <c r="G185" s="12"/>
    </row>
    <row r="186">
      <c r="B186" s="12"/>
      <c r="C186" s="77"/>
      <c r="G186" s="12"/>
    </row>
    <row r="187">
      <c r="B187" s="12"/>
      <c r="C187" s="77"/>
      <c r="G187" s="12"/>
    </row>
    <row r="188">
      <c r="B188" s="12"/>
      <c r="C188" s="77"/>
      <c r="G188" s="12"/>
    </row>
    <row r="189">
      <c r="B189" s="12"/>
      <c r="C189" s="77"/>
      <c r="G189" s="12"/>
    </row>
    <row r="190">
      <c r="B190" s="12"/>
      <c r="C190" s="77"/>
      <c r="G190" s="12"/>
    </row>
    <row r="191">
      <c r="B191" s="12"/>
      <c r="C191" s="77"/>
      <c r="G191" s="12"/>
    </row>
    <row r="192">
      <c r="B192" s="12"/>
      <c r="C192" s="77"/>
      <c r="G192" s="12"/>
    </row>
    <row r="193">
      <c r="B193" s="12"/>
      <c r="C193" s="77"/>
      <c r="G193" s="12"/>
    </row>
    <row r="194">
      <c r="B194" s="12"/>
      <c r="C194" s="77"/>
      <c r="G194" s="12"/>
    </row>
    <row r="195">
      <c r="B195" s="12"/>
      <c r="C195" s="77"/>
      <c r="G195" s="12"/>
    </row>
    <row r="196">
      <c r="B196" s="12"/>
      <c r="C196" s="77"/>
      <c r="G196" s="12"/>
    </row>
    <row r="197">
      <c r="B197" s="12"/>
      <c r="C197" s="77"/>
      <c r="G197" s="12"/>
    </row>
    <row r="198">
      <c r="B198" s="12"/>
      <c r="C198" s="77"/>
      <c r="G198" s="12"/>
    </row>
    <row r="199">
      <c r="B199" s="12"/>
      <c r="C199" s="77"/>
      <c r="G199" s="12"/>
    </row>
    <row r="200">
      <c r="B200" s="12"/>
      <c r="C200" s="77"/>
      <c r="G200" s="12"/>
    </row>
    <row r="201">
      <c r="B201" s="12"/>
      <c r="C201" s="77"/>
      <c r="G201" s="12"/>
    </row>
    <row r="202">
      <c r="B202" s="12"/>
      <c r="C202" s="77"/>
      <c r="G202" s="12"/>
    </row>
    <row r="203">
      <c r="B203" s="12"/>
      <c r="C203" s="77"/>
      <c r="G203" s="12"/>
    </row>
    <row r="204">
      <c r="B204" s="12"/>
      <c r="C204" s="77"/>
      <c r="G204" s="12"/>
    </row>
    <row r="205">
      <c r="B205" s="12"/>
      <c r="C205" s="77"/>
      <c r="G205" s="12"/>
    </row>
    <row r="206">
      <c r="B206" s="12"/>
      <c r="C206" s="77"/>
      <c r="G206" s="12"/>
    </row>
    <row r="207">
      <c r="B207" s="12"/>
      <c r="C207" s="77"/>
      <c r="G207" s="12"/>
    </row>
    <row r="208">
      <c r="B208" s="12"/>
      <c r="C208" s="77"/>
      <c r="G208" s="12"/>
    </row>
    <row r="209">
      <c r="B209" s="12"/>
      <c r="C209" s="77"/>
      <c r="G209" s="12"/>
    </row>
    <row r="210">
      <c r="B210" s="12"/>
      <c r="C210" s="77"/>
      <c r="G210" s="12"/>
    </row>
    <row r="211">
      <c r="B211" s="12"/>
      <c r="C211" s="77"/>
      <c r="G211" s="12"/>
    </row>
    <row r="212">
      <c r="B212" s="12"/>
      <c r="C212" s="77"/>
      <c r="G212" s="12"/>
    </row>
    <row r="213">
      <c r="B213" s="12"/>
      <c r="C213" s="77"/>
      <c r="G213" s="12"/>
    </row>
    <row r="214">
      <c r="B214" s="12"/>
      <c r="C214" s="77"/>
      <c r="G214" s="12"/>
    </row>
    <row r="215">
      <c r="B215" s="12"/>
      <c r="C215" s="77"/>
      <c r="G215" s="12"/>
    </row>
    <row r="216">
      <c r="B216" s="12"/>
      <c r="C216" s="77"/>
      <c r="G216" s="12"/>
    </row>
    <row r="217">
      <c r="B217" s="12"/>
      <c r="C217" s="77"/>
      <c r="G217" s="12"/>
    </row>
    <row r="218">
      <c r="B218" s="12"/>
      <c r="C218" s="77"/>
      <c r="G218" s="12"/>
    </row>
    <row r="219">
      <c r="B219" s="12"/>
      <c r="C219" s="77"/>
      <c r="G219" s="12"/>
    </row>
    <row r="220">
      <c r="B220" s="12"/>
      <c r="C220" s="77"/>
      <c r="G220" s="12"/>
    </row>
    <row r="221">
      <c r="B221" s="12"/>
      <c r="C221" s="77"/>
      <c r="G221" s="12"/>
    </row>
    <row r="222">
      <c r="B222" s="12"/>
      <c r="C222" s="77"/>
      <c r="G222" s="12"/>
    </row>
    <row r="223">
      <c r="B223" s="12"/>
      <c r="C223" s="77"/>
      <c r="G223" s="12"/>
    </row>
    <row r="224">
      <c r="B224" s="12"/>
      <c r="C224" s="77"/>
      <c r="G224" s="12"/>
    </row>
    <row r="225">
      <c r="B225" s="12"/>
      <c r="C225" s="77"/>
      <c r="G225" s="12"/>
    </row>
    <row r="226">
      <c r="B226" s="12"/>
      <c r="C226" s="77"/>
      <c r="G226" s="12"/>
    </row>
    <row r="227">
      <c r="B227" s="12"/>
      <c r="C227" s="77"/>
      <c r="G227" s="12"/>
    </row>
    <row r="228">
      <c r="B228" s="12"/>
      <c r="C228" s="77"/>
      <c r="G228" s="12"/>
    </row>
    <row r="229">
      <c r="B229" s="12"/>
      <c r="C229" s="77"/>
      <c r="G229" s="12"/>
    </row>
    <row r="230">
      <c r="B230" s="12"/>
      <c r="C230" s="77"/>
      <c r="G230" s="12"/>
    </row>
    <row r="231">
      <c r="B231" s="12"/>
      <c r="C231" s="77"/>
      <c r="G231" s="12"/>
    </row>
    <row r="232">
      <c r="B232" s="12"/>
      <c r="C232" s="77"/>
      <c r="G232" s="12"/>
    </row>
    <row r="233">
      <c r="B233" s="12"/>
      <c r="C233" s="77"/>
      <c r="G233" s="12"/>
    </row>
    <row r="234">
      <c r="B234" s="12"/>
      <c r="C234" s="77"/>
      <c r="G234" s="12"/>
    </row>
    <row r="235">
      <c r="B235" s="12"/>
      <c r="C235" s="77"/>
      <c r="G235" s="12"/>
    </row>
    <row r="236">
      <c r="B236" s="12"/>
      <c r="C236" s="77"/>
      <c r="G236" s="12"/>
    </row>
    <row r="237">
      <c r="B237" s="12"/>
      <c r="C237" s="77"/>
      <c r="G237" s="12"/>
    </row>
    <row r="238">
      <c r="B238" s="12"/>
      <c r="C238" s="77"/>
      <c r="G238" s="12"/>
    </row>
    <row r="239">
      <c r="B239" s="12"/>
      <c r="C239" s="77"/>
      <c r="G239" s="12"/>
    </row>
    <row r="240">
      <c r="B240" s="12"/>
      <c r="C240" s="77"/>
      <c r="G240" s="12"/>
    </row>
    <row r="241">
      <c r="B241" s="12"/>
      <c r="C241" s="77"/>
      <c r="G241" s="12"/>
    </row>
    <row r="242">
      <c r="B242" s="12"/>
      <c r="C242" s="77"/>
      <c r="G242" s="12"/>
    </row>
    <row r="243">
      <c r="B243" s="12"/>
      <c r="C243" s="77"/>
      <c r="G243" s="12"/>
    </row>
    <row r="244">
      <c r="B244" s="12"/>
      <c r="C244" s="77"/>
      <c r="G244" s="12"/>
    </row>
    <row r="245">
      <c r="B245" s="12"/>
      <c r="C245" s="77"/>
      <c r="G245" s="12"/>
    </row>
    <row r="246">
      <c r="B246" s="12"/>
      <c r="C246" s="77"/>
      <c r="G246" s="12"/>
    </row>
    <row r="247">
      <c r="B247" s="12"/>
      <c r="C247" s="77"/>
      <c r="G247" s="12"/>
    </row>
    <row r="248">
      <c r="B248" s="12"/>
      <c r="C248" s="77"/>
      <c r="G248" s="12"/>
    </row>
    <row r="249">
      <c r="B249" s="12"/>
      <c r="C249" s="77"/>
      <c r="G249" s="12"/>
    </row>
    <row r="250">
      <c r="B250" s="12"/>
      <c r="C250" s="77"/>
      <c r="G250" s="12"/>
    </row>
    <row r="251">
      <c r="B251" s="12"/>
      <c r="C251" s="77"/>
      <c r="G251" s="12"/>
    </row>
    <row r="252">
      <c r="B252" s="12"/>
      <c r="C252" s="77"/>
      <c r="G252" s="12"/>
    </row>
    <row r="253">
      <c r="B253" s="12"/>
      <c r="C253" s="77"/>
      <c r="G253" s="12"/>
    </row>
    <row r="254">
      <c r="B254" s="12"/>
      <c r="C254" s="77"/>
      <c r="G254" s="12"/>
    </row>
    <row r="255">
      <c r="B255" s="12"/>
      <c r="C255" s="77"/>
      <c r="G255" s="12"/>
    </row>
    <row r="256">
      <c r="B256" s="12"/>
      <c r="C256" s="77"/>
      <c r="G256" s="12"/>
    </row>
    <row r="257">
      <c r="B257" s="12"/>
      <c r="C257" s="77"/>
      <c r="G257" s="12"/>
    </row>
    <row r="258">
      <c r="B258" s="12"/>
      <c r="C258" s="77"/>
      <c r="G258" s="12"/>
    </row>
    <row r="259">
      <c r="B259" s="12"/>
      <c r="C259" s="77"/>
      <c r="G259" s="12"/>
    </row>
    <row r="260">
      <c r="B260" s="12"/>
      <c r="C260" s="77"/>
      <c r="G260" s="12"/>
    </row>
    <row r="261">
      <c r="B261" s="12"/>
      <c r="C261" s="77"/>
      <c r="G261" s="12"/>
    </row>
    <row r="262">
      <c r="B262" s="12"/>
      <c r="C262" s="77"/>
      <c r="G262" s="12"/>
    </row>
    <row r="263">
      <c r="B263" s="12"/>
      <c r="C263" s="77"/>
      <c r="G263" s="12"/>
    </row>
    <row r="264">
      <c r="B264" s="12"/>
      <c r="C264" s="77"/>
      <c r="G264" s="12"/>
    </row>
    <row r="265">
      <c r="B265" s="12"/>
      <c r="C265" s="77"/>
      <c r="G265" s="12"/>
    </row>
    <row r="266">
      <c r="B266" s="12"/>
      <c r="C266" s="77"/>
      <c r="G266" s="12"/>
    </row>
    <row r="267">
      <c r="B267" s="12"/>
      <c r="C267" s="77"/>
      <c r="G267" s="12"/>
    </row>
    <row r="268">
      <c r="B268" s="12"/>
      <c r="C268" s="77"/>
      <c r="G268" s="12"/>
    </row>
    <row r="269">
      <c r="B269" s="12"/>
      <c r="C269" s="77"/>
      <c r="G269" s="12"/>
    </row>
    <row r="270">
      <c r="B270" s="12"/>
      <c r="C270" s="77"/>
      <c r="G270" s="12"/>
    </row>
    <row r="271">
      <c r="B271" s="12"/>
      <c r="C271" s="77"/>
      <c r="G271" s="12"/>
    </row>
    <row r="272">
      <c r="B272" s="12"/>
      <c r="C272" s="77"/>
      <c r="G272" s="12"/>
    </row>
    <row r="273">
      <c r="B273" s="12"/>
      <c r="C273" s="77"/>
      <c r="G273" s="12"/>
    </row>
    <row r="274">
      <c r="B274" s="12"/>
      <c r="C274" s="77"/>
      <c r="G274" s="12"/>
    </row>
    <row r="275">
      <c r="B275" s="12"/>
      <c r="C275" s="77"/>
      <c r="G275" s="12"/>
    </row>
    <row r="276">
      <c r="B276" s="12"/>
      <c r="C276" s="77"/>
      <c r="G276" s="12"/>
    </row>
    <row r="277">
      <c r="B277" s="12"/>
      <c r="C277" s="77"/>
      <c r="G277" s="12"/>
    </row>
    <row r="278">
      <c r="B278" s="12"/>
      <c r="C278" s="77"/>
      <c r="G278" s="12"/>
    </row>
    <row r="279">
      <c r="B279" s="12"/>
      <c r="C279" s="77"/>
      <c r="G279" s="12"/>
    </row>
    <row r="280">
      <c r="B280" s="12"/>
      <c r="C280" s="77"/>
      <c r="G280" s="12"/>
    </row>
    <row r="281">
      <c r="B281" s="12"/>
      <c r="C281" s="77"/>
      <c r="G281" s="12"/>
    </row>
    <row r="282">
      <c r="B282" s="12"/>
      <c r="C282" s="77"/>
      <c r="G282" s="12"/>
    </row>
    <row r="283">
      <c r="B283" s="12"/>
      <c r="C283" s="77"/>
      <c r="G283" s="12"/>
    </row>
    <row r="284">
      <c r="B284" s="12"/>
      <c r="C284" s="77"/>
      <c r="G284" s="12"/>
    </row>
    <row r="285">
      <c r="B285" s="12"/>
      <c r="C285" s="77"/>
      <c r="G285" s="12"/>
    </row>
    <row r="286">
      <c r="B286" s="12"/>
      <c r="C286" s="77"/>
      <c r="G286" s="12"/>
    </row>
    <row r="287">
      <c r="B287" s="12"/>
      <c r="C287" s="77"/>
      <c r="G287" s="12"/>
    </row>
    <row r="288">
      <c r="B288" s="12"/>
      <c r="C288" s="77"/>
      <c r="G288" s="12"/>
    </row>
    <row r="289">
      <c r="B289" s="12"/>
      <c r="C289" s="77"/>
      <c r="G289" s="12"/>
    </row>
    <row r="290">
      <c r="B290" s="12"/>
      <c r="C290" s="77"/>
      <c r="G290" s="12"/>
    </row>
    <row r="291">
      <c r="B291" s="12"/>
      <c r="C291" s="77"/>
      <c r="G291" s="12"/>
    </row>
    <row r="292">
      <c r="B292" s="12"/>
      <c r="C292" s="77"/>
      <c r="G292" s="12"/>
    </row>
    <row r="293">
      <c r="B293" s="12"/>
      <c r="C293" s="77"/>
      <c r="G293" s="12"/>
    </row>
    <row r="294">
      <c r="B294" s="12"/>
      <c r="C294" s="77"/>
      <c r="G294" s="12"/>
    </row>
    <row r="295">
      <c r="B295" s="12"/>
      <c r="C295" s="77"/>
      <c r="G295" s="12"/>
    </row>
    <row r="296">
      <c r="B296" s="12"/>
      <c r="C296" s="77"/>
      <c r="G296" s="12"/>
    </row>
    <row r="297">
      <c r="B297" s="12"/>
      <c r="C297" s="77"/>
      <c r="G297" s="12"/>
    </row>
    <row r="298">
      <c r="B298" s="12"/>
      <c r="C298" s="77"/>
      <c r="G298" s="12"/>
    </row>
    <row r="299">
      <c r="B299" s="12"/>
      <c r="C299" s="77"/>
      <c r="G299" s="12"/>
    </row>
    <row r="300">
      <c r="B300" s="12"/>
      <c r="C300" s="77"/>
      <c r="G300" s="12"/>
    </row>
    <row r="301">
      <c r="B301" s="12"/>
      <c r="C301" s="77"/>
      <c r="G301" s="12"/>
    </row>
    <row r="302">
      <c r="B302" s="12"/>
      <c r="C302" s="77"/>
      <c r="G302" s="12"/>
    </row>
    <row r="303">
      <c r="B303" s="12"/>
      <c r="C303" s="77"/>
      <c r="G303" s="12"/>
    </row>
    <row r="304">
      <c r="B304" s="12"/>
      <c r="C304" s="77"/>
      <c r="G304" s="12"/>
    </row>
    <row r="305">
      <c r="B305" s="12"/>
      <c r="C305" s="77"/>
      <c r="G305" s="12"/>
    </row>
    <row r="306">
      <c r="B306" s="12"/>
      <c r="C306" s="77"/>
      <c r="G306" s="12"/>
    </row>
    <row r="307">
      <c r="B307" s="12"/>
      <c r="C307" s="77"/>
      <c r="G307" s="12"/>
    </row>
    <row r="308">
      <c r="B308" s="12"/>
      <c r="C308" s="77"/>
      <c r="G308" s="12"/>
    </row>
    <row r="309">
      <c r="B309" s="12"/>
      <c r="C309" s="77"/>
      <c r="G309" s="12"/>
    </row>
    <row r="310">
      <c r="B310" s="12"/>
      <c r="C310" s="77"/>
      <c r="G310" s="12"/>
    </row>
    <row r="311">
      <c r="B311" s="12"/>
      <c r="C311" s="77"/>
      <c r="G311" s="12"/>
    </row>
    <row r="312">
      <c r="B312" s="12"/>
      <c r="C312" s="77"/>
      <c r="G312" s="12"/>
    </row>
    <row r="313">
      <c r="B313" s="12"/>
      <c r="C313" s="77"/>
      <c r="G313" s="12"/>
    </row>
    <row r="314">
      <c r="B314" s="12"/>
      <c r="C314" s="77"/>
      <c r="G314" s="12"/>
    </row>
    <row r="315">
      <c r="B315" s="12"/>
      <c r="C315" s="77"/>
      <c r="G315" s="12"/>
    </row>
    <row r="316">
      <c r="B316" s="12"/>
      <c r="C316" s="77"/>
      <c r="G316" s="12"/>
    </row>
    <row r="317">
      <c r="B317" s="12"/>
      <c r="C317" s="77"/>
      <c r="G317" s="12"/>
    </row>
    <row r="318">
      <c r="B318" s="12"/>
      <c r="C318" s="77"/>
      <c r="G318" s="12"/>
    </row>
    <row r="319">
      <c r="B319" s="12"/>
      <c r="C319" s="77"/>
      <c r="G319" s="12"/>
    </row>
    <row r="320">
      <c r="B320" s="12"/>
      <c r="C320" s="77"/>
      <c r="G320" s="12"/>
    </row>
    <row r="321">
      <c r="B321" s="12"/>
      <c r="C321" s="77"/>
      <c r="G321" s="12"/>
    </row>
    <row r="322">
      <c r="B322" s="12"/>
      <c r="C322" s="77"/>
      <c r="G322" s="12"/>
    </row>
    <row r="323">
      <c r="B323" s="12"/>
      <c r="C323" s="77"/>
      <c r="G323" s="12"/>
    </row>
    <row r="324">
      <c r="B324" s="12"/>
      <c r="C324" s="77"/>
      <c r="G324" s="12"/>
    </row>
    <row r="325">
      <c r="B325" s="12"/>
      <c r="C325" s="77"/>
      <c r="G325" s="12"/>
    </row>
    <row r="326">
      <c r="B326" s="12"/>
      <c r="C326" s="77"/>
      <c r="G326" s="12"/>
    </row>
    <row r="327">
      <c r="B327" s="12"/>
      <c r="C327" s="77"/>
      <c r="G327" s="12"/>
    </row>
    <row r="328">
      <c r="B328" s="12"/>
      <c r="C328" s="77"/>
      <c r="G328" s="12"/>
    </row>
    <row r="329">
      <c r="B329" s="12"/>
      <c r="C329" s="77"/>
      <c r="G329" s="12"/>
    </row>
    <row r="330">
      <c r="B330" s="12"/>
      <c r="C330" s="77"/>
      <c r="G330" s="12"/>
    </row>
    <row r="331">
      <c r="B331" s="12"/>
      <c r="C331" s="77"/>
      <c r="G331" s="12"/>
    </row>
    <row r="332">
      <c r="B332" s="12"/>
      <c r="C332" s="77"/>
      <c r="G332" s="12"/>
    </row>
    <row r="333">
      <c r="B333" s="12"/>
      <c r="C333" s="77"/>
      <c r="G333" s="12"/>
    </row>
    <row r="334">
      <c r="B334" s="12"/>
      <c r="C334" s="77"/>
      <c r="G334" s="12"/>
    </row>
    <row r="335">
      <c r="B335" s="12"/>
      <c r="C335" s="77"/>
      <c r="G335" s="12"/>
    </row>
    <row r="336">
      <c r="B336" s="12"/>
      <c r="C336" s="77"/>
      <c r="G336" s="12"/>
    </row>
    <row r="337">
      <c r="B337" s="12"/>
      <c r="C337" s="77"/>
      <c r="G337" s="12"/>
    </row>
    <row r="338">
      <c r="B338" s="12"/>
      <c r="C338" s="77"/>
      <c r="G338" s="12"/>
    </row>
    <row r="339">
      <c r="B339" s="12"/>
      <c r="C339" s="77"/>
      <c r="G339" s="12"/>
    </row>
    <row r="340">
      <c r="B340" s="12"/>
      <c r="C340" s="77"/>
      <c r="G340" s="12"/>
    </row>
    <row r="341">
      <c r="B341" s="12"/>
      <c r="C341" s="77"/>
      <c r="G341" s="12"/>
    </row>
    <row r="342">
      <c r="B342" s="12"/>
      <c r="C342" s="77"/>
      <c r="G342" s="12"/>
    </row>
    <row r="343">
      <c r="B343" s="12"/>
      <c r="C343" s="77"/>
      <c r="G343" s="12"/>
    </row>
    <row r="344">
      <c r="B344" s="12"/>
      <c r="C344" s="77"/>
      <c r="G344" s="12"/>
    </row>
    <row r="345">
      <c r="B345" s="12"/>
      <c r="C345" s="77"/>
      <c r="G345" s="12"/>
    </row>
    <row r="346">
      <c r="B346" s="12"/>
      <c r="C346" s="77"/>
      <c r="G346" s="12"/>
    </row>
    <row r="347">
      <c r="B347" s="12"/>
      <c r="C347" s="77"/>
      <c r="G347" s="12"/>
    </row>
    <row r="348">
      <c r="B348" s="12"/>
      <c r="C348" s="77"/>
      <c r="G348" s="12"/>
    </row>
    <row r="349">
      <c r="B349" s="12"/>
      <c r="C349" s="77"/>
      <c r="G349" s="12"/>
    </row>
    <row r="350">
      <c r="B350" s="12"/>
      <c r="C350" s="77"/>
      <c r="G350" s="12"/>
    </row>
    <row r="351">
      <c r="B351" s="12"/>
      <c r="C351" s="77"/>
      <c r="G351" s="12"/>
    </row>
    <row r="352">
      <c r="B352" s="12"/>
      <c r="C352" s="77"/>
      <c r="G352" s="12"/>
    </row>
    <row r="353">
      <c r="B353" s="12"/>
      <c r="C353" s="77"/>
      <c r="G353" s="12"/>
    </row>
    <row r="354">
      <c r="B354" s="12"/>
      <c r="C354" s="77"/>
      <c r="G354" s="12"/>
    </row>
    <row r="355">
      <c r="B355" s="12"/>
      <c r="C355" s="77"/>
      <c r="G355" s="12"/>
    </row>
    <row r="356">
      <c r="B356" s="12"/>
      <c r="C356" s="77"/>
      <c r="G356" s="12"/>
    </row>
    <row r="357">
      <c r="B357" s="12"/>
      <c r="C357" s="77"/>
      <c r="G357" s="12"/>
    </row>
    <row r="358">
      <c r="B358" s="12"/>
      <c r="C358" s="77"/>
      <c r="G358" s="12"/>
    </row>
    <row r="359">
      <c r="B359" s="12"/>
      <c r="C359" s="77"/>
      <c r="G359" s="12"/>
    </row>
    <row r="360">
      <c r="B360" s="12"/>
      <c r="C360" s="77"/>
      <c r="G360" s="12"/>
    </row>
    <row r="361">
      <c r="B361" s="12"/>
      <c r="C361" s="77"/>
      <c r="G361" s="12"/>
    </row>
    <row r="362">
      <c r="B362" s="12"/>
      <c r="C362" s="77"/>
      <c r="G362" s="12"/>
    </row>
    <row r="363">
      <c r="B363" s="12"/>
      <c r="C363" s="77"/>
      <c r="G363" s="12"/>
    </row>
    <row r="364">
      <c r="B364" s="12"/>
      <c r="C364" s="77"/>
      <c r="G364" s="12"/>
    </row>
    <row r="365">
      <c r="B365" s="12"/>
      <c r="C365" s="77"/>
      <c r="G365" s="12"/>
    </row>
    <row r="366">
      <c r="B366" s="12"/>
      <c r="C366" s="77"/>
      <c r="G366" s="12"/>
    </row>
    <row r="367">
      <c r="B367" s="12"/>
      <c r="C367" s="77"/>
      <c r="G367" s="12"/>
    </row>
    <row r="368">
      <c r="B368" s="12"/>
      <c r="C368" s="77"/>
      <c r="G368" s="12"/>
    </row>
    <row r="369">
      <c r="B369" s="12"/>
      <c r="C369" s="77"/>
      <c r="G369" s="12"/>
    </row>
    <row r="370">
      <c r="B370" s="12"/>
      <c r="C370" s="77"/>
      <c r="G370" s="12"/>
    </row>
    <row r="371">
      <c r="B371" s="12"/>
      <c r="C371" s="77"/>
      <c r="G371" s="12"/>
    </row>
    <row r="372">
      <c r="B372" s="12"/>
      <c r="C372" s="77"/>
      <c r="G372" s="12"/>
    </row>
    <row r="373">
      <c r="B373" s="12"/>
      <c r="C373" s="77"/>
      <c r="G373" s="12"/>
    </row>
    <row r="374">
      <c r="B374" s="12"/>
      <c r="C374" s="77"/>
      <c r="G374" s="12"/>
    </row>
    <row r="375">
      <c r="B375" s="12"/>
      <c r="C375" s="77"/>
      <c r="G375" s="12"/>
    </row>
    <row r="376">
      <c r="B376" s="12"/>
      <c r="C376" s="77"/>
      <c r="G376" s="12"/>
    </row>
    <row r="377">
      <c r="B377" s="12"/>
      <c r="C377" s="77"/>
      <c r="G377" s="12"/>
    </row>
    <row r="378">
      <c r="B378" s="12"/>
      <c r="C378" s="77"/>
      <c r="G378" s="12"/>
    </row>
    <row r="379">
      <c r="B379" s="12"/>
      <c r="C379" s="77"/>
      <c r="G379" s="12"/>
    </row>
    <row r="380">
      <c r="B380" s="12"/>
      <c r="C380" s="77"/>
      <c r="G380" s="12"/>
    </row>
    <row r="381">
      <c r="B381" s="12"/>
      <c r="C381" s="77"/>
      <c r="G381" s="12"/>
    </row>
    <row r="382">
      <c r="B382" s="12"/>
      <c r="C382" s="77"/>
      <c r="G382" s="12"/>
    </row>
    <row r="383">
      <c r="B383" s="12"/>
      <c r="C383" s="77"/>
      <c r="G383" s="12"/>
    </row>
    <row r="384">
      <c r="B384" s="12"/>
      <c r="C384" s="77"/>
      <c r="G384" s="12"/>
    </row>
    <row r="385">
      <c r="B385" s="12"/>
      <c r="C385" s="77"/>
      <c r="G385" s="12"/>
    </row>
    <row r="386">
      <c r="B386" s="12"/>
      <c r="C386" s="77"/>
      <c r="G386" s="12"/>
    </row>
    <row r="387">
      <c r="B387" s="12"/>
      <c r="C387" s="77"/>
      <c r="G387" s="12"/>
    </row>
    <row r="388">
      <c r="B388" s="12"/>
      <c r="C388" s="77"/>
      <c r="G388" s="12"/>
    </row>
    <row r="389">
      <c r="B389" s="12"/>
      <c r="C389" s="77"/>
      <c r="G389" s="12"/>
    </row>
    <row r="390">
      <c r="B390" s="12"/>
      <c r="C390" s="77"/>
      <c r="G390" s="12"/>
    </row>
    <row r="391">
      <c r="B391" s="12"/>
      <c r="C391" s="77"/>
      <c r="G391" s="12"/>
    </row>
    <row r="392">
      <c r="B392" s="12"/>
      <c r="C392" s="77"/>
      <c r="G392" s="12"/>
    </row>
    <row r="393">
      <c r="B393" s="12"/>
      <c r="C393" s="77"/>
      <c r="G393" s="12"/>
    </row>
    <row r="394">
      <c r="B394" s="12"/>
      <c r="C394" s="77"/>
      <c r="G394" s="12"/>
    </row>
    <row r="395">
      <c r="B395" s="12"/>
      <c r="C395" s="77"/>
      <c r="G395" s="12"/>
    </row>
    <row r="396">
      <c r="B396" s="12"/>
      <c r="C396" s="77"/>
      <c r="G396" s="12"/>
    </row>
    <row r="397">
      <c r="B397" s="12"/>
      <c r="C397" s="77"/>
      <c r="G397" s="12"/>
    </row>
    <row r="398">
      <c r="B398" s="12"/>
      <c r="C398" s="77"/>
      <c r="G398" s="12"/>
    </row>
    <row r="399">
      <c r="B399" s="12"/>
      <c r="C399" s="77"/>
      <c r="G399" s="12"/>
    </row>
    <row r="400">
      <c r="B400" s="12"/>
      <c r="C400" s="77"/>
      <c r="G400" s="12"/>
    </row>
    <row r="401">
      <c r="B401" s="12"/>
      <c r="C401" s="77"/>
      <c r="G401" s="12"/>
    </row>
    <row r="402">
      <c r="B402" s="12"/>
      <c r="C402" s="77"/>
      <c r="G402" s="12"/>
    </row>
    <row r="403">
      <c r="B403" s="12"/>
      <c r="C403" s="77"/>
      <c r="G403" s="12"/>
    </row>
    <row r="404">
      <c r="B404" s="12"/>
      <c r="C404" s="77"/>
      <c r="G404" s="12"/>
    </row>
    <row r="405">
      <c r="B405" s="12"/>
      <c r="C405" s="77"/>
      <c r="G405" s="12"/>
    </row>
    <row r="406">
      <c r="B406" s="12"/>
      <c r="C406" s="77"/>
      <c r="G406" s="12"/>
    </row>
    <row r="407">
      <c r="B407" s="12"/>
      <c r="C407" s="77"/>
      <c r="G407" s="12"/>
    </row>
    <row r="408">
      <c r="B408" s="12"/>
      <c r="C408" s="77"/>
      <c r="G408" s="12"/>
    </row>
    <row r="409">
      <c r="B409" s="12"/>
      <c r="C409" s="77"/>
      <c r="G409" s="12"/>
    </row>
    <row r="410">
      <c r="B410" s="12"/>
      <c r="C410" s="77"/>
      <c r="G410" s="12"/>
    </row>
    <row r="411">
      <c r="B411" s="12"/>
      <c r="C411" s="77"/>
      <c r="G411" s="12"/>
    </row>
    <row r="412">
      <c r="B412" s="12"/>
      <c r="C412" s="77"/>
      <c r="G412" s="12"/>
    </row>
    <row r="413">
      <c r="B413" s="12"/>
      <c r="C413" s="77"/>
      <c r="G413" s="12"/>
    </row>
    <row r="414">
      <c r="B414" s="12"/>
      <c r="C414" s="77"/>
      <c r="G414" s="12"/>
    </row>
    <row r="415">
      <c r="B415" s="12"/>
      <c r="C415" s="77"/>
      <c r="G415" s="12"/>
    </row>
    <row r="416">
      <c r="B416" s="12"/>
      <c r="C416" s="77"/>
      <c r="G416" s="12"/>
    </row>
    <row r="417">
      <c r="B417" s="12"/>
      <c r="C417" s="77"/>
      <c r="G417" s="12"/>
    </row>
    <row r="418">
      <c r="B418" s="12"/>
      <c r="C418" s="77"/>
      <c r="G418" s="12"/>
    </row>
    <row r="419">
      <c r="B419" s="12"/>
      <c r="C419" s="77"/>
      <c r="G419" s="12"/>
    </row>
    <row r="420">
      <c r="B420" s="12"/>
      <c r="C420" s="77"/>
      <c r="G420" s="12"/>
    </row>
    <row r="421">
      <c r="B421" s="12"/>
      <c r="C421" s="77"/>
      <c r="G421" s="12"/>
    </row>
    <row r="422">
      <c r="B422" s="12"/>
      <c r="C422" s="77"/>
      <c r="G422" s="12"/>
    </row>
    <row r="423">
      <c r="B423" s="12"/>
      <c r="C423" s="77"/>
      <c r="G423" s="12"/>
    </row>
    <row r="424">
      <c r="B424" s="12"/>
      <c r="C424" s="77"/>
      <c r="G424" s="12"/>
    </row>
    <row r="425">
      <c r="B425" s="12"/>
      <c r="C425" s="77"/>
      <c r="G425" s="12"/>
    </row>
    <row r="426">
      <c r="B426" s="12"/>
      <c r="C426" s="77"/>
      <c r="G426" s="12"/>
    </row>
    <row r="427">
      <c r="B427" s="12"/>
      <c r="C427" s="77"/>
      <c r="G427" s="12"/>
    </row>
    <row r="428">
      <c r="B428" s="12"/>
      <c r="C428" s="77"/>
      <c r="G428" s="12"/>
    </row>
    <row r="429">
      <c r="B429" s="12"/>
      <c r="C429" s="77"/>
      <c r="G429" s="12"/>
    </row>
    <row r="430">
      <c r="B430" s="12"/>
      <c r="C430" s="77"/>
      <c r="G430" s="12"/>
    </row>
    <row r="431">
      <c r="B431" s="12"/>
      <c r="C431" s="77"/>
      <c r="G431" s="12"/>
    </row>
    <row r="432">
      <c r="B432" s="12"/>
      <c r="C432" s="77"/>
      <c r="G432" s="12"/>
    </row>
    <row r="433">
      <c r="B433" s="12"/>
      <c r="C433" s="77"/>
      <c r="G433" s="12"/>
    </row>
    <row r="434">
      <c r="B434" s="12"/>
      <c r="C434" s="77"/>
      <c r="G434" s="12"/>
    </row>
    <row r="435">
      <c r="B435" s="12"/>
      <c r="C435" s="77"/>
      <c r="G435" s="12"/>
    </row>
    <row r="436">
      <c r="B436" s="12"/>
      <c r="C436" s="77"/>
      <c r="G436" s="12"/>
    </row>
    <row r="437">
      <c r="B437" s="12"/>
      <c r="C437" s="77"/>
      <c r="G437" s="12"/>
    </row>
    <row r="438">
      <c r="B438" s="12"/>
      <c r="C438" s="77"/>
      <c r="G438" s="12"/>
    </row>
    <row r="439">
      <c r="B439" s="12"/>
      <c r="C439" s="77"/>
      <c r="G439" s="12"/>
    </row>
    <row r="440">
      <c r="B440" s="12"/>
      <c r="C440" s="77"/>
      <c r="G440" s="12"/>
    </row>
    <row r="441">
      <c r="B441" s="12"/>
      <c r="C441" s="77"/>
      <c r="G441" s="12"/>
    </row>
    <row r="442">
      <c r="B442" s="12"/>
      <c r="C442" s="77"/>
      <c r="G442" s="12"/>
    </row>
    <row r="443">
      <c r="B443" s="12"/>
      <c r="C443" s="77"/>
      <c r="G443" s="12"/>
    </row>
    <row r="444">
      <c r="B444" s="12"/>
      <c r="C444" s="77"/>
      <c r="G444" s="12"/>
    </row>
    <row r="445">
      <c r="B445" s="12"/>
      <c r="C445" s="77"/>
      <c r="G445" s="12"/>
    </row>
    <row r="446">
      <c r="B446" s="12"/>
      <c r="C446" s="77"/>
      <c r="G446" s="12"/>
    </row>
    <row r="447">
      <c r="B447" s="12"/>
      <c r="C447" s="77"/>
      <c r="G447" s="12"/>
    </row>
    <row r="448">
      <c r="B448" s="12"/>
      <c r="C448" s="77"/>
      <c r="G448" s="12"/>
    </row>
    <row r="449">
      <c r="B449" s="12"/>
      <c r="C449" s="77"/>
      <c r="G449" s="12"/>
    </row>
    <row r="450">
      <c r="B450" s="12"/>
      <c r="C450" s="77"/>
      <c r="G450" s="12"/>
    </row>
    <row r="451">
      <c r="B451" s="12"/>
      <c r="C451" s="77"/>
      <c r="G451" s="12"/>
    </row>
    <row r="452">
      <c r="B452" s="12"/>
      <c r="C452" s="77"/>
      <c r="G452" s="12"/>
    </row>
    <row r="453">
      <c r="B453" s="12"/>
      <c r="C453" s="77"/>
      <c r="G453" s="12"/>
    </row>
    <row r="454">
      <c r="B454" s="12"/>
      <c r="C454" s="77"/>
      <c r="G454" s="12"/>
    </row>
    <row r="455">
      <c r="B455" s="12"/>
      <c r="C455" s="77"/>
      <c r="G455" s="12"/>
    </row>
    <row r="456">
      <c r="B456" s="12"/>
      <c r="C456" s="77"/>
      <c r="G456" s="12"/>
    </row>
    <row r="457">
      <c r="B457" s="12"/>
      <c r="C457" s="77"/>
      <c r="G457" s="12"/>
    </row>
    <row r="458">
      <c r="B458" s="12"/>
      <c r="C458" s="77"/>
      <c r="G458" s="12"/>
    </row>
    <row r="459">
      <c r="B459" s="12"/>
      <c r="C459" s="77"/>
      <c r="G459" s="12"/>
    </row>
    <row r="460">
      <c r="B460" s="12"/>
      <c r="C460" s="77"/>
      <c r="G460" s="12"/>
    </row>
    <row r="461">
      <c r="B461" s="12"/>
      <c r="C461" s="77"/>
      <c r="G461" s="12"/>
    </row>
    <row r="462">
      <c r="B462" s="12"/>
      <c r="C462" s="77"/>
      <c r="G462" s="12"/>
    </row>
    <row r="463">
      <c r="B463" s="12"/>
      <c r="C463" s="77"/>
      <c r="G463" s="12"/>
    </row>
    <row r="464">
      <c r="B464" s="12"/>
      <c r="C464" s="77"/>
      <c r="G464" s="12"/>
    </row>
    <row r="465">
      <c r="B465" s="12"/>
      <c r="C465" s="77"/>
      <c r="G465" s="12"/>
    </row>
    <row r="466">
      <c r="B466" s="12"/>
      <c r="C466" s="77"/>
      <c r="G466" s="12"/>
    </row>
    <row r="467">
      <c r="B467" s="12"/>
      <c r="C467" s="77"/>
      <c r="G467" s="12"/>
    </row>
    <row r="468">
      <c r="B468" s="12"/>
      <c r="C468" s="77"/>
      <c r="G468" s="12"/>
    </row>
    <row r="469">
      <c r="B469" s="12"/>
      <c r="C469" s="77"/>
      <c r="G469" s="12"/>
    </row>
    <row r="470">
      <c r="B470" s="12"/>
      <c r="C470" s="77"/>
      <c r="G470" s="12"/>
    </row>
    <row r="471">
      <c r="B471" s="12"/>
      <c r="C471" s="77"/>
      <c r="G471" s="12"/>
    </row>
    <row r="472">
      <c r="B472" s="12"/>
      <c r="C472" s="77"/>
      <c r="G472" s="12"/>
    </row>
    <row r="473">
      <c r="B473" s="12"/>
      <c r="C473" s="77"/>
      <c r="G473" s="12"/>
    </row>
    <row r="474">
      <c r="B474" s="12"/>
      <c r="C474" s="77"/>
      <c r="G474" s="12"/>
    </row>
    <row r="475">
      <c r="B475" s="12"/>
      <c r="C475" s="77"/>
      <c r="G475" s="12"/>
    </row>
    <row r="476">
      <c r="B476" s="12"/>
      <c r="C476" s="77"/>
      <c r="G476" s="12"/>
    </row>
    <row r="477">
      <c r="B477" s="12"/>
      <c r="C477" s="77"/>
      <c r="G477" s="12"/>
    </row>
    <row r="478">
      <c r="B478" s="12"/>
      <c r="C478" s="77"/>
      <c r="G478" s="12"/>
    </row>
    <row r="479">
      <c r="B479" s="12"/>
      <c r="C479" s="77"/>
      <c r="G479" s="12"/>
    </row>
    <row r="480">
      <c r="B480" s="12"/>
      <c r="C480" s="77"/>
      <c r="G480" s="12"/>
    </row>
    <row r="481">
      <c r="B481" s="12"/>
      <c r="C481" s="77"/>
      <c r="G481" s="12"/>
    </row>
    <row r="482">
      <c r="B482" s="12"/>
      <c r="C482" s="77"/>
      <c r="G482" s="12"/>
    </row>
    <row r="483">
      <c r="B483" s="12"/>
      <c r="C483" s="77"/>
      <c r="G483" s="12"/>
    </row>
    <row r="484">
      <c r="B484" s="12"/>
      <c r="C484" s="77"/>
      <c r="G484" s="12"/>
    </row>
    <row r="485">
      <c r="B485" s="12"/>
      <c r="C485" s="77"/>
      <c r="G485" s="12"/>
    </row>
    <row r="486">
      <c r="B486" s="12"/>
      <c r="C486" s="77"/>
      <c r="G486" s="12"/>
    </row>
    <row r="487">
      <c r="B487" s="12"/>
      <c r="C487" s="77"/>
      <c r="G487" s="12"/>
    </row>
    <row r="488">
      <c r="B488" s="12"/>
      <c r="C488" s="77"/>
      <c r="G488" s="12"/>
    </row>
    <row r="489">
      <c r="B489" s="12"/>
      <c r="C489" s="77"/>
      <c r="G489" s="12"/>
    </row>
    <row r="490">
      <c r="B490" s="12"/>
      <c r="C490" s="77"/>
      <c r="G490" s="12"/>
    </row>
    <row r="491">
      <c r="B491" s="12"/>
      <c r="C491" s="77"/>
      <c r="G491" s="12"/>
    </row>
    <row r="492">
      <c r="B492" s="12"/>
      <c r="C492" s="77"/>
      <c r="G492" s="12"/>
    </row>
    <row r="493">
      <c r="B493" s="12"/>
      <c r="C493" s="77"/>
      <c r="G493" s="12"/>
    </row>
    <row r="494">
      <c r="B494" s="12"/>
      <c r="C494" s="77"/>
      <c r="G494" s="12"/>
    </row>
    <row r="495">
      <c r="B495" s="12"/>
      <c r="C495" s="77"/>
      <c r="G495" s="12"/>
    </row>
    <row r="496">
      <c r="B496" s="12"/>
      <c r="C496" s="77"/>
      <c r="G496" s="12"/>
    </row>
    <row r="497">
      <c r="B497" s="12"/>
      <c r="C497" s="77"/>
      <c r="G497" s="12"/>
    </row>
    <row r="498">
      <c r="B498" s="12"/>
      <c r="C498" s="77"/>
      <c r="G498" s="12"/>
    </row>
    <row r="499">
      <c r="B499" s="12"/>
      <c r="C499" s="77"/>
      <c r="G499" s="12"/>
    </row>
    <row r="500">
      <c r="B500" s="12"/>
      <c r="C500" s="77"/>
      <c r="G500" s="12"/>
    </row>
    <row r="501">
      <c r="B501" s="12"/>
      <c r="C501" s="77"/>
      <c r="G501" s="12"/>
    </row>
    <row r="502">
      <c r="B502" s="12"/>
      <c r="C502" s="77"/>
      <c r="G502" s="12"/>
    </row>
    <row r="503">
      <c r="B503" s="12"/>
      <c r="C503" s="77"/>
      <c r="G503" s="12"/>
    </row>
    <row r="504">
      <c r="B504" s="12"/>
      <c r="C504" s="77"/>
      <c r="G504" s="12"/>
    </row>
    <row r="505">
      <c r="B505" s="12"/>
      <c r="C505" s="77"/>
      <c r="G505" s="12"/>
    </row>
    <row r="506">
      <c r="B506" s="12"/>
      <c r="C506" s="77"/>
      <c r="G506" s="12"/>
    </row>
    <row r="507">
      <c r="B507" s="12"/>
      <c r="C507" s="77"/>
      <c r="G507" s="12"/>
    </row>
    <row r="508">
      <c r="B508" s="12"/>
      <c r="C508" s="77"/>
      <c r="G508" s="12"/>
    </row>
    <row r="509">
      <c r="B509" s="12"/>
      <c r="C509" s="77"/>
      <c r="G509" s="12"/>
    </row>
    <row r="510">
      <c r="B510" s="12"/>
      <c r="C510" s="77"/>
      <c r="G510" s="12"/>
    </row>
    <row r="511">
      <c r="B511" s="12"/>
      <c r="C511" s="77"/>
      <c r="G511" s="12"/>
    </row>
    <row r="512">
      <c r="B512" s="12"/>
      <c r="C512" s="77"/>
      <c r="G512" s="12"/>
    </row>
    <row r="513">
      <c r="B513" s="12"/>
      <c r="C513" s="77"/>
      <c r="G513" s="12"/>
    </row>
    <row r="514">
      <c r="B514" s="12"/>
      <c r="C514" s="77"/>
      <c r="G514" s="12"/>
    </row>
    <row r="515">
      <c r="B515" s="12"/>
      <c r="C515" s="77"/>
      <c r="G515" s="12"/>
    </row>
    <row r="516">
      <c r="B516" s="12"/>
      <c r="C516" s="77"/>
      <c r="G516" s="12"/>
    </row>
    <row r="517">
      <c r="B517" s="12"/>
      <c r="C517" s="77"/>
      <c r="G517" s="12"/>
    </row>
    <row r="518">
      <c r="B518" s="12"/>
      <c r="C518" s="77"/>
      <c r="G518" s="12"/>
    </row>
    <row r="519">
      <c r="B519" s="12"/>
      <c r="C519" s="77"/>
      <c r="G519" s="12"/>
    </row>
    <row r="520">
      <c r="B520" s="12"/>
      <c r="C520" s="77"/>
      <c r="G520" s="12"/>
    </row>
    <row r="521">
      <c r="B521" s="12"/>
      <c r="C521" s="77"/>
      <c r="G521" s="12"/>
    </row>
    <row r="522">
      <c r="B522" s="12"/>
      <c r="C522" s="77"/>
      <c r="G522" s="12"/>
    </row>
    <row r="523">
      <c r="B523" s="12"/>
      <c r="C523" s="77"/>
      <c r="G523" s="12"/>
    </row>
    <row r="524">
      <c r="B524" s="12"/>
      <c r="C524" s="77"/>
      <c r="G524" s="12"/>
    </row>
    <row r="525">
      <c r="B525" s="12"/>
      <c r="C525" s="77"/>
      <c r="G525" s="12"/>
    </row>
    <row r="526">
      <c r="B526" s="12"/>
      <c r="C526" s="77"/>
      <c r="G526" s="12"/>
    </row>
    <row r="527">
      <c r="B527" s="12"/>
      <c r="C527" s="77"/>
      <c r="G527" s="12"/>
    </row>
    <row r="528">
      <c r="B528" s="12"/>
      <c r="C528" s="77"/>
      <c r="G528" s="12"/>
    </row>
    <row r="529">
      <c r="B529" s="12"/>
      <c r="C529" s="77"/>
      <c r="G529" s="12"/>
    </row>
    <row r="530">
      <c r="B530" s="12"/>
      <c r="C530" s="77"/>
      <c r="G530" s="12"/>
    </row>
    <row r="531">
      <c r="B531" s="12"/>
      <c r="C531" s="77"/>
      <c r="G531" s="12"/>
    </row>
    <row r="532">
      <c r="B532" s="12"/>
      <c r="C532" s="77"/>
      <c r="G532" s="12"/>
    </row>
    <row r="533">
      <c r="B533" s="12"/>
      <c r="C533" s="77"/>
      <c r="G533" s="12"/>
    </row>
    <row r="534">
      <c r="B534" s="12"/>
      <c r="C534" s="77"/>
      <c r="G534" s="12"/>
    </row>
    <row r="535">
      <c r="B535" s="12"/>
      <c r="C535" s="77"/>
      <c r="G535" s="12"/>
    </row>
    <row r="536">
      <c r="B536" s="12"/>
      <c r="C536" s="77"/>
      <c r="G536" s="12"/>
    </row>
    <row r="537">
      <c r="B537" s="12"/>
      <c r="C537" s="77"/>
      <c r="G537" s="12"/>
    </row>
    <row r="538">
      <c r="B538" s="12"/>
      <c r="C538" s="77"/>
      <c r="G538" s="12"/>
    </row>
    <row r="539">
      <c r="B539" s="12"/>
      <c r="C539" s="77"/>
      <c r="G539" s="12"/>
    </row>
    <row r="540">
      <c r="B540" s="12"/>
      <c r="C540" s="77"/>
      <c r="G540" s="12"/>
    </row>
    <row r="541">
      <c r="B541" s="12"/>
      <c r="C541" s="77"/>
      <c r="G541" s="12"/>
    </row>
    <row r="542">
      <c r="B542" s="12"/>
      <c r="C542" s="77"/>
      <c r="G542" s="12"/>
    </row>
    <row r="543">
      <c r="B543" s="12"/>
      <c r="C543" s="77"/>
      <c r="G543" s="12"/>
    </row>
    <row r="544">
      <c r="B544" s="12"/>
      <c r="C544" s="77"/>
      <c r="G544" s="12"/>
    </row>
    <row r="545">
      <c r="B545" s="12"/>
      <c r="C545" s="77"/>
      <c r="G545" s="12"/>
    </row>
    <row r="546">
      <c r="B546" s="12"/>
      <c r="C546" s="77"/>
      <c r="G546" s="12"/>
    </row>
    <row r="547">
      <c r="B547" s="12"/>
      <c r="C547" s="77"/>
      <c r="G547" s="12"/>
    </row>
    <row r="548">
      <c r="B548" s="12"/>
      <c r="C548" s="77"/>
      <c r="G548" s="12"/>
    </row>
    <row r="549">
      <c r="B549" s="12"/>
      <c r="C549" s="77"/>
      <c r="G549" s="12"/>
    </row>
    <row r="550">
      <c r="B550" s="12"/>
      <c r="C550" s="77"/>
      <c r="G550" s="12"/>
    </row>
    <row r="551">
      <c r="B551" s="12"/>
      <c r="C551" s="77"/>
      <c r="G551" s="12"/>
    </row>
    <row r="552">
      <c r="B552" s="12"/>
      <c r="C552" s="77"/>
      <c r="G552" s="12"/>
    </row>
    <row r="553">
      <c r="B553" s="12"/>
      <c r="C553" s="77"/>
      <c r="G553" s="12"/>
    </row>
    <row r="554">
      <c r="B554" s="12"/>
      <c r="C554" s="77"/>
      <c r="G554" s="12"/>
    </row>
    <row r="555">
      <c r="B555" s="12"/>
      <c r="C555" s="77"/>
      <c r="G555" s="12"/>
    </row>
    <row r="556">
      <c r="B556" s="12"/>
      <c r="C556" s="77"/>
      <c r="G556" s="12"/>
    </row>
    <row r="557">
      <c r="B557" s="12"/>
      <c r="C557" s="77"/>
      <c r="G557" s="12"/>
    </row>
    <row r="558">
      <c r="B558" s="12"/>
      <c r="C558" s="77"/>
      <c r="G558" s="12"/>
    </row>
    <row r="559">
      <c r="B559" s="12"/>
      <c r="C559" s="77"/>
      <c r="G559" s="12"/>
    </row>
    <row r="560">
      <c r="B560" s="12"/>
      <c r="C560" s="77"/>
      <c r="G560" s="12"/>
    </row>
    <row r="561">
      <c r="B561" s="12"/>
      <c r="C561" s="77"/>
      <c r="G561" s="12"/>
    </row>
    <row r="562">
      <c r="B562" s="12"/>
      <c r="C562" s="77"/>
      <c r="G562" s="12"/>
    </row>
    <row r="563">
      <c r="B563" s="12"/>
      <c r="C563" s="77"/>
      <c r="G563" s="12"/>
    </row>
    <row r="564">
      <c r="B564" s="12"/>
      <c r="C564" s="77"/>
      <c r="G564" s="12"/>
    </row>
    <row r="565">
      <c r="B565" s="12"/>
      <c r="C565" s="77"/>
      <c r="G565" s="12"/>
    </row>
    <row r="566">
      <c r="B566" s="12"/>
      <c r="C566" s="77"/>
      <c r="G566" s="12"/>
    </row>
    <row r="567">
      <c r="B567" s="12"/>
      <c r="C567" s="77"/>
      <c r="G567" s="12"/>
    </row>
    <row r="568">
      <c r="B568" s="12"/>
      <c r="C568" s="77"/>
      <c r="G568" s="12"/>
    </row>
    <row r="569">
      <c r="B569" s="12"/>
      <c r="C569" s="77"/>
      <c r="G569" s="12"/>
    </row>
    <row r="570">
      <c r="B570" s="12"/>
      <c r="C570" s="77"/>
      <c r="G570" s="12"/>
    </row>
    <row r="571">
      <c r="B571" s="12"/>
      <c r="C571" s="77"/>
      <c r="G571" s="12"/>
    </row>
    <row r="572">
      <c r="B572" s="12"/>
      <c r="C572" s="77"/>
      <c r="G572" s="12"/>
    </row>
    <row r="573">
      <c r="B573" s="12"/>
      <c r="C573" s="77"/>
      <c r="G573" s="12"/>
    </row>
    <row r="574">
      <c r="B574" s="12"/>
      <c r="C574" s="77"/>
      <c r="G574" s="12"/>
    </row>
    <row r="575">
      <c r="B575" s="12"/>
      <c r="C575" s="77"/>
      <c r="G575" s="12"/>
    </row>
    <row r="576">
      <c r="B576" s="12"/>
      <c r="C576" s="77"/>
      <c r="G576" s="12"/>
    </row>
    <row r="577">
      <c r="B577" s="12"/>
      <c r="C577" s="77"/>
      <c r="G577" s="12"/>
    </row>
    <row r="578">
      <c r="B578" s="12"/>
      <c r="C578" s="77"/>
      <c r="G578" s="12"/>
    </row>
    <row r="579">
      <c r="B579" s="12"/>
      <c r="C579" s="77"/>
      <c r="G579" s="12"/>
    </row>
    <row r="580">
      <c r="B580" s="12"/>
      <c r="C580" s="77"/>
      <c r="G580" s="12"/>
    </row>
    <row r="581">
      <c r="B581" s="12"/>
      <c r="C581" s="77"/>
      <c r="G581" s="12"/>
    </row>
    <row r="582">
      <c r="B582" s="12"/>
      <c r="C582" s="77"/>
      <c r="G582" s="12"/>
    </row>
    <row r="583">
      <c r="B583" s="12"/>
      <c r="C583" s="77"/>
      <c r="G583" s="12"/>
    </row>
    <row r="584">
      <c r="B584" s="12"/>
      <c r="C584" s="77"/>
      <c r="G584" s="12"/>
    </row>
    <row r="585">
      <c r="B585" s="12"/>
      <c r="C585" s="77"/>
      <c r="G585" s="12"/>
    </row>
    <row r="586">
      <c r="B586" s="12"/>
      <c r="C586" s="77"/>
      <c r="G586" s="12"/>
    </row>
    <row r="587">
      <c r="B587" s="12"/>
      <c r="C587" s="77"/>
      <c r="G587" s="12"/>
    </row>
    <row r="588">
      <c r="B588" s="12"/>
      <c r="C588" s="77"/>
      <c r="G588" s="12"/>
    </row>
    <row r="589">
      <c r="B589" s="12"/>
      <c r="C589" s="77"/>
      <c r="G589" s="12"/>
    </row>
    <row r="590">
      <c r="B590" s="12"/>
      <c r="C590" s="77"/>
      <c r="G590" s="12"/>
    </row>
    <row r="591">
      <c r="B591" s="12"/>
      <c r="C591" s="77"/>
      <c r="G591" s="12"/>
    </row>
    <row r="592">
      <c r="B592" s="12"/>
      <c r="C592" s="77"/>
      <c r="G592" s="12"/>
    </row>
    <row r="593">
      <c r="B593" s="12"/>
      <c r="C593" s="77"/>
      <c r="G593" s="12"/>
    </row>
    <row r="594">
      <c r="B594" s="12"/>
      <c r="C594" s="77"/>
      <c r="G594" s="12"/>
    </row>
    <row r="595">
      <c r="B595" s="12"/>
      <c r="C595" s="77"/>
      <c r="G595" s="12"/>
    </row>
    <row r="596">
      <c r="B596" s="12"/>
      <c r="C596" s="77"/>
      <c r="G596" s="12"/>
    </row>
    <row r="597">
      <c r="B597" s="12"/>
      <c r="C597" s="77"/>
      <c r="G597" s="12"/>
    </row>
    <row r="598">
      <c r="B598" s="12"/>
      <c r="C598" s="77"/>
      <c r="G598" s="12"/>
    </row>
    <row r="599">
      <c r="B599" s="12"/>
      <c r="C599" s="77"/>
      <c r="G599" s="12"/>
    </row>
    <row r="600">
      <c r="B600" s="12"/>
      <c r="C600" s="77"/>
      <c r="G600" s="12"/>
    </row>
    <row r="601">
      <c r="B601" s="12"/>
      <c r="C601" s="77"/>
      <c r="G601" s="12"/>
    </row>
    <row r="602">
      <c r="B602" s="12"/>
      <c r="C602" s="77"/>
      <c r="G602" s="12"/>
    </row>
    <row r="603">
      <c r="B603" s="12"/>
      <c r="C603" s="77"/>
      <c r="G603" s="12"/>
    </row>
    <row r="604">
      <c r="B604" s="12"/>
      <c r="C604" s="77"/>
      <c r="G604" s="12"/>
    </row>
    <row r="605">
      <c r="B605" s="12"/>
      <c r="C605" s="77"/>
      <c r="G605" s="12"/>
    </row>
    <row r="606">
      <c r="B606" s="12"/>
      <c r="C606" s="77"/>
      <c r="G606" s="12"/>
    </row>
    <row r="607">
      <c r="B607" s="12"/>
      <c r="C607" s="77"/>
      <c r="G607" s="12"/>
    </row>
    <row r="608">
      <c r="B608" s="12"/>
      <c r="C608" s="77"/>
      <c r="G608" s="12"/>
    </row>
    <row r="609">
      <c r="B609" s="12"/>
      <c r="C609" s="77"/>
      <c r="G609" s="12"/>
    </row>
    <row r="610">
      <c r="B610" s="12"/>
      <c r="C610" s="77"/>
      <c r="G610" s="12"/>
    </row>
    <row r="611">
      <c r="B611" s="12"/>
      <c r="C611" s="77"/>
      <c r="G611" s="12"/>
    </row>
    <row r="612">
      <c r="B612" s="12"/>
      <c r="C612" s="77"/>
      <c r="G612" s="12"/>
    </row>
    <row r="613">
      <c r="B613" s="12"/>
      <c r="C613" s="77"/>
      <c r="G613" s="12"/>
    </row>
    <row r="614">
      <c r="B614" s="12"/>
      <c r="C614" s="77"/>
      <c r="G614" s="12"/>
    </row>
    <row r="615">
      <c r="B615" s="12"/>
      <c r="C615" s="77"/>
      <c r="G615" s="12"/>
    </row>
    <row r="616">
      <c r="B616" s="12"/>
      <c r="C616" s="77"/>
      <c r="G616" s="12"/>
    </row>
    <row r="617">
      <c r="B617" s="12"/>
      <c r="C617" s="77"/>
      <c r="G617" s="12"/>
    </row>
    <row r="618">
      <c r="B618" s="12"/>
      <c r="C618" s="77"/>
      <c r="G618" s="12"/>
    </row>
    <row r="619">
      <c r="B619" s="12"/>
      <c r="C619" s="77"/>
      <c r="G619" s="12"/>
    </row>
    <row r="620">
      <c r="B620" s="12"/>
      <c r="C620" s="77"/>
      <c r="G620" s="12"/>
    </row>
    <row r="621">
      <c r="B621" s="12"/>
      <c r="C621" s="77"/>
      <c r="G621" s="12"/>
    </row>
    <row r="622">
      <c r="B622" s="12"/>
      <c r="C622" s="77"/>
      <c r="G622" s="12"/>
    </row>
    <row r="623">
      <c r="B623" s="12"/>
      <c r="C623" s="77"/>
      <c r="G623" s="12"/>
    </row>
    <row r="624">
      <c r="B624" s="12"/>
      <c r="C624" s="77"/>
      <c r="G624" s="12"/>
    </row>
    <row r="625">
      <c r="B625" s="12"/>
      <c r="C625" s="77"/>
      <c r="G625" s="12"/>
    </row>
    <row r="626">
      <c r="B626" s="12"/>
      <c r="C626" s="77"/>
      <c r="G626" s="12"/>
    </row>
    <row r="627">
      <c r="B627" s="12"/>
      <c r="C627" s="77"/>
      <c r="G627" s="12"/>
    </row>
    <row r="628">
      <c r="B628" s="12"/>
      <c r="C628" s="77"/>
      <c r="G628" s="12"/>
    </row>
    <row r="629">
      <c r="B629" s="12"/>
      <c r="C629" s="77"/>
      <c r="G629" s="12"/>
    </row>
    <row r="630">
      <c r="B630" s="12"/>
      <c r="C630" s="77"/>
      <c r="G630" s="12"/>
    </row>
    <row r="631">
      <c r="B631" s="12"/>
      <c r="C631" s="77"/>
      <c r="G631" s="12"/>
    </row>
    <row r="632">
      <c r="B632" s="12"/>
      <c r="C632" s="77"/>
      <c r="G632" s="12"/>
    </row>
    <row r="633">
      <c r="B633" s="12"/>
      <c r="C633" s="77"/>
      <c r="G633" s="12"/>
    </row>
    <row r="634">
      <c r="B634" s="12"/>
      <c r="C634" s="77"/>
      <c r="G634" s="12"/>
    </row>
    <row r="635">
      <c r="B635" s="12"/>
      <c r="C635" s="77"/>
      <c r="G635" s="12"/>
    </row>
    <row r="636">
      <c r="B636" s="12"/>
      <c r="C636" s="77"/>
      <c r="G636" s="12"/>
    </row>
    <row r="637">
      <c r="B637" s="12"/>
      <c r="C637" s="77"/>
      <c r="G637" s="12"/>
    </row>
    <row r="638">
      <c r="B638" s="12"/>
      <c r="C638" s="77"/>
      <c r="G638" s="12"/>
    </row>
    <row r="639">
      <c r="B639" s="12"/>
      <c r="C639" s="77"/>
      <c r="G639" s="12"/>
    </row>
    <row r="640">
      <c r="B640" s="12"/>
      <c r="C640" s="77"/>
      <c r="G640" s="12"/>
    </row>
    <row r="641">
      <c r="B641" s="12"/>
      <c r="C641" s="77"/>
      <c r="G641" s="12"/>
    </row>
    <row r="642">
      <c r="B642" s="12"/>
      <c r="C642" s="77"/>
      <c r="G642" s="12"/>
    </row>
    <row r="643">
      <c r="B643" s="12"/>
      <c r="C643" s="77"/>
      <c r="G643" s="12"/>
    </row>
    <row r="644">
      <c r="B644" s="12"/>
      <c r="C644" s="77"/>
      <c r="G644" s="12"/>
    </row>
    <row r="645">
      <c r="B645" s="12"/>
      <c r="C645" s="77"/>
      <c r="G645" s="12"/>
    </row>
    <row r="646">
      <c r="B646" s="12"/>
      <c r="C646" s="77"/>
      <c r="G646" s="12"/>
    </row>
    <row r="647">
      <c r="B647" s="12"/>
      <c r="C647" s="77"/>
      <c r="G647" s="12"/>
    </row>
    <row r="648">
      <c r="B648" s="12"/>
      <c r="C648" s="77"/>
      <c r="G648" s="12"/>
    </row>
    <row r="649">
      <c r="B649" s="12"/>
      <c r="C649" s="77"/>
      <c r="G649" s="12"/>
    </row>
    <row r="650">
      <c r="B650" s="12"/>
      <c r="C650" s="77"/>
      <c r="G650" s="12"/>
    </row>
    <row r="651">
      <c r="B651" s="12"/>
      <c r="C651" s="77"/>
      <c r="G651" s="12"/>
    </row>
    <row r="652">
      <c r="B652" s="12"/>
      <c r="C652" s="77"/>
      <c r="G652" s="12"/>
    </row>
    <row r="653">
      <c r="B653" s="12"/>
      <c r="C653" s="77"/>
      <c r="G653" s="12"/>
    </row>
    <row r="654">
      <c r="B654" s="12"/>
      <c r="C654" s="77"/>
      <c r="G654" s="12"/>
    </row>
    <row r="655">
      <c r="B655" s="12"/>
      <c r="C655" s="77"/>
      <c r="G655" s="12"/>
    </row>
    <row r="656">
      <c r="B656" s="12"/>
      <c r="C656" s="77"/>
      <c r="G656" s="12"/>
    </row>
    <row r="657">
      <c r="B657" s="12"/>
      <c r="C657" s="77"/>
      <c r="G657" s="12"/>
    </row>
    <row r="658">
      <c r="B658" s="12"/>
      <c r="C658" s="77"/>
      <c r="G658" s="12"/>
    </row>
    <row r="659">
      <c r="B659" s="12"/>
      <c r="C659" s="77"/>
      <c r="G659" s="12"/>
    </row>
    <row r="660">
      <c r="B660" s="12"/>
      <c r="C660" s="77"/>
      <c r="G660" s="12"/>
    </row>
    <row r="661">
      <c r="B661" s="12"/>
      <c r="C661" s="77"/>
      <c r="G661" s="12"/>
    </row>
    <row r="662">
      <c r="B662" s="12"/>
      <c r="C662" s="77"/>
      <c r="G662" s="12"/>
    </row>
    <row r="663">
      <c r="B663" s="12"/>
      <c r="C663" s="77"/>
      <c r="G663" s="12"/>
    </row>
    <row r="664">
      <c r="B664" s="12"/>
      <c r="C664" s="77"/>
      <c r="G664" s="12"/>
    </row>
    <row r="665">
      <c r="B665" s="12"/>
      <c r="C665" s="77"/>
      <c r="G665" s="12"/>
    </row>
    <row r="666">
      <c r="B666" s="12"/>
      <c r="C666" s="77"/>
      <c r="G666" s="12"/>
    </row>
    <row r="667">
      <c r="B667" s="12"/>
      <c r="C667" s="77"/>
      <c r="G667" s="12"/>
    </row>
    <row r="668">
      <c r="B668" s="12"/>
      <c r="C668" s="77"/>
      <c r="G668" s="12"/>
    </row>
    <row r="669">
      <c r="B669" s="12"/>
      <c r="C669" s="77"/>
      <c r="G669" s="12"/>
    </row>
    <row r="670">
      <c r="B670" s="12"/>
      <c r="C670" s="77"/>
      <c r="G670" s="12"/>
    </row>
    <row r="671">
      <c r="B671" s="12"/>
      <c r="C671" s="77"/>
      <c r="G671" s="12"/>
    </row>
    <row r="672">
      <c r="B672" s="12"/>
      <c r="C672" s="77"/>
      <c r="G672" s="12"/>
    </row>
    <row r="673">
      <c r="B673" s="12"/>
      <c r="C673" s="77"/>
      <c r="G673" s="12"/>
    </row>
    <row r="674">
      <c r="B674" s="12"/>
      <c r="C674" s="77"/>
      <c r="G674" s="12"/>
    </row>
    <row r="675">
      <c r="B675" s="12"/>
      <c r="C675" s="77"/>
      <c r="G675" s="12"/>
    </row>
    <row r="676">
      <c r="B676" s="12"/>
      <c r="C676" s="77"/>
      <c r="G676" s="12"/>
    </row>
    <row r="677">
      <c r="B677" s="12"/>
      <c r="C677" s="77"/>
      <c r="G677" s="12"/>
    </row>
    <row r="678">
      <c r="B678" s="12"/>
      <c r="C678" s="77"/>
      <c r="G678" s="12"/>
    </row>
    <row r="679">
      <c r="B679" s="12"/>
      <c r="C679" s="77"/>
      <c r="G679" s="12"/>
    </row>
    <row r="680">
      <c r="B680" s="12"/>
      <c r="C680" s="77"/>
      <c r="G680" s="12"/>
    </row>
    <row r="681">
      <c r="B681" s="12"/>
      <c r="C681" s="77"/>
      <c r="G681" s="12"/>
    </row>
    <row r="682">
      <c r="B682" s="12"/>
      <c r="C682" s="77"/>
      <c r="G682" s="12"/>
    </row>
    <row r="683">
      <c r="B683" s="12"/>
      <c r="C683" s="77"/>
      <c r="G683" s="12"/>
    </row>
    <row r="684">
      <c r="B684" s="12"/>
      <c r="C684" s="77"/>
      <c r="G684" s="12"/>
    </row>
    <row r="685">
      <c r="B685" s="12"/>
      <c r="C685" s="77"/>
      <c r="G685" s="12"/>
    </row>
    <row r="686">
      <c r="B686" s="12"/>
      <c r="C686" s="77"/>
      <c r="G686" s="12"/>
    </row>
    <row r="687">
      <c r="B687" s="12"/>
      <c r="C687" s="77"/>
      <c r="G687" s="12"/>
    </row>
    <row r="688">
      <c r="B688" s="12"/>
      <c r="C688" s="77"/>
      <c r="G688" s="12"/>
    </row>
    <row r="689">
      <c r="B689" s="12"/>
      <c r="C689" s="77"/>
      <c r="G689" s="12"/>
    </row>
    <row r="690">
      <c r="B690" s="12"/>
      <c r="C690" s="77"/>
      <c r="G690" s="12"/>
    </row>
    <row r="691">
      <c r="B691" s="12"/>
      <c r="C691" s="77"/>
      <c r="G691" s="12"/>
    </row>
    <row r="692">
      <c r="B692" s="12"/>
      <c r="C692" s="77"/>
      <c r="G692" s="12"/>
    </row>
    <row r="693">
      <c r="B693" s="12"/>
      <c r="C693" s="77"/>
      <c r="G693" s="12"/>
    </row>
    <row r="694">
      <c r="B694" s="12"/>
      <c r="C694" s="77"/>
      <c r="G694" s="12"/>
    </row>
    <row r="695">
      <c r="B695" s="12"/>
      <c r="C695" s="77"/>
      <c r="G695" s="12"/>
    </row>
    <row r="696">
      <c r="B696" s="12"/>
      <c r="C696" s="77"/>
      <c r="G696" s="12"/>
    </row>
    <row r="697">
      <c r="B697" s="12"/>
      <c r="C697" s="77"/>
      <c r="G697" s="12"/>
    </row>
    <row r="698">
      <c r="B698" s="12"/>
      <c r="C698" s="77"/>
      <c r="G698" s="12"/>
    </row>
    <row r="699">
      <c r="B699" s="12"/>
      <c r="C699" s="77"/>
      <c r="G699" s="12"/>
    </row>
    <row r="700">
      <c r="B700" s="12"/>
      <c r="C700" s="77"/>
      <c r="G700" s="12"/>
    </row>
    <row r="701">
      <c r="B701" s="12"/>
      <c r="C701" s="77"/>
      <c r="G701" s="12"/>
    </row>
    <row r="702">
      <c r="B702" s="12"/>
      <c r="C702" s="77"/>
      <c r="G702" s="12"/>
    </row>
    <row r="703">
      <c r="B703" s="12"/>
      <c r="C703" s="77"/>
      <c r="G703" s="12"/>
    </row>
    <row r="704">
      <c r="B704" s="12"/>
      <c r="C704" s="77"/>
      <c r="G704" s="12"/>
    </row>
    <row r="705">
      <c r="B705" s="12"/>
      <c r="C705" s="77"/>
      <c r="G705" s="12"/>
    </row>
    <row r="706">
      <c r="B706" s="12"/>
      <c r="C706" s="77"/>
      <c r="G706" s="12"/>
    </row>
    <row r="707">
      <c r="B707" s="12"/>
      <c r="C707" s="77"/>
      <c r="G707" s="12"/>
    </row>
    <row r="708">
      <c r="B708" s="12"/>
      <c r="C708" s="77"/>
      <c r="G708" s="12"/>
    </row>
    <row r="709">
      <c r="B709" s="12"/>
      <c r="C709" s="77"/>
      <c r="G709" s="12"/>
    </row>
    <row r="710">
      <c r="B710" s="12"/>
      <c r="C710" s="77"/>
      <c r="G710" s="12"/>
    </row>
    <row r="711">
      <c r="B711" s="12"/>
      <c r="C711" s="77"/>
      <c r="G711" s="12"/>
    </row>
    <row r="712">
      <c r="B712" s="12"/>
      <c r="C712" s="77"/>
      <c r="G712" s="12"/>
    </row>
    <row r="713">
      <c r="B713" s="12"/>
      <c r="C713" s="77"/>
      <c r="G713" s="12"/>
    </row>
    <row r="714">
      <c r="B714" s="12"/>
      <c r="C714" s="77"/>
      <c r="G714" s="12"/>
    </row>
    <row r="715">
      <c r="B715" s="12"/>
      <c r="C715" s="77"/>
      <c r="G715" s="12"/>
    </row>
    <row r="716">
      <c r="B716" s="12"/>
      <c r="C716" s="77"/>
      <c r="G716" s="12"/>
    </row>
    <row r="717">
      <c r="B717" s="12"/>
      <c r="C717" s="77"/>
      <c r="G717" s="12"/>
    </row>
    <row r="718">
      <c r="B718" s="12"/>
      <c r="C718" s="77"/>
      <c r="G718" s="12"/>
    </row>
    <row r="719">
      <c r="B719" s="12"/>
      <c r="C719" s="77"/>
      <c r="G719" s="12"/>
    </row>
    <row r="720">
      <c r="B720" s="12"/>
      <c r="C720" s="77"/>
      <c r="G720" s="12"/>
    </row>
    <row r="721">
      <c r="B721" s="12"/>
      <c r="C721" s="77"/>
      <c r="G721" s="12"/>
    </row>
    <row r="722">
      <c r="B722" s="12"/>
      <c r="C722" s="77"/>
      <c r="G722" s="12"/>
    </row>
    <row r="723">
      <c r="B723" s="12"/>
      <c r="C723" s="77"/>
      <c r="G723" s="12"/>
    </row>
    <row r="724">
      <c r="B724" s="12"/>
      <c r="C724" s="77"/>
      <c r="G724" s="12"/>
    </row>
    <row r="725">
      <c r="B725" s="12"/>
      <c r="C725" s="77"/>
      <c r="G725" s="12"/>
    </row>
    <row r="726">
      <c r="B726" s="12"/>
      <c r="C726" s="77"/>
      <c r="G726" s="12"/>
    </row>
    <row r="727">
      <c r="B727" s="12"/>
      <c r="C727" s="77"/>
      <c r="G727" s="12"/>
    </row>
    <row r="728">
      <c r="B728" s="12"/>
      <c r="C728" s="77"/>
      <c r="G728" s="12"/>
    </row>
    <row r="729">
      <c r="B729" s="12"/>
      <c r="C729" s="77"/>
      <c r="G729" s="12"/>
    </row>
    <row r="730">
      <c r="B730" s="12"/>
      <c r="C730" s="77"/>
      <c r="G730" s="12"/>
    </row>
    <row r="731">
      <c r="B731" s="12"/>
      <c r="C731" s="77"/>
      <c r="G731" s="12"/>
    </row>
    <row r="732">
      <c r="B732" s="12"/>
      <c r="C732" s="77"/>
      <c r="G732" s="12"/>
    </row>
    <row r="733">
      <c r="B733" s="12"/>
      <c r="C733" s="77"/>
      <c r="G733" s="12"/>
    </row>
    <row r="734">
      <c r="B734" s="12"/>
      <c r="C734" s="77"/>
      <c r="G734" s="12"/>
    </row>
    <row r="735">
      <c r="B735" s="12"/>
      <c r="C735" s="77"/>
      <c r="G735" s="12"/>
    </row>
    <row r="736">
      <c r="B736" s="12"/>
      <c r="C736" s="77"/>
      <c r="G736" s="12"/>
    </row>
    <row r="737">
      <c r="B737" s="12"/>
      <c r="C737" s="77"/>
      <c r="G737" s="12"/>
    </row>
    <row r="738">
      <c r="B738" s="12"/>
      <c r="C738" s="77"/>
      <c r="G738" s="12"/>
    </row>
    <row r="739">
      <c r="B739" s="12"/>
      <c r="C739" s="77"/>
      <c r="G739" s="12"/>
    </row>
    <row r="740">
      <c r="B740" s="12"/>
      <c r="C740" s="77"/>
      <c r="G740" s="12"/>
    </row>
    <row r="741">
      <c r="B741" s="12"/>
      <c r="C741" s="77"/>
      <c r="G741" s="12"/>
    </row>
    <row r="742">
      <c r="B742" s="12"/>
      <c r="C742" s="77"/>
      <c r="G742" s="12"/>
    </row>
    <row r="743">
      <c r="B743" s="12"/>
      <c r="C743" s="77"/>
      <c r="G743" s="12"/>
    </row>
    <row r="744">
      <c r="B744" s="12"/>
      <c r="C744" s="77"/>
      <c r="G744" s="12"/>
    </row>
    <row r="745">
      <c r="B745" s="12"/>
      <c r="C745" s="77"/>
      <c r="G745" s="12"/>
    </row>
    <row r="746">
      <c r="B746" s="12"/>
      <c r="C746" s="77"/>
      <c r="G746" s="12"/>
    </row>
    <row r="747">
      <c r="B747" s="12"/>
      <c r="C747" s="77"/>
      <c r="G747" s="12"/>
    </row>
    <row r="748">
      <c r="B748" s="12"/>
      <c r="C748" s="77"/>
      <c r="G748" s="12"/>
    </row>
    <row r="749">
      <c r="B749" s="12"/>
      <c r="C749" s="77"/>
      <c r="G749" s="12"/>
    </row>
    <row r="750">
      <c r="B750" s="12"/>
      <c r="C750" s="77"/>
      <c r="G750" s="12"/>
    </row>
    <row r="751">
      <c r="B751" s="12"/>
      <c r="C751" s="77"/>
      <c r="G751" s="12"/>
    </row>
    <row r="752">
      <c r="B752" s="12"/>
      <c r="C752" s="77"/>
      <c r="G752" s="12"/>
    </row>
    <row r="753">
      <c r="B753" s="12"/>
      <c r="C753" s="77"/>
      <c r="G753" s="12"/>
    </row>
    <row r="754">
      <c r="B754" s="12"/>
      <c r="C754" s="77"/>
      <c r="G754" s="12"/>
    </row>
    <row r="755">
      <c r="B755" s="12"/>
      <c r="C755" s="77"/>
      <c r="G755" s="12"/>
    </row>
    <row r="756">
      <c r="B756" s="12"/>
      <c r="C756" s="77"/>
      <c r="G756" s="12"/>
    </row>
    <row r="757">
      <c r="B757" s="12"/>
      <c r="C757" s="77"/>
      <c r="G757" s="12"/>
    </row>
    <row r="758">
      <c r="B758" s="12"/>
      <c r="C758" s="77"/>
      <c r="G758" s="12"/>
    </row>
    <row r="759">
      <c r="B759" s="12"/>
      <c r="C759" s="77"/>
      <c r="G759" s="12"/>
    </row>
    <row r="760">
      <c r="B760" s="12"/>
      <c r="C760" s="77"/>
      <c r="G760" s="12"/>
    </row>
    <row r="761">
      <c r="B761" s="12"/>
      <c r="C761" s="77"/>
      <c r="G761" s="12"/>
    </row>
    <row r="762">
      <c r="B762" s="12"/>
      <c r="C762" s="77"/>
      <c r="G762" s="12"/>
    </row>
    <row r="763">
      <c r="B763" s="12"/>
      <c r="C763" s="77"/>
      <c r="G763" s="12"/>
    </row>
    <row r="764">
      <c r="B764" s="12"/>
      <c r="C764" s="77"/>
      <c r="G764" s="12"/>
    </row>
    <row r="765">
      <c r="B765" s="12"/>
      <c r="C765" s="77"/>
      <c r="G765" s="12"/>
    </row>
    <row r="766">
      <c r="B766" s="12"/>
      <c r="C766" s="77"/>
      <c r="G766" s="12"/>
    </row>
    <row r="767">
      <c r="B767" s="12"/>
      <c r="C767" s="77"/>
      <c r="G767" s="12"/>
    </row>
    <row r="768">
      <c r="B768" s="12"/>
      <c r="C768" s="77"/>
      <c r="G768" s="12"/>
    </row>
    <row r="769">
      <c r="B769" s="12"/>
      <c r="C769" s="77"/>
      <c r="G769" s="12"/>
    </row>
    <row r="770">
      <c r="B770" s="12"/>
      <c r="C770" s="77"/>
      <c r="G770" s="12"/>
    </row>
    <row r="771">
      <c r="B771" s="12"/>
      <c r="C771" s="77"/>
      <c r="G771" s="12"/>
    </row>
    <row r="772">
      <c r="B772" s="12"/>
      <c r="C772" s="77"/>
      <c r="G772" s="12"/>
    </row>
    <row r="773">
      <c r="B773" s="12"/>
      <c r="C773" s="77"/>
      <c r="G773" s="12"/>
    </row>
    <row r="774">
      <c r="B774" s="12"/>
      <c r="C774" s="77"/>
      <c r="G774" s="12"/>
    </row>
    <row r="775">
      <c r="B775" s="12"/>
      <c r="C775" s="77"/>
      <c r="G775" s="12"/>
    </row>
    <row r="776">
      <c r="B776" s="12"/>
      <c r="C776" s="77"/>
      <c r="G776" s="12"/>
    </row>
    <row r="777">
      <c r="B777" s="12"/>
      <c r="C777" s="77"/>
      <c r="G777" s="12"/>
    </row>
    <row r="778">
      <c r="B778" s="12"/>
      <c r="C778" s="77"/>
      <c r="G778" s="12"/>
    </row>
    <row r="779">
      <c r="B779" s="12"/>
      <c r="C779" s="77"/>
      <c r="G779" s="12"/>
    </row>
    <row r="780">
      <c r="B780" s="12"/>
      <c r="C780" s="77"/>
      <c r="G780" s="12"/>
    </row>
    <row r="781">
      <c r="B781" s="12"/>
      <c r="C781" s="77"/>
      <c r="G781" s="12"/>
    </row>
    <row r="782">
      <c r="B782" s="12"/>
      <c r="C782" s="77"/>
      <c r="G782" s="12"/>
    </row>
    <row r="783">
      <c r="B783" s="12"/>
      <c r="C783" s="77"/>
      <c r="G783" s="12"/>
    </row>
    <row r="784">
      <c r="B784" s="12"/>
      <c r="C784" s="77"/>
      <c r="G784" s="12"/>
    </row>
    <row r="785">
      <c r="B785" s="12"/>
      <c r="C785" s="77"/>
      <c r="G785" s="12"/>
    </row>
    <row r="786">
      <c r="B786" s="12"/>
      <c r="C786" s="77"/>
      <c r="G786" s="12"/>
    </row>
    <row r="787">
      <c r="B787" s="12"/>
      <c r="C787" s="77"/>
      <c r="G787" s="12"/>
    </row>
    <row r="788">
      <c r="B788" s="12"/>
      <c r="C788" s="77"/>
      <c r="G788" s="12"/>
    </row>
    <row r="789">
      <c r="B789" s="12"/>
      <c r="C789" s="77"/>
      <c r="G789" s="12"/>
    </row>
    <row r="790">
      <c r="B790" s="12"/>
      <c r="C790" s="77"/>
      <c r="G790" s="12"/>
    </row>
    <row r="791">
      <c r="B791" s="12"/>
      <c r="C791" s="77"/>
      <c r="G791" s="12"/>
    </row>
    <row r="792">
      <c r="B792" s="12"/>
      <c r="C792" s="77"/>
      <c r="G792" s="12"/>
    </row>
    <row r="793">
      <c r="B793" s="12"/>
      <c r="C793" s="77"/>
      <c r="G793" s="12"/>
    </row>
    <row r="794">
      <c r="B794" s="12"/>
      <c r="C794" s="77"/>
      <c r="G794" s="12"/>
    </row>
    <row r="795">
      <c r="B795" s="12"/>
      <c r="C795" s="77"/>
      <c r="G795" s="12"/>
    </row>
    <row r="796">
      <c r="B796" s="12"/>
      <c r="C796" s="77"/>
      <c r="G796" s="12"/>
    </row>
    <row r="797">
      <c r="B797" s="12"/>
      <c r="C797" s="77"/>
      <c r="G797" s="12"/>
    </row>
    <row r="798">
      <c r="B798" s="12"/>
      <c r="C798" s="77"/>
      <c r="G798" s="12"/>
    </row>
    <row r="799">
      <c r="B799" s="12"/>
      <c r="C799" s="77"/>
      <c r="G799" s="12"/>
    </row>
    <row r="800">
      <c r="B800" s="12"/>
      <c r="C800" s="77"/>
      <c r="G800" s="12"/>
    </row>
    <row r="801">
      <c r="B801" s="12"/>
      <c r="C801" s="77"/>
      <c r="G801" s="12"/>
    </row>
    <row r="802">
      <c r="B802" s="12"/>
      <c r="C802" s="77"/>
      <c r="G802" s="12"/>
    </row>
    <row r="803">
      <c r="B803" s="12"/>
      <c r="C803" s="77"/>
      <c r="G803" s="12"/>
    </row>
    <row r="804">
      <c r="B804" s="12"/>
      <c r="C804" s="77"/>
      <c r="G804" s="12"/>
    </row>
    <row r="805">
      <c r="B805" s="12"/>
      <c r="C805" s="77"/>
      <c r="G805" s="12"/>
    </row>
    <row r="806">
      <c r="B806" s="12"/>
      <c r="C806" s="77"/>
      <c r="G806" s="12"/>
    </row>
    <row r="807">
      <c r="B807" s="12"/>
      <c r="C807" s="77"/>
      <c r="G807" s="12"/>
    </row>
    <row r="808">
      <c r="B808" s="12"/>
      <c r="C808" s="77"/>
      <c r="G808" s="12"/>
    </row>
    <row r="809">
      <c r="B809" s="12"/>
      <c r="C809" s="77"/>
      <c r="G809" s="12"/>
    </row>
    <row r="810">
      <c r="B810" s="12"/>
      <c r="C810" s="77"/>
      <c r="G810" s="12"/>
    </row>
    <row r="811">
      <c r="B811" s="12"/>
      <c r="C811" s="77"/>
      <c r="G811" s="12"/>
    </row>
    <row r="812">
      <c r="B812" s="12"/>
      <c r="C812" s="77"/>
      <c r="G812" s="12"/>
    </row>
    <row r="813">
      <c r="B813" s="12"/>
      <c r="C813" s="77"/>
      <c r="G813" s="12"/>
    </row>
    <row r="814">
      <c r="B814" s="12"/>
      <c r="C814" s="77"/>
      <c r="G814" s="12"/>
    </row>
    <row r="815">
      <c r="B815" s="12"/>
      <c r="C815" s="77"/>
      <c r="G815" s="12"/>
    </row>
    <row r="816">
      <c r="B816" s="12"/>
      <c r="C816" s="77"/>
      <c r="G816" s="12"/>
    </row>
    <row r="817">
      <c r="B817" s="12"/>
      <c r="C817" s="77"/>
      <c r="G817" s="12"/>
    </row>
    <row r="818">
      <c r="B818" s="12"/>
      <c r="C818" s="77"/>
      <c r="G818" s="12"/>
    </row>
    <row r="819">
      <c r="B819" s="12"/>
      <c r="C819" s="77"/>
      <c r="G819" s="12"/>
    </row>
    <row r="820">
      <c r="B820" s="12"/>
      <c r="C820" s="77"/>
      <c r="G820" s="12"/>
    </row>
    <row r="821">
      <c r="B821" s="12"/>
      <c r="C821" s="77"/>
      <c r="G821" s="12"/>
    </row>
    <row r="822">
      <c r="B822" s="12"/>
      <c r="C822" s="77"/>
      <c r="G822" s="12"/>
    </row>
    <row r="823">
      <c r="B823" s="12"/>
      <c r="C823" s="77"/>
      <c r="G823" s="12"/>
    </row>
    <row r="824">
      <c r="B824" s="12"/>
      <c r="C824" s="77"/>
      <c r="G824" s="12"/>
    </row>
    <row r="825">
      <c r="B825" s="12"/>
      <c r="C825" s="77"/>
      <c r="G825" s="12"/>
    </row>
    <row r="826">
      <c r="B826" s="12"/>
      <c r="C826" s="77"/>
      <c r="G826" s="12"/>
    </row>
    <row r="827">
      <c r="B827" s="12"/>
      <c r="C827" s="77"/>
      <c r="G827" s="12"/>
    </row>
    <row r="828">
      <c r="B828" s="12"/>
      <c r="C828" s="77"/>
      <c r="G828" s="12"/>
    </row>
    <row r="829">
      <c r="B829" s="12"/>
      <c r="C829" s="77"/>
      <c r="G829" s="12"/>
    </row>
    <row r="830">
      <c r="B830" s="12"/>
      <c r="C830" s="77"/>
      <c r="G830" s="12"/>
    </row>
    <row r="831">
      <c r="B831" s="12"/>
      <c r="C831" s="77"/>
      <c r="G831" s="12"/>
    </row>
    <row r="832">
      <c r="B832" s="12"/>
      <c r="C832" s="77"/>
      <c r="G832" s="12"/>
    </row>
    <row r="833">
      <c r="B833" s="12"/>
      <c r="C833" s="77"/>
      <c r="G833" s="12"/>
    </row>
    <row r="834">
      <c r="B834" s="12"/>
      <c r="C834" s="77"/>
      <c r="G834" s="12"/>
    </row>
    <row r="835">
      <c r="B835" s="12"/>
      <c r="C835" s="77"/>
      <c r="G835" s="12"/>
    </row>
    <row r="836">
      <c r="B836" s="12"/>
      <c r="C836" s="77"/>
      <c r="G836" s="12"/>
    </row>
    <row r="837">
      <c r="B837" s="12"/>
      <c r="C837" s="77"/>
      <c r="G837" s="12"/>
    </row>
    <row r="838">
      <c r="B838" s="12"/>
      <c r="C838" s="77"/>
      <c r="G838" s="12"/>
    </row>
    <row r="839">
      <c r="B839" s="12"/>
      <c r="C839" s="77"/>
      <c r="G839" s="12"/>
    </row>
    <row r="840">
      <c r="B840" s="12"/>
      <c r="C840" s="77"/>
      <c r="G840" s="12"/>
    </row>
    <row r="841">
      <c r="B841" s="12"/>
      <c r="C841" s="77"/>
      <c r="G841" s="12"/>
    </row>
    <row r="842">
      <c r="B842" s="12"/>
      <c r="C842" s="77"/>
      <c r="G842" s="12"/>
    </row>
    <row r="843">
      <c r="B843" s="12"/>
      <c r="C843" s="77"/>
      <c r="G843" s="12"/>
    </row>
    <row r="844">
      <c r="B844" s="12"/>
      <c r="C844" s="77"/>
      <c r="G844" s="12"/>
    </row>
    <row r="845">
      <c r="B845" s="12"/>
      <c r="C845" s="77"/>
      <c r="G845" s="12"/>
    </row>
    <row r="846">
      <c r="B846" s="12"/>
      <c r="C846" s="77"/>
      <c r="G846" s="12"/>
    </row>
    <row r="847">
      <c r="B847" s="12"/>
      <c r="C847" s="77"/>
      <c r="G847" s="12"/>
    </row>
    <row r="848">
      <c r="B848" s="12"/>
      <c r="C848" s="77"/>
      <c r="G848" s="12"/>
    </row>
    <row r="849">
      <c r="B849" s="12"/>
      <c r="C849" s="77"/>
      <c r="G849" s="12"/>
    </row>
    <row r="850">
      <c r="B850" s="12"/>
      <c r="C850" s="77"/>
      <c r="G850" s="12"/>
    </row>
    <row r="851">
      <c r="B851" s="12"/>
      <c r="C851" s="77"/>
      <c r="G851" s="12"/>
    </row>
    <row r="852">
      <c r="B852" s="12"/>
      <c r="C852" s="77"/>
      <c r="G852" s="12"/>
    </row>
    <row r="853">
      <c r="B853" s="12"/>
      <c r="C853" s="77"/>
      <c r="G853" s="12"/>
    </row>
    <row r="854">
      <c r="B854" s="12"/>
      <c r="C854" s="77"/>
      <c r="G854" s="12"/>
    </row>
    <row r="855">
      <c r="B855" s="12"/>
      <c r="C855" s="77"/>
      <c r="G855" s="12"/>
    </row>
    <row r="856">
      <c r="B856" s="12"/>
      <c r="C856" s="77"/>
      <c r="G856" s="12"/>
    </row>
    <row r="857">
      <c r="B857" s="12"/>
      <c r="C857" s="77"/>
      <c r="G857" s="12"/>
    </row>
    <row r="858">
      <c r="B858" s="12"/>
      <c r="C858" s="77"/>
      <c r="G858" s="12"/>
    </row>
    <row r="859">
      <c r="B859" s="12"/>
      <c r="C859" s="77"/>
      <c r="G859" s="12"/>
    </row>
    <row r="860">
      <c r="B860" s="12"/>
      <c r="C860" s="77"/>
      <c r="G860" s="12"/>
    </row>
    <row r="861">
      <c r="B861" s="12"/>
      <c r="C861" s="77"/>
      <c r="G861" s="12"/>
    </row>
    <row r="862">
      <c r="B862" s="12"/>
      <c r="C862" s="77"/>
      <c r="G862" s="12"/>
    </row>
    <row r="863">
      <c r="B863" s="12"/>
      <c r="C863" s="77"/>
      <c r="G863" s="12"/>
    </row>
    <row r="864">
      <c r="B864" s="12"/>
      <c r="C864" s="77"/>
      <c r="G864" s="12"/>
    </row>
    <row r="865">
      <c r="B865" s="12"/>
      <c r="C865" s="77"/>
      <c r="G865" s="12"/>
    </row>
    <row r="866">
      <c r="B866" s="12"/>
      <c r="C866" s="77"/>
      <c r="G866" s="12"/>
    </row>
    <row r="867">
      <c r="B867" s="12"/>
      <c r="C867" s="77"/>
      <c r="G867" s="12"/>
    </row>
    <row r="868">
      <c r="B868" s="12"/>
      <c r="C868" s="77"/>
      <c r="G868" s="12"/>
    </row>
    <row r="869">
      <c r="B869" s="12"/>
      <c r="C869" s="77"/>
      <c r="G869" s="12"/>
    </row>
    <row r="870">
      <c r="B870" s="12"/>
      <c r="C870" s="77"/>
      <c r="G870" s="12"/>
    </row>
    <row r="871">
      <c r="B871" s="12"/>
      <c r="C871" s="77"/>
      <c r="G871" s="12"/>
    </row>
    <row r="872">
      <c r="B872" s="12"/>
      <c r="C872" s="77"/>
      <c r="G872" s="12"/>
    </row>
    <row r="873">
      <c r="B873" s="12"/>
      <c r="C873" s="77"/>
      <c r="G873" s="12"/>
    </row>
    <row r="874">
      <c r="B874" s="12"/>
      <c r="C874" s="77"/>
      <c r="G874" s="12"/>
    </row>
    <row r="875">
      <c r="B875" s="12"/>
      <c r="C875" s="77"/>
      <c r="G875" s="12"/>
    </row>
    <row r="876">
      <c r="B876" s="12"/>
      <c r="C876" s="77"/>
      <c r="G876" s="12"/>
    </row>
    <row r="877">
      <c r="B877" s="12"/>
      <c r="C877" s="77"/>
      <c r="G877" s="12"/>
    </row>
    <row r="878">
      <c r="B878" s="12"/>
      <c r="C878" s="77"/>
      <c r="G878" s="12"/>
    </row>
    <row r="879">
      <c r="B879" s="12"/>
      <c r="C879" s="77"/>
      <c r="G879" s="12"/>
    </row>
    <row r="880">
      <c r="B880" s="12"/>
      <c r="C880" s="77"/>
      <c r="G880" s="12"/>
    </row>
    <row r="881">
      <c r="B881" s="12"/>
      <c r="C881" s="77"/>
      <c r="G881" s="12"/>
    </row>
    <row r="882">
      <c r="B882" s="12"/>
      <c r="C882" s="77"/>
      <c r="G882" s="12"/>
    </row>
    <row r="883">
      <c r="B883" s="12"/>
      <c r="C883" s="77"/>
      <c r="G883" s="12"/>
    </row>
    <row r="884">
      <c r="B884" s="12"/>
      <c r="C884" s="77"/>
      <c r="G884" s="12"/>
    </row>
    <row r="885">
      <c r="B885" s="12"/>
      <c r="C885" s="77"/>
      <c r="G885" s="12"/>
    </row>
    <row r="886">
      <c r="B886" s="12"/>
      <c r="C886" s="77"/>
      <c r="G886" s="12"/>
    </row>
    <row r="887">
      <c r="B887" s="12"/>
      <c r="C887" s="77"/>
      <c r="G887" s="12"/>
    </row>
    <row r="888">
      <c r="B888" s="12"/>
      <c r="C888" s="77"/>
      <c r="G888" s="12"/>
    </row>
    <row r="889">
      <c r="B889" s="12"/>
      <c r="C889" s="77"/>
      <c r="G889" s="12"/>
    </row>
    <row r="890">
      <c r="B890" s="12"/>
      <c r="C890" s="77"/>
      <c r="G890" s="12"/>
    </row>
    <row r="891">
      <c r="B891" s="12"/>
      <c r="C891" s="77"/>
      <c r="G891" s="12"/>
    </row>
    <row r="892">
      <c r="B892" s="12"/>
      <c r="C892" s="77"/>
      <c r="G892" s="12"/>
    </row>
    <row r="893">
      <c r="B893" s="12"/>
      <c r="C893" s="77"/>
      <c r="G893" s="12"/>
    </row>
    <row r="894">
      <c r="B894" s="12"/>
      <c r="C894" s="77"/>
      <c r="G894" s="12"/>
    </row>
    <row r="895">
      <c r="B895" s="12"/>
      <c r="C895" s="77"/>
      <c r="G895" s="12"/>
    </row>
    <row r="896">
      <c r="B896" s="12"/>
      <c r="C896" s="77"/>
      <c r="G896" s="12"/>
    </row>
    <row r="897">
      <c r="B897" s="12"/>
      <c r="C897" s="77"/>
      <c r="G897" s="12"/>
    </row>
    <row r="898">
      <c r="B898" s="12"/>
      <c r="C898" s="77"/>
      <c r="G898" s="12"/>
    </row>
    <row r="899">
      <c r="B899" s="12"/>
      <c r="C899" s="77"/>
      <c r="G899" s="12"/>
    </row>
    <row r="900">
      <c r="B900" s="12"/>
      <c r="C900" s="77"/>
      <c r="G900" s="12"/>
    </row>
    <row r="901">
      <c r="B901" s="12"/>
      <c r="C901" s="77"/>
      <c r="G901" s="12"/>
    </row>
    <row r="902">
      <c r="B902" s="12"/>
      <c r="C902" s="77"/>
      <c r="G902" s="12"/>
    </row>
    <row r="903">
      <c r="B903" s="12"/>
      <c r="C903" s="77"/>
      <c r="G903" s="12"/>
    </row>
    <row r="904">
      <c r="B904" s="12"/>
      <c r="C904" s="77"/>
      <c r="G904" s="12"/>
    </row>
    <row r="905">
      <c r="B905" s="12"/>
      <c r="C905" s="77"/>
      <c r="G905" s="12"/>
    </row>
    <row r="906">
      <c r="B906" s="12"/>
      <c r="C906" s="77"/>
      <c r="G906" s="12"/>
    </row>
    <row r="907">
      <c r="B907" s="12"/>
      <c r="C907" s="77"/>
      <c r="G907" s="12"/>
    </row>
    <row r="908">
      <c r="B908" s="12"/>
      <c r="C908" s="77"/>
      <c r="G908" s="12"/>
    </row>
    <row r="909">
      <c r="B909" s="12"/>
      <c r="C909" s="77"/>
      <c r="G909" s="12"/>
    </row>
    <row r="910">
      <c r="B910" s="12"/>
      <c r="C910" s="77"/>
      <c r="G910" s="12"/>
    </row>
    <row r="911">
      <c r="B911" s="12"/>
      <c r="C911" s="77"/>
      <c r="G911" s="12"/>
    </row>
    <row r="912">
      <c r="B912" s="12"/>
      <c r="C912" s="77"/>
      <c r="G912" s="12"/>
    </row>
    <row r="913">
      <c r="B913" s="12"/>
      <c r="C913" s="77"/>
      <c r="G913" s="12"/>
    </row>
    <row r="914">
      <c r="B914" s="12"/>
      <c r="C914" s="77"/>
      <c r="G914" s="12"/>
    </row>
    <row r="915">
      <c r="B915" s="12"/>
      <c r="C915" s="77"/>
      <c r="G915" s="12"/>
    </row>
    <row r="916">
      <c r="B916" s="12"/>
      <c r="C916" s="77"/>
      <c r="G916" s="12"/>
    </row>
    <row r="917">
      <c r="B917" s="12"/>
      <c r="C917" s="77"/>
      <c r="G917" s="12"/>
    </row>
    <row r="918">
      <c r="B918" s="12"/>
      <c r="C918" s="77"/>
      <c r="G918" s="12"/>
    </row>
    <row r="919">
      <c r="B919" s="12"/>
      <c r="C919" s="77"/>
      <c r="G919" s="12"/>
    </row>
    <row r="920">
      <c r="B920" s="12"/>
      <c r="C920" s="77"/>
      <c r="G920" s="12"/>
    </row>
    <row r="921">
      <c r="B921" s="12"/>
      <c r="C921" s="77"/>
      <c r="G921" s="12"/>
    </row>
    <row r="922">
      <c r="B922" s="12"/>
      <c r="C922" s="77"/>
      <c r="G922" s="12"/>
    </row>
    <row r="923">
      <c r="B923" s="12"/>
      <c r="C923" s="77"/>
      <c r="G923" s="12"/>
    </row>
    <row r="924">
      <c r="B924" s="12"/>
      <c r="C924" s="77"/>
      <c r="G924" s="12"/>
    </row>
    <row r="925">
      <c r="B925" s="12"/>
      <c r="C925" s="77"/>
      <c r="G925" s="12"/>
    </row>
    <row r="926">
      <c r="B926" s="12"/>
      <c r="C926" s="77"/>
      <c r="G926" s="12"/>
    </row>
    <row r="927">
      <c r="B927" s="12"/>
      <c r="C927" s="77"/>
      <c r="G927" s="12"/>
    </row>
    <row r="928">
      <c r="B928" s="12"/>
      <c r="C928" s="77"/>
      <c r="G928" s="12"/>
    </row>
    <row r="929">
      <c r="B929" s="12"/>
      <c r="C929" s="77"/>
      <c r="G929" s="12"/>
    </row>
    <row r="930">
      <c r="B930" s="12"/>
      <c r="C930" s="77"/>
      <c r="G930" s="12"/>
    </row>
    <row r="931">
      <c r="B931" s="12"/>
      <c r="C931" s="77"/>
      <c r="G931" s="12"/>
    </row>
    <row r="932">
      <c r="B932" s="12"/>
      <c r="C932" s="77"/>
      <c r="G932" s="12"/>
    </row>
    <row r="933">
      <c r="B933" s="12"/>
      <c r="C933" s="77"/>
      <c r="G933" s="12"/>
    </row>
    <row r="934">
      <c r="B934" s="12"/>
      <c r="C934" s="77"/>
      <c r="G934" s="12"/>
    </row>
    <row r="935">
      <c r="B935" s="12"/>
      <c r="C935" s="77"/>
      <c r="G935" s="12"/>
    </row>
    <row r="936">
      <c r="B936" s="12"/>
      <c r="C936" s="77"/>
      <c r="G936" s="12"/>
    </row>
    <row r="937">
      <c r="B937" s="12"/>
      <c r="C937" s="77"/>
      <c r="G937" s="12"/>
    </row>
    <row r="938">
      <c r="B938" s="12"/>
      <c r="C938" s="77"/>
      <c r="G938" s="12"/>
    </row>
    <row r="939">
      <c r="B939" s="12"/>
      <c r="C939" s="77"/>
      <c r="G939" s="12"/>
    </row>
    <row r="940">
      <c r="B940" s="12"/>
      <c r="C940" s="77"/>
      <c r="G940" s="12"/>
    </row>
    <row r="941">
      <c r="B941" s="12"/>
      <c r="C941" s="77"/>
      <c r="G941" s="12"/>
    </row>
    <row r="942">
      <c r="B942" s="12"/>
      <c r="C942" s="77"/>
      <c r="G942" s="12"/>
    </row>
    <row r="943">
      <c r="B943" s="12"/>
      <c r="C943" s="77"/>
      <c r="G943" s="12"/>
    </row>
    <row r="944">
      <c r="B944" s="12"/>
      <c r="C944" s="77"/>
      <c r="G944" s="12"/>
    </row>
    <row r="945">
      <c r="B945" s="12"/>
      <c r="C945" s="77"/>
      <c r="G945" s="12"/>
    </row>
    <row r="946">
      <c r="B946" s="12"/>
      <c r="C946" s="77"/>
      <c r="G946" s="12"/>
    </row>
    <row r="947">
      <c r="B947" s="12"/>
      <c r="C947" s="77"/>
      <c r="G947" s="12"/>
    </row>
    <row r="948">
      <c r="B948" s="12"/>
      <c r="C948" s="77"/>
      <c r="G948" s="12"/>
    </row>
    <row r="949">
      <c r="B949" s="12"/>
      <c r="C949" s="77"/>
      <c r="G949" s="12"/>
    </row>
    <row r="950">
      <c r="B950" s="12"/>
      <c r="C950" s="77"/>
      <c r="G950" s="12"/>
    </row>
    <row r="951">
      <c r="B951" s="12"/>
      <c r="C951" s="77"/>
      <c r="G951" s="12"/>
    </row>
    <row r="952">
      <c r="B952" s="12"/>
      <c r="C952" s="77"/>
      <c r="G952" s="12"/>
    </row>
    <row r="953">
      <c r="B953" s="12"/>
      <c r="C953" s="77"/>
      <c r="G953" s="12"/>
    </row>
    <row r="954">
      <c r="B954" s="12"/>
      <c r="C954" s="77"/>
      <c r="G954" s="12"/>
    </row>
    <row r="955">
      <c r="B955" s="12"/>
      <c r="C955" s="77"/>
      <c r="G955" s="12"/>
    </row>
    <row r="956">
      <c r="B956" s="12"/>
      <c r="C956" s="77"/>
      <c r="G956" s="12"/>
    </row>
    <row r="957">
      <c r="B957" s="12"/>
      <c r="C957" s="77"/>
      <c r="G957" s="12"/>
    </row>
    <row r="958">
      <c r="B958" s="12"/>
      <c r="C958" s="77"/>
      <c r="G958" s="12"/>
    </row>
    <row r="959">
      <c r="B959" s="12"/>
      <c r="C959" s="77"/>
      <c r="G959" s="12"/>
    </row>
    <row r="960">
      <c r="B960" s="12"/>
      <c r="C960" s="77"/>
      <c r="G960" s="12"/>
    </row>
    <row r="961">
      <c r="B961" s="12"/>
      <c r="C961" s="77"/>
      <c r="G961" s="12"/>
    </row>
    <row r="962">
      <c r="B962" s="12"/>
      <c r="C962" s="77"/>
      <c r="G962" s="12"/>
    </row>
    <row r="963">
      <c r="B963" s="12"/>
      <c r="C963" s="77"/>
      <c r="G963" s="12"/>
    </row>
    <row r="964">
      <c r="B964" s="12"/>
      <c r="C964" s="77"/>
      <c r="G964" s="12"/>
    </row>
    <row r="965">
      <c r="B965" s="12"/>
      <c r="C965" s="77"/>
      <c r="G965" s="12"/>
    </row>
    <row r="966">
      <c r="B966" s="12"/>
      <c r="C966" s="77"/>
      <c r="G966" s="12"/>
    </row>
    <row r="967">
      <c r="B967" s="12"/>
      <c r="C967" s="77"/>
      <c r="G967" s="12"/>
    </row>
    <row r="968">
      <c r="B968" s="12"/>
      <c r="C968" s="77"/>
      <c r="G968" s="12"/>
    </row>
    <row r="969">
      <c r="B969" s="12"/>
      <c r="C969" s="77"/>
      <c r="G969" s="12"/>
    </row>
    <row r="970">
      <c r="B970" s="12"/>
      <c r="C970" s="77"/>
      <c r="G970" s="12"/>
    </row>
    <row r="971">
      <c r="B971" s="12"/>
      <c r="C971" s="77"/>
      <c r="G971" s="12"/>
    </row>
    <row r="972">
      <c r="B972" s="12"/>
      <c r="C972" s="77"/>
      <c r="G972" s="12"/>
    </row>
    <row r="973">
      <c r="B973" s="12"/>
      <c r="C973" s="77"/>
      <c r="G973" s="12"/>
    </row>
    <row r="974">
      <c r="B974" s="12"/>
      <c r="C974" s="77"/>
      <c r="G974" s="12"/>
    </row>
    <row r="975">
      <c r="B975" s="12"/>
      <c r="C975" s="77"/>
      <c r="G975" s="12"/>
    </row>
    <row r="976">
      <c r="B976" s="12"/>
      <c r="C976" s="77"/>
      <c r="G976" s="12"/>
    </row>
    <row r="977">
      <c r="B977" s="12"/>
      <c r="C977" s="77"/>
      <c r="G977" s="12"/>
    </row>
    <row r="978">
      <c r="B978" s="12"/>
      <c r="C978" s="77"/>
      <c r="G978" s="12"/>
    </row>
    <row r="979">
      <c r="B979" s="12"/>
      <c r="C979" s="77"/>
      <c r="G979" s="12"/>
    </row>
    <row r="980">
      <c r="B980" s="12"/>
      <c r="C980" s="77"/>
      <c r="G980" s="12"/>
    </row>
    <row r="981">
      <c r="B981" s="12"/>
      <c r="C981" s="77"/>
      <c r="G981" s="12"/>
    </row>
    <row r="982">
      <c r="B982" s="12"/>
      <c r="C982" s="77"/>
      <c r="G982" s="12"/>
    </row>
    <row r="983">
      <c r="B983" s="12"/>
      <c r="C983" s="77"/>
      <c r="G983" s="12"/>
    </row>
    <row r="984">
      <c r="B984" s="12"/>
      <c r="C984" s="77"/>
      <c r="G984" s="12"/>
    </row>
    <row r="985">
      <c r="B985" s="12"/>
      <c r="C985" s="77"/>
      <c r="G985" s="12"/>
    </row>
    <row r="986">
      <c r="B986" s="12"/>
      <c r="C986" s="77"/>
      <c r="G986" s="12"/>
    </row>
    <row r="987">
      <c r="B987" s="12"/>
      <c r="C987" s="77"/>
      <c r="G987" s="12"/>
    </row>
    <row r="988">
      <c r="B988" s="12"/>
      <c r="C988" s="77"/>
      <c r="G988" s="12"/>
    </row>
    <row r="989">
      <c r="B989" s="12"/>
      <c r="C989" s="77"/>
      <c r="G989" s="12"/>
    </row>
    <row r="990">
      <c r="B990" s="12"/>
      <c r="C990" s="77"/>
      <c r="G990" s="12"/>
    </row>
    <row r="991">
      <c r="B991" s="12"/>
      <c r="C991" s="77"/>
      <c r="G991" s="12"/>
    </row>
    <row r="992">
      <c r="B992" s="12"/>
      <c r="C992" s="77"/>
      <c r="G992" s="12"/>
    </row>
    <row r="993">
      <c r="B993" s="12"/>
      <c r="C993" s="77"/>
      <c r="G993" s="12"/>
    </row>
  </sheetData>
  <dataValidations>
    <dataValidation type="custom" allowBlank="1" showDropDown="1" sqref="A2:A122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7.25"/>
    <col customWidth="1" min="3" max="3" width="19.38"/>
    <col customWidth="1" min="4" max="4" width="46.63"/>
    <col customWidth="1" min="5" max="5" width="20.13"/>
    <col customWidth="1" min="6" max="6" width="19.38"/>
    <col customWidth="1" min="7" max="7" width="19.13"/>
    <col customWidth="1" min="9" max="9" width="17.5"/>
    <col customWidth="1" min="10" max="10" width="19.88"/>
    <col customWidth="1" min="11" max="11" width="17.5"/>
    <col customWidth="1" min="14" max="14" width="19.25"/>
  </cols>
  <sheetData>
    <row r="1">
      <c r="A1" s="78" t="s">
        <v>5439</v>
      </c>
      <c r="B1" s="79" t="s">
        <v>5440</v>
      </c>
      <c r="C1" s="80" t="s">
        <v>39</v>
      </c>
      <c r="D1" s="79" t="s">
        <v>2</v>
      </c>
      <c r="E1" s="79" t="s">
        <v>187</v>
      </c>
      <c r="F1" s="79" t="s">
        <v>188</v>
      </c>
      <c r="G1" s="81" t="s">
        <v>5441</v>
      </c>
      <c r="H1" s="81" t="s">
        <v>5442</v>
      </c>
      <c r="I1" s="81" t="s">
        <v>185</v>
      </c>
      <c r="J1" s="81" t="s">
        <v>5443</v>
      </c>
      <c r="K1" s="82" t="s">
        <v>5444</v>
      </c>
      <c r="N1" s="19" t="s">
        <v>179</v>
      </c>
    </row>
    <row r="2">
      <c r="A2" s="83" t="s">
        <v>5445</v>
      </c>
      <c r="B2" s="84" t="s">
        <v>5446</v>
      </c>
      <c r="C2" s="85" t="s">
        <v>200</v>
      </c>
      <c r="D2" s="84" t="s">
        <v>199</v>
      </c>
      <c r="E2" s="84" t="s">
        <v>5447</v>
      </c>
      <c r="F2" s="86" t="s">
        <v>200</v>
      </c>
      <c r="G2" s="63">
        <v>1.0</v>
      </c>
      <c r="H2" s="63" t="s">
        <v>5448</v>
      </c>
      <c r="I2" s="63" t="s">
        <v>5449</v>
      </c>
      <c r="J2" s="87"/>
      <c r="K2" s="88"/>
      <c r="L2" s="89"/>
      <c r="M2" s="89"/>
      <c r="N2" s="26" t="s">
        <v>208</v>
      </c>
      <c r="O2" s="89"/>
      <c r="P2" s="89"/>
      <c r="Q2" s="89"/>
      <c r="R2" s="89"/>
      <c r="S2" s="89"/>
      <c r="T2" s="89"/>
      <c r="U2" s="89"/>
      <c r="V2" s="89"/>
      <c r="W2" s="89"/>
      <c r="X2" s="89"/>
      <c r="Y2" s="89"/>
      <c r="Z2" s="89"/>
      <c r="AA2" s="89"/>
      <c r="AB2" s="89"/>
      <c r="AC2" s="89"/>
      <c r="AD2" s="89"/>
    </row>
    <row r="3">
      <c r="A3" s="90" t="s">
        <v>5445</v>
      </c>
      <c r="B3" s="91" t="s">
        <v>5450</v>
      </c>
      <c r="C3" s="92" t="s">
        <v>555</v>
      </c>
      <c r="D3" s="91" t="s">
        <v>556</v>
      </c>
      <c r="E3" s="93" t="s">
        <v>1</v>
      </c>
      <c r="F3" s="93" t="s">
        <v>555</v>
      </c>
      <c r="G3" s="69">
        <v>5.0</v>
      </c>
      <c r="H3" s="69" t="s">
        <v>5448</v>
      </c>
      <c r="I3" s="69" t="s">
        <v>5449</v>
      </c>
      <c r="J3" s="94"/>
      <c r="K3" s="95"/>
      <c r="L3" s="89"/>
      <c r="M3" s="89"/>
      <c r="N3" s="26" t="s">
        <v>5451</v>
      </c>
      <c r="O3" s="89"/>
      <c r="P3" s="89"/>
      <c r="Q3" s="89"/>
      <c r="R3" s="89"/>
      <c r="S3" s="89"/>
      <c r="T3" s="89"/>
      <c r="U3" s="89"/>
      <c r="V3" s="89"/>
      <c r="W3" s="89"/>
      <c r="X3" s="89"/>
      <c r="Y3" s="89"/>
      <c r="Z3" s="89"/>
      <c r="AA3" s="89"/>
      <c r="AB3" s="89"/>
      <c r="AC3" s="89"/>
      <c r="AD3" s="89"/>
    </row>
    <row r="4">
      <c r="A4" s="83" t="s">
        <v>5452</v>
      </c>
      <c r="B4" s="84" t="s">
        <v>5446</v>
      </c>
      <c r="C4" s="96" t="s">
        <v>5453</v>
      </c>
      <c r="D4" s="97" t="s">
        <v>5352</v>
      </c>
      <c r="E4" s="98" t="s">
        <v>5447</v>
      </c>
      <c r="F4" s="86" t="s">
        <v>5453</v>
      </c>
      <c r="G4" s="63">
        <v>1.0</v>
      </c>
      <c r="H4" s="63" t="s">
        <v>5448</v>
      </c>
      <c r="I4" s="63" t="s">
        <v>5449</v>
      </c>
      <c r="J4" s="87"/>
      <c r="K4" s="88">
        <v>720.0</v>
      </c>
      <c r="L4" s="89"/>
      <c r="M4" s="89"/>
      <c r="N4" s="26" t="s">
        <v>220</v>
      </c>
      <c r="O4" s="89"/>
      <c r="P4" s="89"/>
      <c r="Q4" s="89"/>
      <c r="R4" s="89"/>
      <c r="S4" s="89"/>
      <c r="T4" s="89"/>
      <c r="U4" s="89"/>
      <c r="V4" s="89"/>
      <c r="W4" s="89"/>
      <c r="X4" s="89"/>
      <c r="Y4" s="89"/>
      <c r="Z4" s="89"/>
      <c r="AA4" s="89"/>
      <c r="AB4" s="89"/>
      <c r="AC4" s="89"/>
      <c r="AD4" s="89"/>
    </row>
    <row r="5">
      <c r="A5" s="90" t="s">
        <v>5452</v>
      </c>
      <c r="B5" s="91" t="s">
        <v>5450</v>
      </c>
      <c r="C5" s="92" t="s">
        <v>5454</v>
      </c>
      <c r="D5" s="99" t="s">
        <v>5455</v>
      </c>
      <c r="E5" s="93" t="s">
        <v>1</v>
      </c>
      <c r="F5" s="93" t="s">
        <v>5453</v>
      </c>
      <c r="G5" s="69">
        <v>5.0</v>
      </c>
      <c r="H5" s="69" t="s">
        <v>5448</v>
      </c>
      <c r="I5" s="69" t="s">
        <v>5449</v>
      </c>
      <c r="J5" s="94"/>
      <c r="K5" s="95"/>
      <c r="L5" s="89"/>
      <c r="M5" s="89"/>
      <c r="N5" s="26" t="s">
        <v>201</v>
      </c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</row>
    <row r="6">
      <c r="A6" s="83" t="s">
        <v>5452</v>
      </c>
      <c r="B6" s="84" t="s">
        <v>5450</v>
      </c>
      <c r="C6" s="85" t="s">
        <v>5456</v>
      </c>
      <c r="D6" s="97" t="s">
        <v>5457</v>
      </c>
      <c r="E6" s="86" t="s">
        <v>1</v>
      </c>
      <c r="F6" s="86" t="s">
        <v>5423</v>
      </c>
      <c r="G6" s="63">
        <v>5.0</v>
      </c>
      <c r="H6" s="63" t="s">
        <v>5448</v>
      </c>
      <c r="I6" s="63" t="s">
        <v>5449</v>
      </c>
      <c r="J6" s="87"/>
      <c r="K6" s="88"/>
      <c r="L6" s="89"/>
      <c r="M6" s="89"/>
      <c r="N6" s="26" t="s">
        <v>5458</v>
      </c>
      <c r="O6" s="89"/>
      <c r="P6" s="89"/>
      <c r="Q6" s="89"/>
      <c r="R6" s="89"/>
      <c r="S6" s="89"/>
      <c r="T6" s="89"/>
      <c r="U6" s="89"/>
      <c r="V6" s="89"/>
      <c r="W6" s="89"/>
      <c r="X6" s="89"/>
      <c r="Y6" s="89"/>
      <c r="Z6" s="89"/>
      <c r="AA6" s="89"/>
      <c r="AB6" s="89"/>
      <c r="AC6" s="89"/>
      <c r="AD6" s="89"/>
    </row>
    <row r="7">
      <c r="A7" s="90" t="s">
        <v>5452</v>
      </c>
      <c r="B7" s="91" t="s">
        <v>5446</v>
      </c>
      <c r="C7" s="100" t="s">
        <v>5423</v>
      </c>
      <c r="D7" s="99" t="s">
        <v>5324</v>
      </c>
      <c r="E7" s="101" t="s">
        <v>5447</v>
      </c>
      <c r="F7" s="93" t="s">
        <v>5423</v>
      </c>
      <c r="G7" s="69">
        <v>1.0</v>
      </c>
      <c r="H7" s="69" t="s">
        <v>5448</v>
      </c>
      <c r="I7" s="69" t="s">
        <v>5449</v>
      </c>
      <c r="J7" s="94"/>
      <c r="K7" s="95">
        <v>720.0</v>
      </c>
      <c r="L7" s="89"/>
      <c r="M7" s="89"/>
      <c r="N7" s="89"/>
      <c r="O7" s="89"/>
      <c r="P7" s="89"/>
      <c r="Q7" s="89"/>
      <c r="R7" s="89"/>
      <c r="S7" s="89"/>
      <c r="T7" s="89"/>
      <c r="U7" s="89"/>
      <c r="V7" s="89"/>
      <c r="W7" s="89"/>
      <c r="X7" s="89"/>
      <c r="Y7" s="89"/>
      <c r="Z7" s="89"/>
      <c r="AA7" s="89"/>
      <c r="AB7" s="89"/>
      <c r="AC7" s="89"/>
      <c r="AD7" s="89"/>
    </row>
    <row r="8">
      <c r="A8" s="83" t="s">
        <v>5452</v>
      </c>
      <c r="B8" s="84" t="s">
        <v>5450</v>
      </c>
      <c r="C8" s="102" t="s">
        <v>5459</v>
      </c>
      <c r="D8" s="97" t="s">
        <v>5460</v>
      </c>
      <c r="E8" s="86" t="s">
        <v>1</v>
      </c>
      <c r="F8" s="86" t="s">
        <v>5461</v>
      </c>
      <c r="G8" s="63">
        <v>5.0</v>
      </c>
      <c r="H8" s="63" t="s">
        <v>5448</v>
      </c>
      <c r="I8" s="63" t="s">
        <v>5449</v>
      </c>
      <c r="J8" s="87"/>
      <c r="K8" s="88"/>
      <c r="L8" s="89"/>
      <c r="M8" s="89"/>
      <c r="N8" s="89"/>
      <c r="O8" s="89"/>
      <c r="P8" s="89"/>
      <c r="Q8" s="89"/>
      <c r="R8" s="89"/>
      <c r="S8" s="89"/>
      <c r="T8" s="89"/>
      <c r="U8" s="89"/>
      <c r="V8" s="89"/>
      <c r="W8" s="89"/>
      <c r="X8" s="89"/>
      <c r="Y8" s="89"/>
      <c r="Z8" s="89"/>
      <c r="AA8" s="89"/>
      <c r="AB8" s="89"/>
      <c r="AC8" s="89"/>
      <c r="AD8" s="89"/>
    </row>
    <row r="9">
      <c r="A9" s="90" t="s">
        <v>5452</v>
      </c>
      <c r="B9" s="91" t="s">
        <v>5446</v>
      </c>
      <c r="C9" s="100" t="s">
        <v>5461</v>
      </c>
      <c r="D9" s="99" t="s">
        <v>5318</v>
      </c>
      <c r="E9" s="101" t="s">
        <v>5447</v>
      </c>
      <c r="F9" s="93" t="s">
        <v>5461</v>
      </c>
      <c r="G9" s="69">
        <v>1.0</v>
      </c>
      <c r="H9" s="69" t="s">
        <v>5448</v>
      </c>
      <c r="I9" s="69" t="s">
        <v>5449</v>
      </c>
      <c r="J9" s="94"/>
      <c r="K9" s="95">
        <v>720.0</v>
      </c>
      <c r="L9" s="89"/>
      <c r="M9" s="89"/>
      <c r="N9" s="89"/>
      <c r="O9" s="89"/>
      <c r="P9" s="89"/>
      <c r="Q9" s="89"/>
      <c r="R9" s="89"/>
      <c r="S9" s="89"/>
      <c r="T9" s="89"/>
      <c r="U9" s="89"/>
      <c r="V9" s="89"/>
      <c r="W9" s="89"/>
      <c r="X9" s="89"/>
      <c r="Y9" s="89"/>
      <c r="Z9" s="89"/>
      <c r="AA9" s="89"/>
      <c r="AB9" s="89"/>
      <c r="AC9" s="89"/>
      <c r="AD9" s="89"/>
    </row>
    <row r="10">
      <c r="A10" s="83" t="s">
        <v>5452</v>
      </c>
      <c r="B10" s="84" t="s">
        <v>5446</v>
      </c>
      <c r="C10" s="85" t="s">
        <v>5369</v>
      </c>
      <c r="D10" s="84" t="s">
        <v>206</v>
      </c>
      <c r="E10" s="84" t="s">
        <v>5447</v>
      </c>
      <c r="F10" s="86" t="s">
        <v>5369</v>
      </c>
      <c r="G10" s="63">
        <v>1.0</v>
      </c>
      <c r="H10" s="63" t="s">
        <v>5448</v>
      </c>
      <c r="I10" s="63" t="s">
        <v>5449</v>
      </c>
      <c r="J10" s="87"/>
      <c r="K10" s="88">
        <v>825.0</v>
      </c>
      <c r="L10" s="89"/>
      <c r="M10" s="89"/>
      <c r="N10" s="89"/>
      <c r="O10" s="89"/>
      <c r="P10" s="89"/>
      <c r="Q10" s="89"/>
      <c r="R10" s="89"/>
      <c r="S10" s="89"/>
      <c r="T10" s="89"/>
      <c r="U10" s="89"/>
      <c r="V10" s="89"/>
      <c r="W10" s="89"/>
      <c r="X10" s="89"/>
      <c r="Y10" s="89"/>
      <c r="Z10" s="89"/>
      <c r="AA10" s="89"/>
      <c r="AB10" s="89"/>
      <c r="AC10" s="89"/>
      <c r="AD10" s="89"/>
    </row>
    <row r="11">
      <c r="A11" s="90" t="s">
        <v>5452</v>
      </c>
      <c r="B11" s="91" t="s">
        <v>5450</v>
      </c>
      <c r="C11" s="92" t="s">
        <v>541</v>
      </c>
      <c r="D11" s="91" t="s">
        <v>542</v>
      </c>
      <c r="E11" s="93" t="s">
        <v>1</v>
      </c>
      <c r="F11" s="93" t="s">
        <v>207</v>
      </c>
      <c r="G11" s="69">
        <v>5.0</v>
      </c>
      <c r="H11" s="69" t="s">
        <v>5448</v>
      </c>
      <c r="I11" s="69" t="s">
        <v>5449</v>
      </c>
      <c r="J11" s="94"/>
      <c r="K11" s="95"/>
      <c r="L11" s="89"/>
      <c r="M11" s="89"/>
      <c r="N11" s="89"/>
      <c r="O11" s="89"/>
      <c r="P11" s="89"/>
      <c r="Q11" s="89"/>
      <c r="R11" s="89"/>
      <c r="S11" s="89"/>
      <c r="T11" s="89"/>
      <c r="U11" s="89"/>
      <c r="V11" s="89"/>
      <c r="W11" s="89"/>
      <c r="X11" s="89"/>
      <c r="Y11" s="89"/>
      <c r="Z11" s="89"/>
      <c r="AA11" s="89"/>
      <c r="AB11" s="89"/>
      <c r="AC11" s="89"/>
      <c r="AD11" s="89"/>
    </row>
    <row r="12">
      <c r="A12" s="83" t="s">
        <v>5445</v>
      </c>
      <c r="B12" s="84" t="s">
        <v>5446</v>
      </c>
      <c r="C12" s="85" t="s">
        <v>5462</v>
      </c>
      <c r="D12" s="84" t="s">
        <v>5463</v>
      </c>
      <c r="E12" s="84" t="s">
        <v>5447</v>
      </c>
      <c r="F12" s="86" t="s">
        <v>5462</v>
      </c>
      <c r="G12" s="63">
        <v>1.0</v>
      </c>
      <c r="H12" s="63" t="s">
        <v>5448</v>
      </c>
      <c r="I12" s="63" t="s">
        <v>5449</v>
      </c>
      <c r="J12" s="87"/>
      <c r="K12" s="88"/>
      <c r="L12" s="89"/>
      <c r="M12" s="89"/>
      <c r="N12" s="89"/>
      <c r="O12" s="89"/>
      <c r="P12" s="89"/>
      <c r="Q12" s="89"/>
      <c r="R12" s="89"/>
      <c r="S12" s="89"/>
      <c r="T12" s="89"/>
      <c r="U12" s="89"/>
      <c r="V12" s="89"/>
      <c r="W12" s="89"/>
      <c r="X12" s="89"/>
      <c r="Y12" s="89"/>
      <c r="Z12" s="89"/>
      <c r="AA12" s="89"/>
      <c r="AB12" s="89"/>
      <c r="AC12" s="89"/>
      <c r="AD12" s="89"/>
    </row>
    <row r="13">
      <c r="A13" s="90" t="s">
        <v>5445</v>
      </c>
      <c r="B13" s="91" t="s">
        <v>5450</v>
      </c>
      <c r="C13" s="92" t="s">
        <v>2301</v>
      </c>
      <c r="D13" s="91" t="s">
        <v>2302</v>
      </c>
      <c r="E13" s="93" t="s">
        <v>1</v>
      </c>
      <c r="F13" s="93" t="s">
        <v>5462</v>
      </c>
      <c r="G13" s="69">
        <v>5.0</v>
      </c>
      <c r="H13" s="69" t="s">
        <v>5448</v>
      </c>
      <c r="I13" s="69" t="s">
        <v>5449</v>
      </c>
      <c r="J13" s="94"/>
      <c r="K13" s="95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89"/>
      <c r="AB13" s="89"/>
      <c r="AC13" s="89"/>
      <c r="AD13" s="89"/>
    </row>
    <row r="14">
      <c r="A14" s="83" t="s">
        <v>5452</v>
      </c>
      <c r="B14" s="84" t="s">
        <v>5446</v>
      </c>
      <c r="C14" s="85" t="s">
        <v>5408</v>
      </c>
      <c r="D14" s="84" t="s">
        <v>212</v>
      </c>
      <c r="E14" s="84" t="s">
        <v>5447</v>
      </c>
      <c r="F14" s="86" t="s">
        <v>5408</v>
      </c>
      <c r="G14" s="63">
        <v>1.0</v>
      </c>
      <c r="H14" s="63" t="s">
        <v>5448</v>
      </c>
      <c r="I14" s="63" t="s">
        <v>5449</v>
      </c>
      <c r="J14" s="87"/>
      <c r="K14" s="88">
        <v>675.0</v>
      </c>
      <c r="L14" s="89"/>
      <c r="M14" s="89"/>
      <c r="N14" s="89"/>
      <c r="O14" s="89"/>
      <c r="P14" s="89"/>
      <c r="Q14" s="89"/>
      <c r="R14" s="89"/>
      <c r="S14" s="89"/>
      <c r="T14" s="89"/>
      <c r="U14" s="89"/>
      <c r="V14" s="89"/>
      <c r="W14" s="89"/>
      <c r="X14" s="89"/>
      <c r="Y14" s="89"/>
      <c r="Z14" s="89"/>
      <c r="AA14" s="89"/>
      <c r="AB14" s="89"/>
      <c r="AC14" s="89"/>
      <c r="AD14" s="89"/>
    </row>
    <row r="15">
      <c r="A15" s="90" t="s">
        <v>5452</v>
      </c>
      <c r="B15" s="91" t="s">
        <v>5450</v>
      </c>
      <c r="C15" s="92" t="s">
        <v>1441</v>
      </c>
      <c r="D15" s="91" t="s">
        <v>547</v>
      </c>
      <c r="E15" s="93" t="s">
        <v>1</v>
      </c>
      <c r="F15" s="93" t="s">
        <v>5408</v>
      </c>
      <c r="G15" s="69">
        <v>5.0</v>
      </c>
      <c r="H15" s="69" t="s">
        <v>5448</v>
      </c>
      <c r="I15" s="69" t="s">
        <v>5449</v>
      </c>
      <c r="J15" s="94"/>
      <c r="K15" s="95"/>
      <c r="L15" s="89"/>
      <c r="M15" s="89"/>
      <c r="N15" s="89"/>
      <c r="O15" s="89"/>
      <c r="P15" s="89"/>
      <c r="Q15" s="89"/>
      <c r="R15" s="89"/>
      <c r="S15" s="89"/>
      <c r="T15" s="89"/>
      <c r="U15" s="89"/>
      <c r="V15" s="89"/>
      <c r="W15" s="89"/>
      <c r="X15" s="89"/>
      <c r="Y15" s="89"/>
      <c r="Z15" s="89"/>
      <c r="AA15" s="89"/>
      <c r="AB15" s="89"/>
      <c r="AC15" s="89"/>
      <c r="AD15" s="89"/>
    </row>
    <row r="16">
      <c r="A16" s="83" t="s">
        <v>5452</v>
      </c>
      <c r="B16" s="84" t="s">
        <v>5446</v>
      </c>
      <c r="C16" s="85" t="s">
        <v>5403</v>
      </c>
      <c r="D16" s="84" t="s">
        <v>218</v>
      </c>
      <c r="E16" s="84" t="s">
        <v>5447</v>
      </c>
      <c r="F16" s="85" t="s">
        <v>5403</v>
      </c>
      <c r="G16" s="63">
        <v>1.0</v>
      </c>
      <c r="H16" s="63" t="s">
        <v>5448</v>
      </c>
      <c r="I16" s="63" t="s">
        <v>5449</v>
      </c>
      <c r="J16" s="63">
        <v>14.0</v>
      </c>
      <c r="K16" s="88">
        <v>2100.0</v>
      </c>
      <c r="L16" s="89"/>
      <c r="M16" s="89"/>
      <c r="N16" s="89"/>
      <c r="O16" s="89"/>
      <c r="P16" s="89"/>
      <c r="Q16" s="89"/>
      <c r="R16" s="89"/>
      <c r="S16" s="89"/>
      <c r="T16" s="89"/>
      <c r="U16" s="89"/>
      <c r="V16" s="89"/>
      <c r="W16" s="89"/>
      <c r="X16" s="89"/>
      <c r="Y16" s="89"/>
      <c r="Z16" s="89"/>
      <c r="AA16" s="89"/>
      <c r="AB16" s="89"/>
      <c r="AC16" s="89"/>
      <c r="AD16" s="89"/>
    </row>
    <row r="17">
      <c r="A17" s="90" t="s">
        <v>5452</v>
      </c>
      <c r="B17" s="91" t="s">
        <v>5450</v>
      </c>
      <c r="C17" s="92" t="s">
        <v>2293</v>
      </c>
      <c r="D17" s="91" t="s">
        <v>2294</v>
      </c>
      <c r="E17" s="93" t="s">
        <v>1</v>
      </c>
      <c r="F17" s="92" t="s">
        <v>5403</v>
      </c>
      <c r="G17" s="69">
        <v>5.0</v>
      </c>
      <c r="H17" s="69" t="s">
        <v>5448</v>
      </c>
      <c r="I17" s="69" t="s">
        <v>5449</v>
      </c>
      <c r="J17" s="69">
        <v>14.0</v>
      </c>
      <c r="K17" s="95"/>
      <c r="L17" s="89"/>
      <c r="M17" s="89"/>
      <c r="N17" s="89"/>
      <c r="O17" s="89"/>
      <c r="P17" s="89"/>
      <c r="Q17" s="89"/>
      <c r="R17" s="89"/>
      <c r="S17" s="89"/>
      <c r="T17" s="89"/>
      <c r="U17" s="89"/>
      <c r="V17" s="89"/>
      <c r="W17" s="89"/>
      <c r="X17" s="89"/>
      <c r="Y17" s="89"/>
      <c r="Z17" s="89"/>
      <c r="AA17" s="89"/>
      <c r="AB17" s="89"/>
      <c r="AC17" s="89"/>
      <c r="AD17" s="89"/>
    </row>
    <row r="18">
      <c r="A18" s="83" t="s">
        <v>5452</v>
      </c>
      <c r="B18" s="103" t="s">
        <v>5446</v>
      </c>
      <c r="C18" s="102" t="s">
        <v>245</v>
      </c>
      <c r="D18" s="97" t="s">
        <v>5464</v>
      </c>
      <c r="E18" s="84" t="s">
        <v>5447</v>
      </c>
      <c r="F18" s="104" t="s">
        <v>245</v>
      </c>
      <c r="G18" s="63">
        <v>1.0</v>
      </c>
      <c r="H18" s="63" t="s">
        <v>5448</v>
      </c>
      <c r="I18" s="63" t="s">
        <v>5449</v>
      </c>
      <c r="J18" s="87"/>
      <c r="K18" s="88">
        <v>2100.0</v>
      </c>
      <c r="L18" s="89"/>
      <c r="M18" s="89"/>
      <c r="N18" s="89"/>
      <c r="O18" s="89"/>
      <c r="P18" s="89"/>
      <c r="Q18" s="89"/>
      <c r="R18" s="89"/>
      <c r="S18" s="89"/>
      <c r="T18" s="89"/>
      <c r="U18" s="89"/>
      <c r="V18" s="89"/>
      <c r="W18" s="89"/>
      <c r="X18" s="89"/>
      <c r="Y18" s="89"/>
      <c r="Z18" s="89"/>
      <c r="AA18" s="89"/>
      <c r="AB18" s="89"/>
      <c r="AC18" s="89"/>
      <c r="AD18" s="89"/>
    </row>
    <row r="19">
      <c r="A19" s="90" t="s">
        <v>5452</v>
      </c>
      <c r="B19" s="91" t="s">
        <v>5446</v>
      </c>
      <c r="C19" s="92" t="s">
        <v>225</v>
      </c>
      <c r="D19" s="91" t="s">
        <v>224</v>
      </c>
      <c r="E19" s="91" t="s">
        <v>5447</v>
      </c>
      <c r="F19" s="93" t="s">
        <v>225</v>
      </c>
      <c r="G19" s="69">
        <v>1.0</v>
      </c>
      <c r="H19" s="69" t="s">
        <v>5448</v>
      </c>
      <c r="I19" s="69" t="s">
        <v>5449</v>
      </c>
      <c r="J19" s="94"/>
      <c r="K19" s="95">
        <v>525.0</v>
      </c>
      <c r="L19" s="89"/>
      <c r="M19" s="89"/>
      <c r="N19" s="89"/>
      <c r="O19" s="89"/>
      <c r="P19" s="89"/>
      <c r="Q19" s="89"/>
      <c r="R19" s="89"/>
      <c r="S19" s="89"/>
      <c r="T19" s="89"/>
      <c r="U19" s="89"/>
      <c r="V19" s="89"/>
      <c r="W19" s="89"/>
      <c r="X19" s="89"/>
      <c r="Y19" s="89"/>
      <c r="Z19" s="89"/>
      <c r="AA19" s="89"/>
      <c r="AB19" s="89"/>
      <c r="AC19" s="89"/>
      <c r="AD19" s="89"/>
    </row>
    <row r="20">
      <c r="A20" s="83" t="s">
        <v>5452</v>
      </c>
      <c r="B20" s="84" t="s">
        <v>5450</v>
      </c>
      <c r="C20" s="85" t="s">
        <v>549</v>
      </c>
      <c r="D20" s="84" t="s">
        <v>550</v>
      </c>
      <c r="E20" s="86" t="s">
        <v>1</v>
      </c>
      <c r="F20" s="86" t="s">
        <v>225</v>
      </c>
      <c r="G20" s="63">
        <v>5.0</v>
      </c>
      <c r="H20" s="63" t="s">
        <v>5448</v>
      </c>
      <c r="I20" s="63" t="s">
        <v>5449</v>
      </c>
      <c r="J20" s="87"/>
      <c r="K20" s="88"/>
      <c r="L20" s="89"/>
      <c r="M20" s="89"/>
      <c r="N20" s="89"/>
      <c r="O20" s="89"/>
      <c r="P20" s="89"/>
      <c r="Q20" s="89"/>
      <c r="R20" s="89"/>
      <c r="S20" s="89"/>
      <c r="T20" s="89"/>
      <c r="U20" s="89"/>
      <c r="V20" s="89"/>
      <c r="W20" s="89"/>
      <c r="X20" s="89"/>
      <c r="Y20" s="89"/>
      <c r="Z20" s="89"/>
      <c r="AA20" s="89"/>
      <c r="AB20" s="89"/>
      <c r="AC20" s="89"/>
      <c r="AD20" s="89"/>
    </row>
    <row r="21">
      <c r="A21" s="90" t="s">
        <v>5452</v>
      </c>
      <c r="B21" s="91" t="s">
        <v>5446</v>
      </c>
      <c r="C21" s="92" t="s">
        <v>231</v>
      </c>
      <c r="D21" s="91" t="s">
        <v>230</v>
      </c>
      <c r="E21" s="91" t="s">
        <v>5447</v>
      </c>
      <c r="F21" s="93" t="s">
        <v>231</v>
      </c>
      <c r="G21" s="69">
        <v>1.0</v>
      </c>
      <c r="H21" s="69" t="s">
        <v>5448</v>
      </c>
      <c r="I21" s="69" t="s">
        <v>5449</v>
      </c>
      <c r="J21" s="94"/>
      <c r="K21" s="95">
        <v>900.0</v>
      </c>
      <c r="L21" s="89"/>
      <c r="M21" s="89"/>
      <c r="N21" s="89"/>
      <c r="O21" s="89"/>
      <c r="P21" s="89"/>
      <c r="Q21" s="89"/>
      <c r="R21" s="89"/>
      <c r="S21" s="89"/>
      <c r="T21" s="89"/>
      <c r="U21" s="89"/>
      <c r="V21" s="89"/>
      <c r="W21" s="89"/>
      <c r="X21" s="89"/>
      <c r="Y21" s="89"/>
      <c r="Z21" s="89"/>
      <c r="AA21" s="89"/>
      <c r="AB21" s="89"/>
      <c r="AC21" s="89"/>
      <c r="AD21" s="89"/>
    </row>
    <row r="22">
      <c r="A22" s="83" t="s">
        <v>5452</v>
      </c>
      <c r="B22" s="84" t="s">
        <v>5450</v>
      </c>
      <c r="C22" s="85" t="s">
        <v>552</v>
      </c>
      <c r="D22" s="84" t="s">
        <v>553</v>
      </c>
      <c r="E22" s="86" t="s">
        <v>1</v>
      </c>
      <c r="F22" s="86" t="s">
        <v>231</v>
      </c>
      <c r="G22" s="63">
        <v>5.0</v>
      </c>
      <c r="H22" s="63" t="s">
        <v>5448</v>
      </c>
      <c r="I22" s="63" t="s">
        <v>5449</v>
      </c>
      <c r="J22" s="87"/>
      <c r="K22" s="88"/>
      <c r="L22" s="89"/>
      <c r="M22" s="89"/>
      <c r="N22" s="89"/>
      <c r="O22" s="89"/>
      <c r="P22" s="89"/>
      <c r="Q22" s="89"/>
      <c r="R22" s="89"/>
      <c r="S22" s="89"/>
      <c r="T22" s="89"/>
      <c r="U22" s="89"/>
      <c r="V22" s="89"/>
      <c r="W22" s="89"/>
      <c r="X22" s="89"/>
      <c r="Y22" s="89"/>
      <c r="Z22" s="89"/>
      <c r="AA22" s="89"/>
      <c r="AB22" s="89"/>
      <c r="AC22" s="89"/>
      <c r="AD22" s="89"/>
    </row>
    <row r="23">
      <c r="A23" s="90" t="s">
        <v>5452</v>
      </c>
      <c r="B23" s="105" t="s">
        <v>5446</v>
      </c>
      <c r="C23" s="101" t="s">
        <v>235</v>
      </c>
      <c r="D23" s="91" t="s">
        <v>8</v>
      </c>
      <c r="E23" s="91" t="s">
        <v>5447</v>
      </c>
      <c r="F23" s="106" t="s">
        <v>5465</v>
      </c>
      <c r="G23" s="69">
        <v>1.0</v>
      </c>
      <c r="H23" s="69" t="s">
        <v>5448</v>
      </c>
      <c r="I23" s="69" t="s">
        <v>5449</v>
      </c>
      <c r="J23" s="94"/>
      <c r="K23" s="95">
        <v>420.0</v>
      </c>
      <c r="L23" s="89"/>
      <c r="M23" s="89"/>
      <c r="N23" s="89"/>
      <c r="O23" s="89"/>
      <c r="P23" s="89"/>
      <c r="Q23" s="89"/>
      <c r="R23" s="89"/>
      <c r="S23" s="89"/>
      <c r="T23" s="89"/>
      <c r="U23" s="89"/>
      <c r="V23" s="89"/>
      <c r="W23" s="89"/>
      <c r="X23" s="89"/>
      <c r="Y23" s="89"/>
      <c r="Z23" s="89"/>
      <c r="AA23" s="89"/>
      <c r="AB23" s="89"/>
      <c r="AC23" s="89"/>
      <c r="AD23" s="89"/>
    </row>
    <row r="24">
      <c r="A24" s="83" t="s">
        <v>5452</v>
      </c>
      <c r="B24" s="84" t="s">
        <v>5446</v>
      </c>
      <c r="C24" s="85" t="s">
        <v>5466</v>
      </c>
      <c r="D24" s="84" t="s">
        <v>8</v>
      </c>
      <c r="E24" s="86" t="s">
        <v>1</v>
      </c>
      <c r="F24" s="86" t="s">
        <v>5465</v>
      </c>
      <c r="G24" s="63">
        <v>1.0</v>
      </c>
      <c r="H24" s="63" t="s">
        <v>5448</v>
      </c>
      <c r="I24" s="63" t="s">
        <v>5449</v>
      </c>
      <c r="J24" s="87"/>
      <c r="K24" s="88"/>
      <c r="L24" s="89"/>
      <c r="M24" s="89"/>
      <c r="N24" s="89"/>
      <c r="O24" s="89"/>
      <c r="P24" s="89"/>
      <c r="Q24" s="89"/>
      <c r="R24" s="89"/>
      <c r="S24" s="89"/>
      <c r="T24" s="89"/>
      <c r="U24" s="89"/>
      <c r="V24" s="89"/>
      <c r="W24" s="89"/>
      <c r="X24" s="89"/>
      <c r="Y24" s="89"/>
      <c r="Z24" s="89"/>
      <c r="AA24" s="89"/>
      <c r="AB24" s="89"/>
      <c r="AC24" s="89"/>
      <c r="AD24" s="89"/>
    </row>
    <row r="25">
      <c r="A25" s="90" t="s">
        <v>5452</v>
      </c>
      <c r="B25" s="91" t="s">
        <v>5446</v>
      </c>
      <c r="C25" s="92" t="s">
        <v>240</v>
      </c>
      <c r="D25" s="91" t="s">
        <v>239</v>
      </c>
      <c r="E25" s="91" t="s">
        <v>5447</v>
      </c>
      <c r="F25" s="93" t="s">
        <v>240</v>
      </c>
      <c r="G25" s="69">
        <v>1.0</v>
      </c>
      <c r="H25" s="69" t="s">
        <v>5448</v>
      </c>
      <c r="I25" s="69" t="s">
        <v>5449</v>
      </c>
      <c r="J25" s="94"/>
      <c r="K25" s="95">
        <v>1000.0</v>
      </c>
      <c r="L25" s="89"/>
      <c r="M25" s="89"/>
      <c r="N25" s="89"/>
      <c r="O25" s="89"/>
      <c r="P25" s="89"/>
      <c r="Q25" s="89"/>
      <c r="R25" s="89"/>
      <c r="S25" s="89"/>
      <c r="T25" s="89"/>
      <c r="U25" s="89"/>
      <c r="V25" s="89"/>
      <c r="W25" s="89"/>
      <c r="X25" s="89"/>
      <c r="Y25" s="89"/>
      <c r="Z25" s="89"/>
      <c r="AA25" s="89"/>
      <c r="AB25" s="89"/>
      <c r="AC25" s="89"/>
      <c r="AD25" s="89"/>
    </row>
    <row r="26">
      <c r="A26" s="83" t="s">
        <v>5452</v>
      </c>
      <c r="B26" s="84" t="s">
        <v>5450</v>
      </c>
      <c r="C26" s="85" t="s">
        <v>558</v>
      </c>
      <c r="D26" s="84" t="s">
        <v>559</v>
      </c>
      <c r="E26" s="86" t="s">
        <v>1</v>
      </c>
      <c r="F26" s="86" t="s">
        <v>240</v>
      </c>
      <c r="G26" s="63">
        <v>5.0</v>
      </c>
      <c r="H26" s="63" t="s">
        <v>5448</v>
      </c>
      <c r="I26" s="63" t="s">
        <v>5449</v>
      </c>
      <c r="J26" s="87"/>
      <c r="K26" s="88"/>
      <c r="L26" s="89"/>
      <c r="M26" s="89"/>
      <c r="N26" s="89"/>
      <c r="O26" s="89"/>
      <c r="P26" s="89"/>
      <c r="Q26" s="89"/>
      <c r="R26" s="89"/>
      <c r="S26" s="89"/>
      <c r="T26" s="89"/>
      <c r="U26" s="89"/>
      <c r="V26" s="89"/>
      <c r="W26" s="89"/>
      <c r="X26" s="89"/>
      <c r="Y26" s="89"/>
      <c r="Z26" s="89"/>
      <c r="AA26" s="89"/>
      <c r="AB26" s="89"/>
      <c r="AC26" s="89"/>
      <c r="AD26" s="89"/>
    </row>
    <row r="27">
      <c r="A27" s="90" t="s">
        <v>5452</v>
      </c>
      <c r="B27" s="105" t="s">
        <v>5446</v>
      </c>
      <c r="C27" s="67" t="s">
        <v>5467</v>
      </c>
      <c r="D27" s="91" t="s">
        <v>5406</v>
      </c>
      <c r="E27" s="91" t="s">
        <v>5447</v>
      </c>
      <c r="F27" s="67" t="s">
        <v>5467</v>
      </c>
      <c r="G27" s="69">
        <v>1.0</v>
      </c>
      <c r="H27" s="69" t="s">
        <v>5448</v>
      </c>
      <c r="I27" s="69" t="s">
        <v>5449</v>
      </c>
      <c r="J27" s="94"/>
      <c r="K27" s="95">
        <v>720.0</v>
      </c>
      <c r="L27" s="89"/>
      <c r="M27" s="89"/>
      <c r="N27" s="89"/>
      <c r="O27" s="89"/>
      <c r="P27" s="89"/>
      <c r="Q27" s="89"/>
      <c r="R27" s="89"/>
      <c r="S27" s="89"/>
      <c r="T27" s="89"/>
      <c r="U27" s="89"/>
      <c r="V27" s="89"/>
      <c r="W27" s="89"/>
      <c r="X27" s="89"/>
      <c r="Y27" s="89"/>
      <c r="Z27" s="89"/>
      <c r="AA27" s="89"/>
      <c r="AB27" s="89"/>
      <c r="AC27" s="89"/>
      <c r="AD27" s="89"/>
    </row>
    <row r="28">
      <c r="A28" s="83" t="s">
        <v>5452</v>
      </c>
      <c r="B28" s="103" t="s">
        <v>5446</v>
      </c>
      <c r="C28" s="85" t="s">
        <v>5468</v>
      </c>
      <c r="D28" s="84" t="s">
        <v>5469</v>
      </c>
      <c r="E28" s="84" t="s">
        <v>5447</v>
      </c>
      <c r="F28" s="85" t="s">
        <v>5468</v>
      </c>
      <c r="G28" s="63">
        <v>1.0</v>
      </c>
      <c r="H28" s="63" t="s">
        <v>5448</v>
      </c>
      <c r="I28" s="63" t="s">
        <v>5449</v>
      </c>
      <c r="J28" s="87"/>
      <c r="K28" s="88">
        <v>200.0</v>
      </c>
      <c r="L28" s="89"/>
      <c r="M28" s="89"/>
      <c r="N28" s="89"/>
      <c r="O28" s="89"/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89"/>
      <c r="AD28" s="89"/>
    </row>
    <row r="29">
      <c r="A29" s="90" t="s">
        <v>5445</v>
      </c>
      <c r="B29" s="105" t="s">
        <v>5450</v>
      </c>
      <c r="C29" s="92" t="s">
        <v>833</v>
      </c>
      <c r="D29" s="91" t="s">
        <v>562</v>
      </c>
      <c r="E29" s="93" t="s">
        <v>1</v>
      </c>
      <c r="F29" s="92" t="s">
        <v>5468</v>
      </c>
      <c r="G29" s="69">
        <v>5.0</v>
      </c>
      <c r="H29" s="69" t="s">
        <v>5448</v>
      </c>
      <c r="I29" s="69" t="s">
        <v>5449</v>
      </c>
      <c r="J29" s="94"/>
      <c r="K29" s="95"/>
      <c r="L29" s="89"/>
      <c r="M29" s="89"/>
      <c r="N29" s="89"/>
      <c r="O29" s="89"/>
      <c r="P29" s="89"/>
      <c r="Q29" s="89"/>
      <c r="R29" s="89"/>
      <c r="S29" s="89"/>
      <c r="T29" s="89"/>
      <c r="U29" s="89"/>
      <c r="V29" s="89"/>
      <c r="W29" s="89"/>
      <c r="X29" s="89"/>
      <c r="Y29" s="89"/>
      <c r="Z29" s="89"/>
      <c r="AA29" s="89"/>
      <c r="AB29" s="89"/>
      <c r="AC29" s="89"/>
      <c r="AD29" s="89"/>
    </row>
    <row r="30">
      <c r="A30" s="83" t="s">
        <v>5452</v>
      </c>
      <c r="B30" s="103" t="s">
        <v>5446</v>
      </c>
      <c r="C30" s="98" t="s">
        <v>1634</v>
      </c>
      <c r="D30" s="97" t="s">
        <v>5470</v>
      </c>
      <c r="E30" s="84" t="s">
        <v>5447</v>
      </c>
      <c r="F30" s="86" t="s">
        <v>1634</v>
      </c>
      <c r="G30" s="63">
        <v>1.0</v>
      </c>
      <c r="H30" s="63" t="s">
        <v>5448</v>
      </c>
      <c r="I30" s="63" t="s">
        <v>5449</v>
      </c>
      <c r="J30" s="87"/>
      <c r="K30" s="88">
        <v>90.0</v>
      </c>
      <c r="L30" s="89"/>
      <c r="M30" s="89"/>
      <c r="N30" s="89"/>
      <c r="O30" s="89"/>
      <c r="P30" s="89"/>
      <c r="Q30" s="89"/>
      <c r="R30" s="89"/>
      <c r="S30" s="89"/>
      <c r="T30" s="89"/>
      <c r="U30" s="89"/>
      <c r="V30" s="89"/>
      <c r="W30" s="89"/>
      <c r="X30" s="89"/>
      <c r="Y30" s="89"/>
      <c r="Z30" s="89"/>
      <c r="AA30" s="89"/>
      <c r="AB30" s="89"/>
      <c r="AC30" s="89"/>
      <c r="AD30" s="89"/>
    </row>
    <row r="31">
      <c r="A31" s="90" t="s">
        <v>5452</v>
      </c>
      <c r="B31" s="91" t="s">
        <v>5446</v>
      </c>
      <c r="C31" s="100" t="s">
        <v>5471</v>
      </c>
      <c r="D31" s="99" t="s">
        <v>5367</v>
      </c>
      <c r="E31" s="101" t="s">
        <v>5447</v>
      </c>
      <c r="F31" s="93" t="s">
        <v>5471</v>
      </c>
      <c r="G31" s="69">
        <v>1.0</v>
      </c>
      <c r="H31" s="69" t="s">
        <v>5448</v>
      </c>
      <c r="I31" s="69" t="s">
        <v>5472</v>
      </c>
      <c r="J31" s="94"/>
      <c r="K31" s="95">
        <v>40.0</v>
      </c>
      <c r="L31" s="89"/>
      <c r="M31" s="89"/>
      <c r="N31" s="89"/>
      <c r="O31" s="89"/>
      <c r="P31" s="89"/>
      <c r="Q31" s="89"/>
      <c r="R31" s="89"/>
      <c r="S31" s="89"/>
      <c r="T31" s="89"/>
      <c r="U31" s="89"/>
      <c r="V31" s="89"/>
      <c r="W31" s="89"/>
      <c r="X31" s="89"/>
      <c r="Y31" s="89"/>
      <c r="Z31" s="89"/>
      <c r="AA31" s="89"/>
      <c r="AB31" s="89"/>
      <c r="AC31" s="89"/>
      <c r="AD31" s="89"/>
    </row>
    <row r="32">
      <c r="A32" s="83" t="s">
        <v>5452</v>
      </c>
      <c r="B32" s="84" t="s">
        <v>5446</v>
      </c>
      <c r="C32" s="102" t="s">
        <v>5473</v>
      </c>
      <c r="D32" s="97" t="s">
        <v>5474</v>
      </c>
      <c r="E32" s="98" t="s">
        <v>5447</v>
      </c>
      <c r="F32" s="85" t="s">
        <v>5473</v>
      </c>
      <c r="G32" s="63">
        <v>1.0</v>
      </c>
      <c r="H32" s="63" t="s">
        <v>5448</v>
      </c>
      <c r="I32" s="63" t="s">
        <v>5475</v>
      </c>
      <c r="J32" s="87"/>
      <c r="K32" s="88">
        <v>432.0</v>
      </c>
      <c r="L32" s="89"/>
      <c r="M32" s="89"/>
      <c r="N32" s="89"/>
      <c r="O32" s="89"/>
      <c r="P32" s="89"/>
      <c r="Q32" s="89"/>
      <c r="R32" s="89"/>
      <c r="S32" s="89"/>
      <c r="T32" s="89"/>
      <c r="U32" s="89"/>
      <c r="V32" s="89"/>
      <c r="W32" s="89"/>
      <c r="X32" s="89"/>
      <c r="Y32" s="89"/>
      <c r="Z32" s="89"/>
      <c r="AA32" s="89"/>
      <c r="AB32" s="89"/>
      <c r="AC32" s="89"/>
      <c r="AD32" s="89"/>
    </row>
    <row r="33">
      <c r="A33" s="90" t="s">
        <v>5452</v>
      </c>
      <c r="B33" s="91" t="s">
        <v>5450</v>
      </c>
      <c r="C33" s="100" t="s">
        <v>5476</v>
      </c>
      <c r="D33" s="99" t="s">
        <v>5477</v>
      </c>
      <c r="E33" s="93" t="s">
        <v>1</v>
      </c>
      <c r="F33" s="92" t="s">
        <v>5473</v>
      </c>
      <c r="G33" s="69">
        <v>3.0</v>
      </c>
      <c r="H33" s="69" t="s">
        <v>5448</v>
      </c>
      <c r="I33" s="69" t="s">
        <v>5475</v>
      </c>
      <c r="J33" s="94"/>
      <c r="K33" s="95"/>
      <c r="L33" s="89"/>
      <c r="M33" s="89"/>
      <c r="N33" s="89"/>
      <c r="O33" s="89"/>
      <c r="P33" s="89"/>
      <c r="Q33" s="89"/>
      <c r="R33" s="89"/>
      <c r="S33" s="89"/>
      <c r="T33" s="89"/>
      <c r="U33" s="89"/>
      <c r="V33" s="89"/>
      <c r="W33" s="89"/>
      <c r="X33" s="89"/>
      <c r="Y33" s="89"/>
      <c r="Z33" s="89"/>
      <c r="AA33" s="89"/>
      <c r="AB33" s="89"/>
      <c r="AC33" s="89"/>
      <c r="AD33" s="89"/>
    </row>
    <row r="34">
      <c r="A34" s="83" t="s">
        <v>5452</v>
      </c>
      <c r="B34" s="84" t="s">
        <v>5450</v>
      </c>
      <c r="C34" s="85" t="s">
        <v>1382</v>
      </c>
      <c r="D34" s="107" t="s">
        <v>1383</v>
      </c>
      <c r="E34" s="86" t="s">
        <v>1</v>
      </c>
      <c r="F34" s="86" t="s">
        <v>362</v>
      </c>
      <c r="G34" s="63">
        <v>1.0</v>
      </c>
      <c r="H34" s="63" t="s">
        <v>5448</v>
      </c>
      <c r="I34" s="63" t="s">
        <v>5478</v>
      </c>
      <c r="J34" s="87"/>
      <c r="K34" s="88"/>
      <c r="L34" s="89"/>
      <c r="M34" s="89"/>
      <c r="N34" s="89"/>
      <c r="O34" s="89"/>
      <c r="P34" s="89"/>
      <c r="Q34" s="89"/>
      <c r="R34" s="89"/>
      <c r="S34" s="89"/>
      <c r="T34" s="89"/>
      <c r="U34" s="89"/>
      <c r="V34" s="89"/>
      <c r="W34" s="89"/>
      <c r="X34" s="89"/>
      <c r="Y34" s="89"/>
      <c r="Z34" s="89"/>
      <c r="AA34" s="89"/>
      <c r="AB34" s="89"/>
      <c r="AC34" s="89"/>
      <c r="AD34" s="89"/>
    </row>
    <row r="35">
      <c r="A35" s="90" t="s">
        <v>5452</v>
      </c>
      <c r="B35" s="91" t="s">
        <v>5446</v>
      </c>
      <c r="C35" s="92" t="s">
        <v>5479</v>
      </c>
      <c r="D35" s="108" t="s">
        <v>5314</v>
      </c>
      <c r="E35" s="91" t="s">
        <v>5447</v>
      </c>
      <c r="F35" s="109" t="s">
        <v>5479</v>
      </c>
      <c r="G35" s="69">
        <v>1.0</v>
      </c>
      <c r="H35" s="69" t="s">
        <v>5448</v>
      </c>
      <c r="I35" s="69" t="s">
        <v>5478</v>
      </c>
      <c r="J35" s="94"/>
      <c r="K35" s="95">
        <v>20.0</v>
      </c>
      <c r="L35" s="89"/>
      <c r="M35" s="89"/>
      <c r="N35" s="89"/>
      <c r="O35" s="89"/>
      <c r="P35" s="89"/>
      <c r="Q35" s="89"/>
      <c r="R35" s="89"/>
      <c r="S35" s="89"/>
      <c r="T35" s="89"/>
      <c r="U35" s="89"/>
      <c r="V35" s="89"/>
      <c r="W35" s="89"/>
      <c r="X35" s="89"/>
      <c r="Y35" s="89"/>
      <c r="Z35" s="89"/>
      <c r="AA35" s="89"/>
      <c r="AB35" s="89"/>
      <c r="AC35" s="89"/>
      <c r="AD35" s="89"/>
    </row>
    <row r="36">
      <c r="A36" s="83" t="s">
        <v>5452</v>
      </c>
      <c r="B36" s="84" t="s">
        <v>5446</v>
      </c>
      <c r="C36" s="85" t="s">
        <v>1377</v>
      </c>
      <c r="D36" s="107" t="s">
        <v>1378</v>
      </c>
      <c r="E36" s="86" t="s">
        <v>1</v>
      </c>
      <c r="F36" s="86" t="s">
        <v>377</v>
      </c>
      <c r="G36" s="63">
        <v>3.0</v>
      </c>
      <c r="H36" s="63" t="s">
        <v>5480</v>
      </c>
      <c r="I36" s="63" t="s">
        <v>5478</v>
      </c>
      <c r="J36" s="87"/>
      <c r="K36" s="88">
        <v>150.0</v>
      </c>
      <c r="L36" s="89"/>
      <c r="M36" s="89"/>
      <c r="N36" s="89"/>
      <c r="O36" s="89"/>
      <c r="P36" s="89"/>
      <c r="Q36" s="89"/>
      <c r="R36" s="89"/>
      <c r="S36" s="89"/>
      <c r="T36" s="89"/>
      <c r="U36" s="89"/>
      <c r="V36" s="89"/>
      <c r="W36" s="89"/>
      <c r="X36" s="89"/>
      <c r="Y36" s="89"/>
      <c r="Z36" s="89"/>
      <c r="AA36" s="89"/>
      <c r="AB36" s="89"/>
      <c r="AC36" s="89"/>
      <c r="AD36" s="89"/>
    </row>
    <row r="37">
      <c r="A37" s="90" t="s">
        <v>5452</v>
      </c>
      <c r="B37" s="91" t="s">
        <v>5446</v>
      </c>
      <c r="C37" s="92" t="s">
        <v>377</v>
      </c>
      <c r="D37" s="108" t="s">
        <v>376</v>
      </c>
      <c r="E37" s="91" t="s">
        <v>5447</v>
      </c>
      <c r="F37" s="93" t="s">
        <v>377</v>
      </c>
      <c r="G37" s="69">
        <v>1.0</v>
      </c>
      <c r="H37" s="69" t="s">
        <v>5448</v>
      </c>
      <c r="I37" s="69" t="s">
        <v>5478</v>
      </c>
      <c r="J37" s="94"/>
      <c r="K37" s="95">
        <v>20.0</v>
      </c>
      <c r="L37" s="89"/>
      <c r="M37" s="89"/>
      <c r="N37" s="89"/>
      <c r="O37" s="89"/>
      <c r="P37" s="89"/>
      <c r="Q37" s="89"/>
      <c r="R37" s="89"/>
      <c r="S37" s="89"/>
      <c r="T37" s="89"/>
      <c r="U37" s="89"/>
      <c r="V37" s="89"/>
      <c r="W37" s="89"/>
      <c r="X37" s="89"/>
      <c r="Y37" s="89"/>
      <c r="Z37" s="89"/>
      <c r="AA37" s="89"/>
      <c r="AB37" s="89"/>
      <c r="AC37" s="89"/>
      <c r="AD37" s="89"/>
    </row>
    <row r="38">
      <c r="A38" s="83" t="s">
        <v>5452</v>
      </c>
      <c r="B38" s="84" t="s">
        <v>5446</v>
      </c>
      <c r="C38" s="102" t="s">
        <v>5481</v>
      </c>
      <c r="D38" s="97" t="s">
        <v>5388</v>
      </c>
      <c r="E38" s="86" t="s">
        <v>1</v>
      </c>
      <c r="F38" s="86" t="s">
        <v>5383</v>
      </c>
      <c r="G38" s="63">
        <v>3.0</v>
      </c>
      <c r="H38" s="63" t="s">
        <v>5480</v>
      </c>
      <c r="I38" s="63" t="s">
        <v>5482</v>
      </c>
      <c r="J38" s="87"/>
      <c r="K38" s="88"/>
      <c r="L38" s="89"/>
      <c r="M38" s="89"/>
      <c r="N38" s="89"/>
      <c r="O38" s="89"/>
      <c r="P38" s="89"/>
      <c r="Q38" s="89"/>
      <c r="R38" s="89"/>
      <c r="S38" s="89"/>
      <c r="T38" s="89"/>
      <c r="U38" s="89"/>
      <c r="V38" s="89"/>
      <c r="W38" s="89"/>
      <c r="X38" s="89"/>
      <c r="Y38" s="89"/>
      <c r="Z38" s="89"/>
      <c r="AA38" s="89"/>
      <c r="AB38" s="89"/>
      <c r="AC38" s="89"/>
      <c r="AD38" s="89"/>
    </row>
    <row r="39">
      <c r="A39" s="90" t="s">
        <v>5452</v>
      </c>
      <c r="B39" s="91" t="s">
        <v>5446</v>
      </c>
      <c r="C39" s="100" t="s">
        <v>5483</v>
      </c>
      <c r="D39" s="99" t="s">
        <v>5377</v>
      </c>
      <c r="E39" s="93" t="s">
        <v>1</v>
      </c>
      <c r="F39" s="93" t="s">
        <v>5383</v>
      </c>
      <c r="G39" s="69">
        <v>3.0</v>
      </c>
      <c r="H39" s="69" t="s">
        <v>5480</v>
      </c>
      <c r="I39" s="69" t="s">
        <v>5482</v>
      </c>
      <c r="J39" s="94"/>
      <c r="K39" s="95"/>
      <c r="L39" s="89"/>
      <c r="M39" s="89"/>
      <c r="N39" s="89"/>
      <c r="O39" s="89"/>
      <c r="P39" s="89"/>
      <c r="Q39" s="89"/>
      <c r="R39" s="89"/>
      <c r="S39" s="89"/>
      <c r="T39" s="89"/>
      <c r="U39" s="89"/>
      <c r="V39" s="89"/>
      <c r="W39" s="89"/>
      <c r="X39" s="89"/>
      <c r="Y39" s="89"/>
      <c r="Z39" s="89"/>
      <c r="AA39" s="89"/>
      <c r="AB39" s="89"/>
      <c r="AC39" s="89"/>
      <c r="AD39" s="89"/>
    </row>
    <row r="40">
      <c r="A40" s="83" t="s">
        <v>5452</v>
      </c>
      <c r="B40" s="84" t="s">
        <v>5446</v>
      </c>
      <c r="C40" s="102" t="s">
        <v>5383</v>
      </c>
      <c r="D40" s="97" t="s">
        <v>5484</v>
      </c>
      <c r="E40" s="84" t="s">
        <v>5447</v>
      </c>
      <c r="F40" s="86" t="s">
        <v>5383</v>
      </c>
      <c r="G40" s="63">
        <v>1.0</v>
      </c>
      <c r="H40" s="63" t="s">
        <v>5448</v>
      </c>
      <c r="I40" s="63" t="s">
        <v>5482</v>
      </c>
      <c r="J40" s="87"/>
      <c r="K40" s="88">
        <v>9.0</v>
      </c>
      <c r="L40" s="89"/>
      <c r="M40" s="89"/>
      <c r="N40" s="89"/>
      <c r="O40" s="89"/>
      <c r="P40" s="89"/>
      <c r="Q40" s="89"/>
      <c r="R40" s="89"/>
      <c r="S40" s="89"/>
      <c r="T40" s="89"/>
      <c r="U40" s="89"/>
      <c r="V40" s="89"/>
      <c r="W40" s="89"/>
      <c r="X40" s="89"/>
      <c r="Y40" s="89"/>
      <c r="Z40" s="89"/>
      <c r="AA40" s="89"/>
      <c r="AB40" s="89"/>
      <c r="AC40" s="89"/>
      <c r="AD40" s="89"/>
    </row>
    <row r="41">
      <c r="A41" s="90" t="s">
        <v>5452</v>
      </c>
      <c r="B41" s="105" t="s">
        <v>5446</v>
      </c>
      <c r="C41" s="101" t="s">
        <v>5485</v>
      </c>
      <c r="D41" s="99" t="s">
        <v>5486</v>
      </c>
      <c r="E41" s="91" t="s">
        <v>5447</v>
      </c>
      <c r="F41" s="106" t="s">
        <v>5485</v>
      </c>
      <c r="G41" s="69">
        <v>1.0</v>
      </c>
      <c r="H41" s="69" t="s">
        <v>5448</v>
      </c>
      <c r="I41" s="69" t="s">
        <v>31</v>
      </c>
      <c r="J41" s="94"/>
      <c r="K41" s="95">
        <v>10.0</v>
      </c>
      <c r="L41" s="89"/>
      <c r="M41" s="89"/>
      <c r="N41" s="89"/>
      <c r="O41" s="89"/>
      <c r="P41" s="89"/>
      <c r="Q41" s="89"/>
      <c r="R41" s="89"/>
      <c r="S41" s="89"/>
      <c r="T41" s="89"/>
      <c r="U41" s="89"/>
      <c r="V41" s="89"/>
      <c r="W41" s="89"/>
      <c r="X41" s="89"/>
      <c r="Y41" s="89"/>
      <c r="Z41" s="89"/>
      <c r="AA41" s="89"/>
      <c r="AB41" s="89"/>
      <c r="AC41" s="89"/>
      <c r="AD41" s="89"/>
    </row>
    <row r="42">
      <c r="A42" s="83" t="s">
        <v>5452</v>
      </c>
      <c r="B42" s="84" t="s">
        <v>5446</v>
      </c>
      <c r="C42" s="102" t="s">
        <v>5487</v>
      </c>
      <c r="D42" s="97" t="s">
        <v>5425</v>
      </c>
      <c r="E42" s="84" t="s">
        <v>5447</v>
      </c>
      <c r="F42" s="86" t="s">
        <v>5487</v>
      </c>
      <c r="G42" s="63">
        <v>1.0</v>
      </c>
      <c r="H42" s="63" t="s">
        <v>5448</v>
      </c>
      <c r="I42" s="63" t="s">
        <v>31</v>
      </c>
      <c r="J42" s="87"/>
      <c r="K42" s="88">
        <v>144.0</v>
      </c>
      <c r="L42" s="89"/>
      <c r="M42" s="89"/>
      <c r="N42" s="89"/>
      <c r="O42" s="89"/>
      <c r="P42" s="89"/>
      <c r="Q42" s="89"/>
      <c r="R42" s="89"/>
      <c r="S42" s="89"/>
      <c r="T42" s="89"/>
      <c r="U42" s="89"/>
      <c r="V42" s="89"/>
      <c r="W42" s="89"/>
      <c r="X42" s="89"/>
      <c r="Y42" s="89"/>
      <c r="Z42" s="89"/>
      <c r="AA42" s="89"/>
      <c r="AB42" s="89"/>
      <c r="AC42" s="89"/>
      <c r="AD42" s="89"/>
    </row>
    <row r="43">
      <c r="A43" s="90" t="s">
        <v>5452</v>
      </c>
      <c r="B43" s="91" t="s">
        <v>5446</v>
      </c>
      <c r="C43" s="100" t="s">
        <v>5488</v>
      </c>
      <c r="D43" s="99" t="s">
        <v>5430</v>
      </c>
      <c r="E43" s="91" t="s">
        <v>5447</v>
      </c>
      <c r="F43" s="93" t="s">
        <v>5488</v>
      </c>
      <c r="G43" s="69">
        <v>1.0</v>
      </c>
      <c r="H43" s="69" t="s">
        <v>5448</v>
      </c>
      <c r="I43" s="69" t="s">
        <v>31</v>
      </c>
      <c r="J43" s="94"/>
      <c r="K43" s="95">
        <v>144.0</v>
      </c>
      <c r="L43" s="89"/>
      <c r="M43" s="89"/>
      <c r="N43" s="89"/>
      <c r="O43" s="89"/>
      <c r="P43" s="89"/>
      <c r="Q43" s="89"/>
      <c r="R43" s="89"/>
      <c r="S43" s="89"/>
      <c r="T43" s="89"/>
      <c r="U43" s="89"/>
      <c r="V43" s="89"/>
      <c r="W43" s="89"/>
      <c r="X43" s="89"/>
      <c r="Y43" s="89"/>
      <c r="Z43" s="89"/>
      <c r="AA43" s="89"/>
      <c r="AB43" s="89"/>
      <c r="AC43" s="89"/>
      <c r="AD43" s="89"/>
    </row>
    <row r="44">
      <c r="A44" s="83" t="s">
        <v>5452</v>
      </c>
      <c r="B44" s="103" t="s">
        <v>5446</v>
      </c>
      <c r="C44" s="102" t="s">
        <v>5489</v>
      </c>
      <c r="D44" s="63" t="s">
        <v>5380</v>
      </c>
      <c r="E44" s="86" t="s">
        <v>1</v>
      </c>
      <c r="F44" s="104" t="s">
        <v>5489</v>
      </c>
      <c r="G44" s="63">
        <v>1.0</v>
      </c>
      <c r="H44" s="63" t="s">
        <v>5448</v>
      </c>
      <c r="I44" s="63" t="s">
        <v>31</v>
      </c>
      <c r="J44" s="87"/>
      <c r="K44" s="88"/>
      <c r="L44" s="89"/>
      <c r="M44" s="89"/>
      <c r="N44" s="89"/>
      <c r="O44" s="89"/>
      <c r="P44" s="89"/>
      <c r="Q44" s="89"/>
      <c r="R44" s="89"/>
      <c r="S44" s="89"/>
      <c r="T44" s="89"/>
      <c r="U44" s="89"/>
      <c r="V44" s="89"/>
      <c r="W44" s="89"/>
      <c r="X44" s="89"/>
      <c r="Y44" s="89"/>
      <c r="Z44" s="89"/>
      <c r="AA44" s="89"/>
      <c r="AB44" s="89"/>
      <c r="AC44" s="89"/>
      <c r="AD44" s="89"/>
    </row>
    <row r="45">
      <c r="A45" s="90" t="s">
        <v>5452</v>
      </c>
      <c r="B45" s="91" t="s">
        <v>5446</v>
      </c>
      <c r="C45" s="100" t="s">
        <v>5490</v>
      </c>
      <c r="D45" s="99" t="s">
        <v>5434</v>
      </c>
      <c r="E45" s="91" t="s">
        <v>5447</v>
      </c>
      <c r="F45" s="93" t="s">
        <v>5490</v>
      </c>
      <c r="G45" s="69">
        <v>1.0</v>
      </c>
      <c r="H45" s="69" t="s">
        <v>5448</v>
      </c>
      <c r="I45" s="69" t="s">
        <v>5491</v>
      </c>
      <c r="J45" s="94"/>
      <c r="K45" s="95"/>
      <c r="L45" s="89"/>
      <c r="M45" s="89"/>
      <c r="N45" s="89"/>
      <c r="O45" s="89"/>
      <c r="P45" s="89"/>
      <c r="Q45" s="89"/>
      <c r="R45" s="89"/>
      <c r="S45" s="89"/>
      <c r="T45" s="89"/>
      <c r="U45" s="89"/>
      <c r="V45" s="89"/>
      <c r="W45" s="89"/>
      <c r="X45" s="89"/>
      <c r="Y45" s="89"/>
      <c r="Z45" s="89"/>
      <c r="AA45" s="89"/>
      <c r="AB45" s="89"/>
      <c r="AC45" s="89"/>
      <c r="AD45" s="89"/>
    </row>
    <row r="46">
      <c r="A46" s="83" t="s">
        <v>5452</v>
      </c>
      <c r="B46" s="84" t="s">
        <v>5446</v>
      </c>
      <c r="C46" s="102" t="s">
        <v>5492</v>
      </c>
      <c r="D46" s="97" t="s">
        <v>5493</v>
      </c>
      <c r="E46" s="84" t="s">
        <v>5447</v>
      </c>
      <c r="F46" s="86" t="s">
        <v>5492</v>
      </c>
      <c r="G46" s="63">
        <v>1.0</v>
      </c>
      <c r="H46" s="63" t="s">
        <v>5448</v>
      </c>
      <c r="I46" s="63" t="s">
        <v>5491</v>
      </c>
      <c r="J46" s="87"/>
      <c r="K46" s="88">
        <v>144.0</v>
      </c>
      <c r="L46" s="89"/>
      <c r="M46" s="89"/>
      <c r="N46" s="89"/>
      <c r="O46" s="89"/>
      <c r="P46" s="89"/>
      <c r="Q46" s="89"/>
      <c r="R46" s="89"/>
      <c r="S46" s="89"/>
      <c r="T46" s="89"/>
      <c r="U46" s="89"/>
      <c r="V46" s="89"/>
      <c r="W46" s="89"/>
      <c r="X46" s="89"/>
      <c r="Y46" s="89"/>
      <c r="Z46" s="89"/>
      <c r="AA46" s="89"/>
      <c r="AB46" s="89"/>
      <c r="AC46" s="89"/>
      <c r="AD46" s="89"/>
    </row>
    <row r="47">
      <c r="A47" s="90" t="s">
        <v>5452</v>
      </c>
      <c r="B47" s="91" t="s">
        <v>5450</v>
      </c>
      <c r="C47" s="92" t="s">
        <v>3914</v>
      </c>
      <c r="D47" s="108" t="s">
        <v>3915</v>
      </c>
      <c r="E47" s="93" t="s">
        <v>1</v>
      </c>
      <c r="F47" s="93" t="s">
        <v>5494</v>
      </c>
      <c r="G47" s="69">
        <v>1.0</v>
      </c>
      <c r="H47" s="69" t="s">
        <v>5448</v>
      </c>
      <c r="I47" s="67" t="s">
        <v>1115</v>
      </c>
      <c r="J47" s="94"/>
      <c r="K47" s="95"/>
      <c r="L47" s="89"/>
      <c r="M47" s="89"/>
      <c r="N47" s="89"/>
      <c r="O47" s="89"/>
      <c r="P47" s="89"/>
      <c r="Q47" s="89"/>
      <c r="R47" s="89"/>
      <c r="S47" s="89"/>
      <c r="T47" s="89"/>
      <c r="U47" s="89"/>
      <c r="V47" s="89"/>
      <c r="W47" s="89"/>
      <c r="X47" s="89"/>
      <c r="Y47" s="89"/>
      <c r="Z47" s="89"/>
      <c r="AA47" s="89"/>
      <c r="AB47" s="89"/>
      <c r="AC47" s="89"/>
      <c r="AD47" s="89"/>
    </row>
    <row r="48">
      <c r="A48" s="83" t="s">
        <v>5452</v>
      </c>
      <c r="B48" s="84" t="s">
        <v>5450</v>
      </c>
      <c r="C48" s="85" t="s">
        <v>5294</v>
      </c>
      <c r="D48" s="107" t="s">
        <v>5295</v>
      </c>
      <c r="E48" s="86" t="s">
        <v>1</v>
      </c>
      <c r="F48" s="86" t="s">
        <v>5495</v>
      </c>
      <c r="G48" s="63">
        <v>1.0</v>
      </c>
      <c r="H48" s="63" t="s">
        <v>5448</v>
      </c>
      <c r="I48" s="61" t="s">
        <v>1115</v>
      </c>
      <c r="J48" s="63"/>
      <c r="K48" s="88"/>
      <c r="L48" s="89"/>
      <c r="M48" s="89"/>
      <c r="N48" s="89"/>
      <c r="O48" s="89"/>
      <c r="P48" s="89"/>
      <c r="Q48" s="89"/>
      <c r="R48" s="89"/>
      <c r="S48" s="89"/>
      <c r="T48" s="89"/>
      <c r="U48" s="89"/>
      <c r="V48" s="89"/>
      <c r="W48" s="89"/>
      <c r="X48" s="89"/>
      <c r="Y48" s="89"/>
      <c r="Z48" s="89"/>
      <c r="AA48" s="89"/>
      <c r="AB48" s="89"/>
      <c r="AC48" s="89"/>
      <c r="AD48" s="89"/>
    </row>
    <row r="49">
      <c r="A49" s="90" t="s">
        <v>5452</v>
      </c>
      <c r="B49" s="69" t="s">
        <v>5446</v>
      </c>
      <c r="C49" s="110" t="s">
        <v>345</v>
      </c>
      <c r="D49" s="69" t="s">
        <v>5496</v>
      </c>
      <c r="E49" s="93" t="s">
        <v>1</v>
      </c>
      <c r="F49" s="110" t="s">
        <v>345</v>
      </c>
      <c r="G49" s="69">
        <v>1.0</v>
      </c>
      <c r="H49" s="69" t="s">
        <v>5448</v>
      </c>
      <c r="I49" s="69" t="s">
        <v>31</v>
      </c>
      <c r="J49" s="69"/>
      <c r="K49" s="95">
        <v>144.0</v>
      </c>
      <c r="L49" s="89"/>
      <c r="M49" s="89"/>
      <c r="N49" s="89"/>
      <c r="O49" s="89"/>
      <c r="P49" s="89"/>
      <c r="Q49" s="89"/>
      <c r="R49" s="89"/>
      <c r="S49" s="89"/>
      <c r="T49" s="89"/>
      <c r="U49" s="89"/>
      <c r="V49" s="89"/>
      <c r="W49" s="89"/>
      <c r="X49" s="89"/>
      <c r="Y49" s="89"/>
      <c r="Z49" s="89"/>
      <c r="AA49" s="89"/>
      <c r="AB49" s="89"/>
      <c r="AC49" s="89"/>
      <c r="AD49" s="89"/>
    </row>
    <row r="50">
      <c r="A50" s="83" t="s">
        <v>5452</v>
      </c>
      <c r="B50" s="63" t="s">
        <v>5450</v>
      </c>
      <c r="C50" s="61" t="s">
        <v>5497</v>
      </c>
      <c r="D50" s="63" t="s">
        <v>5498</v>
      </c>
      <c r="E50" s="84" t="s">
        <v>5447</v>
      </c>
      <c r="F50" s="61" t="s">
        <v>5497</v>
      </c>
      <c r="G50" s="63">
        <v>1.0</v>
      </c>
      <c r="H50" s="63" t="s">
        <v>5448</v>
      </c>
      <c r="I50" s="63" t="s">
        <v>31</v>
      </c>
      <c r="J50" s="87"/>
      <c r="K50" s="88">
        <v>20.0</v>
      </c>
      <c r="L50" s="89"/>
      <c r="M50" s="89"/>
      <c r="N50" s="89"/>
      <c r="O50" s="89"/>
      <c r="P50" s="89"/>
      <c r="Q50" s="89"/>
      <c r="R50" s="89"/>
      <c r="S50" s="89"/>
      <c r="T50" s="89"/>
      <c r="U50" s="89"/>
      <c r="V50" s="89"/>
      <c r="W50" s="89"/>
      <c r="X50" s="89"/>
      <c r="Y50" s="89"/>
      <c r="Z50" s="89"/>
      <c r="AA50" s="89"/>
      <c r="AB50" s="89"/>
      <c r="AC50" s="89"/>
      <c r="AD50" s="89"/>
    </row>
    <row r="51">
      <c r="A51" s="111" t="s">
        <v>5452</v>
      </c>
      <c r="B51" s="91" t="s">
        <v>5446</v>
      </c>
      <c r="C51" s="69" t="s">
        <v>5499</v>
      </c>
      <c r="D51" s="69" t="s">
        <v>5500</v>
      </c>
      <c r="E51" s="69" t="s">
        <v>5447</v>
      </c>
      <c r="F51" s="69" t="s">
        <v>5499</v>
      </c>
      <c r="G51" s="69">
        <v>1.0</v>
      </c>
      <c r="H51" s="69" t="s">
        <v>5448</v>
      </c>
      <c r="I51" s="69" t="s">
        <v>5501</v>
      </c>
      <c r="J51" s="94"/>
      <c r="K51" s="95">
        <v>12.0</v>
      </c>
      <c r="L51" s="89"/>
      <c r="M51" s="89"/>
      <c r="N51" s="89"/>
      <c r="O51" s="89"/>
      <c r="P51" s="89"/>
      <c r="Q51" s="89"/>
      <c r="R51" s="89"/>
      <c r="S51" s="89"/>
      <c r="T51" s="89"/>
      <c r="U51" s="89"/>
      <c r="V51" s="89"/>
      <c r="W51" s="89"/>
      <c r="X51" s="89"/>
      <c r="Y51" s="89"/>
      <c r="Z51" s="89"/>
      <c r="AA51" s="89"/>
      <c r="AB51" s="89"/>
      <c r="AC51" s="89"/>
      <c r="AD51" s="89"/>
    </row>
    <row r="52">
      <c r="A52" s="112" t="s">
        <v>5452</v>
      </c>
      <c r="B52" s="84" t="s">
        <v>5446</v>
      </c>
      <c r="C52" s="63" t="s">
        <v>5502</v>
      </c>
      <c r="D52" s="63" t="s">
        <v>5503</v>
      </c>
      <c r="E52" s="63" t="s">
        <v>5447</v>
      </c>
      <c r="F52" s="63" t="s">
        <v>5502</v>
      </c>
      <c r="G52" s="63">
        <v>1.0</v>
      </c>
      <c r="H52" s="63" t="s">
        <v>5448</v>
      </c>
      <c r="I52" s="63" t="s">
        <v>5501</v>
      </c>
      <c r="J52" s="87"/>
      <c r="K52" s="88">
        <v>12.0</v>
      </c>
      <c r="L52" s="89"/>
      <c r="M52" s="89"/>
      <c r="N52" s="89"/>
      <c r="O52" s="89"/>
      <c r="P52" s="89"/>
      <c r="Q52" s="89"/>
      <c r="R52" s="89"/>
      <c r="S52" s="89"/>
      <c r="T52" s="89"/>
      <c r="U52" s="89"/>
      <c r="V52" s="89"/>
      <c r="W52" s="89"/>
      <c r="X52" s="89"/>
      <c r="Y52" s="89"/>
      <c r="Z52" s="89"/>
      <c r="AA52" s="89"/>
      <c r="AB52" s="89"/>
      <c r="AC52" s="89"/>
      <c r="AD52" s="89"/>
    </row>
    <row r="53">
      <c r="A53" s="113" t="s">
        <v>5452</v>
      </c>
      <c r="B53" s="114" t="s">
        <v>5446</v>
      </c>
      <c r="C53" s="69" t="s">
        <v>5504</v>
      </c>
      <c r="D53" s="115" t="s">
        <v>5505</v>
      </c>
      <c r="E53" s="116" t="s">
        <v>5447</v>
      </c>
      <c r="F53" s="115" t="s">
        <v>5504</v>
      </c>
      <c r="G53" s="117">
        <v>1.0</v>
      </c>
      <c r="H53" s="116" t="s">
        <v>5448</v>
      </c>
      <c r="I53" s="116" t="s">
        <v>5501</v>
      </c>
      <c r="J53" s="118"/>
      <c r="K53" s="119">
        <v>12.0</v>
      </c>
      <c r="L53" s="89"/>
      <c r="M53" s="89"/>
      <c r="N53" s="89"/>
      <c r="O53" s="89"/>
      <c r="P53" s="89"/>
      <c r="Q53" s="89"/>
      <c r="R53" s="89"/>
      <c r="S53" s="89"/>
      <c r="T53" s="89"/>
      <c r="U53" s="89"/>
      <c r="V53" s="89"/>
      <c r="W53" s="89"/>
      <c r="X53" s="89"/>
      <c r="Y53" s="89"/>
      <c r="Z53" s="89"/>
      <c r="AA53" s="89"/>
      <c r="AB53" s="89"/>
      <c r="AC53" s="89"/>
      <c r="AD53" s="89"/>
    </row>
    <row r="54">
      <c r="A54" s="120" t="s">
        <v>5452</v>
      </c>
      <c r="B54" s="121" t="s">
        <v>5450</v>
      </c>
      <c r="C54" s="122" t="s">
        <v>598</v>
      </c>
      <c r="D54" s="123" t="s">
        <v>5506</v>
      </c>
      <c r="E54" s="86" t="s">
        <v>1</v>
      </c>
      <c r="F54" s="123" t="s">
        <v>5507</v>
      </c>
      <c r="G54" s="124">
        <v>1.0</v>
      </c>
      <c r="H54" s="125" t="s">
        <v>5448</v>
      </c>
      <c r="I54" s="123" t="s">
        <v>5508</v>
      </c>
      <c r="J54" s="126"/>
      <c r="K54" s="127">
        <v>1.0</v>
      </c>
      <c r="L54" s="89"/>
      <c r="M54" s="89"/>
      <c r="N54" s="89"/>
      <c r="O54" s="89"/>
      <c r="P54" s="89"/>
      <c r="Q54" s="89"/>
      <c r="R54" s="89"/>
      <c r="S54" s="89"/>
      <c r="T54" s="89"/>
      <c r="U54" s="89"/>
      <c r="V54" s="89"/>
      <c r="W54" s="89"/>
      <c r="X54" s="89"/>
      <c r="Y54" s="89"/>
      <c r="Z54" s="89"/>
      <c r="AA54" s="89"/>
      <c r="AB54" s="89"/>
      <c r="AC54" s="89"/>
      <c r="AD54" s="89"/>
    </row>
    <row r="55">
      <c r="A55" s="113" t="s">
        <v>5452</v>
      </c>
      <c r="B55" s="114" t="s">
        <v>5446</v>
      </c>
      <c r="C55" s="69" t="s">
        <v>5507</v>
      </c>
      <c r="D55" s="115" t="s">
        <v>5509</v>
      </c>
      <c r="E55" s="116" t="s">
        <v>5447</v>
      </c>
      <c r="F55" s="115" t="s">
        <v>5507</v>
      </c>
      <c r="G55" s="128">
        <v>1.0</v>
      </c>
      <c r="H55" s="116" t="s">
        <v>5448</v>
      </c>
      <c r="I55" s="115" t="s">
        <v>5508</v>
      </c>
      <c r="J55" s="118"/>
      <c r="K55" s="119">
        <v>1.0</v>
      </c>
      <c r="L55" s="89"/>
      <c r="M55" s="89"/>
      <c r="N55" s="89"/>
      <c r="O55" s="89"/>
      <c r="P55" s="89"/>
      <c r="Q55" s="89"/>
      <c r="R55" s="89"/>
      <c r="S55" s="89"/>
      <c r="T55" s="89"/>
      <c r="U55" s="89"/>
      <c r="V55" s="89"/>
      <c r="W55" s="89"/>
      <c r="X55" s="89"/>
      <c r="Y55" s="89"/>
      <c r="Z55" s="89"/>
      <c r="AA55" s="89"/>
      <c r="AB55" s="89"/>
      <c r="AC55" s="89"/>
      <c r="AD55" s="89"/>
    </row>
    <row r="56">
      <c r="A56" s="120" t="s">
        <v>5452</v>
      </c>
      <c r="B56" s="129" t="s">
        <v>5446</v>
      </c>
      <c r="C56" s="63" t="s">
        <v>5510</v>
      </c>
      <c r="D56" s="123" t="s">
        <v>5511</v>
      </c>
      <c r="E56" s="86" t="s">
        <v>1</v>
      </c>
      <c r="F56" s="123" t="s">
        <v>5510</v>
      </c>
      <c r="G56" s="124">
        <v>1.0</v>
      </c>
      <c r="H56" s="123" t="s">
        <v>5448</v>
      </c>
      <c r="I56" s="63" t="s">
        <v>31</v>
      </c>
      <c r="J56" s="126"/>
      <c r="K56" s="127">
        <v>144.0</v>
      </c>
      <c r="L56" s="89"/>
      <c r="M56" s="89"/>
      <c r="N56" s="89"/>
      <c r="O56" s="89"/>
      <c r="P56" s="89"/>
      <c r="Q56" s="89"/>
      <c r="R56" s="89"/>
      <c r="S56" s="89"/>
      <c r="T56" s="89"/>
      <c r="U56" s="89"/>
      <c r="V56" s="89"/>
      <c r="W56" s="89"/>
      <c r="X56" s="89"/>
      <c r="Y56" s="89"/>
      <c r="Z56" s="89"/>
      <c r="AA56" s="89"/>
      <c r="AB56" s="89"/>
      <c r="AC56" s="89"/>
      <c r="AD56" s="89"/>
    </row>
    <row r="57">
      <c r="A57" s="113" t="s">
        <v>5452</v>
      </c>
      <c r="B57" s="114" t="s">
        <v>5446</v>
      </c>
      <c r="C57" s="69" t="s">
        <v>5512</v>
      </c>
      <c r="D57" s="115" t="s">
        <v>5513</v>
      </c>
      <c r="E57" s="93" t="s">
        <v>1</v>
      </c>
      <c r="F57" s="115" t="s">
        <v>5512</v>
      </c>
      <c r="G57" s="128">
        <v>1.0</v>
      </c>
      <c r="H57" s="115" t="s">
        <v>5448</v>
      </c>
      <c r="I57" s="69" t="s">
        <v>31</v>
      </c>
      <c r="J57" s="118"/>
      <c r="K57" s="119">
        <v>144.0</v>
      </c>
      <c r="L57" s="89"/>
      <c r="M57" s="89"/>
      <c r="N57" s="89"/>
      <c r="O57" s="89"/>
      <c r="P57" s="89"/>
      <c r="Q57" s="89"/>
      <c r="R57" s="89"/>
      <c r="S57" s="89"/>
      <c r="T57" s="89"/>
      <c r="U57" s="89"/>
      <c r="V57" s="89"/>
      <c r="W57" s="89"/>
      <c r="X57" s="89"/>
      <c r="Y57" s="89"/>
      <c r="Z57" s="89"/>
      <c r="AA57" s="89"/>
      <c r="AB57" s="89"/>
      <c r="AC57" s="89"/>
      <c r="AD57" s="89"/>
    </row>
    <row r="58">
      <c r="A58" s="120" t="s">
        <v>5452</v>
      </c>
      <c r="B58" s="129" t="s">
        <v>5446</v>
      </c>
      <c r="C58" s="63" t="s">
        <v>291</v>
      </c>
      <c r="D58" s="123" t="s">
        <v>5514</v>
      </c>
      <c r="E58" s="86" t="s">
        <v>1</v>
      </c>
      <c r="F58" s="123" t="s">
        <v>291</v>
      </c>
      <c r="G58" s="124">
        <v>1.0</v>
      </c>
      <c r="H58" s="123" t="s">
        <v>5448</v>
      </c>
      <c r="I58" s="63" t="s">
        <v>5515</v>
      </c>
      <c r="J58" s="126"/>
      <c r="K58" s="127">
        <v>10.0</v>
      </c>
      <c r="L58" s="89"/>
      <c r="M58" s="89"/>
      <c r="N58" s="89"/>
      <c r="O58" s="89"/>
      <c r="P58" s="89"/>
      <c r="Q58" s="89"/>
      <c r="R58" s="89"/>
      <c r="S58" s="89"/>
      <c r="T58" s="89"/>
      <c r="U58" s="89"/>
      <c r="V58" s="89"/>
      <c r="W58" s="89"/>
      <c r="X58" s="89"/>
      <c r="Y58" s="89"/>
      <c r="Z58" s="89"/>
      <c r="AA58" s="89"/>
      <c r="AB58" s="89"/>
      <c r="AC58" s="89"/>
      <c r="AD58" s="89"/>
    </row>
    <row r="59">
      <c r="A59" s="113" t="s">
        <v>5452</v>
      </c>
      <c r="B59" s="114" t="s">
        <v>5446</v>
      </c>
      <c r="C59" s="69" t="s">
        <v>1374</v>
      </c>
      <c r="D59" s="115" t="s">
        <v>5516</v>
      </c>
      <c r="E59" s="93" t="s">
        <v>1</v>
      </c>
      <c r="F59" s="69" t="s">
        <v>1374</v>
      </c>
      <c r="G59" s="128">
        <v>6.0</v>
      </c>
      <c r="H59" s="115" t="s">
        <v>5448</v>
      </c>
      <c r="I59" s="69" t="s">
        <v>5517</v>
      </c>
      <c r="J59" s="118"/>
      <c r="K59" s="119"/>
      <c r="L59" s="89"/>
      <c r="M59" s="89"/>
      <c r="N59" s="89"/>
      <c r="O59" s="89"/>
      <c r="P59" s="89"/>
      <c r="Q59" s="89"/>
      <c r="R59" s="89"/>
      <c r="S59" s="89"/>
      <c r="T59" s="89"/>
      <c r="U59" s="89"/>
      <c r="V59" s="89"/>
      <c r="W59" s="89"/>
      <c r="X59" s="89"/>
      <c r="Y59" s="89"/>
      <c r="Z59" s="89"/>
      <c r="AA59" s="89"/>
      <c r="AB59" s="89"/>
      <c r="AC59" s="89"/>
      <c r="AD59" s="89"/>
    </row>
    <row r="60">
      <c r="A60" s="120" t="s">
        <v>5452</v>
      </c>
      <c r="B60" s="129" t="s">
        <v>5446</v>
      </c>
      <c r="C60" s="63" t="s">
        <v>275</v>
      </c>
      <c r="D60" s="123" t="s">
        <v>5518</v>
      </c>
      <c r="E60" s="86" t="s">
        <v>1</v>
      </c>
      <c r="F60" s="63" t="s">
        <v>275</v>
      </c>
      <c r="G60" s="124">
        <v>6.0</v>
      </c>
      <c r="H60" s="123" t="s">
        <v>5448</v>
      </c>
      <c r="I60" s="63" t="s">
        <v>5517</v>
      </c>
      <c r="J60" s="126"/>
      <c r="K60" s="127"/>
      <c r="L60" s="89"/>
      <c r="M60" s="89"/>
      <c r="N60" s="89"/>
      <c r="O60" s="89"/>
      <c r="P60" s="89"/>
      <c r="Q60" s="89"/>
      <c r="R60" s="89"/>
      <c r="S60" s="89"/>
      <c r="T60" s="89"/>
      <c r="U60" s="89"/>
      <c r="V60" s="89"/>
      <c r="W60" s="89"/>
      <c r="X60" s="89"/>
      <c r="Y60" s="89"/>
      <c r="Z60" s="89"/>
      <c r="AA60" s="89"/>
      <c r="AB60" s="89"/>
      <c r="AC60" s="89"/>
      <c r="AD60" s="89"/>
    </row>
    <row r="61">
      <c r="A61" s="113" t="s">
        <v>5452</v>
      </c>
      <c r="B61" s="114" t="s">
        <v>5446</v>
      </c>
      <c r="C61" s="67" t="s">
        <v>299</v>
      </c>
      <c r="D61" s="130" t="s">
        <v>5519</v>
      </c>
      <c r="E61" s="93" t="s">
        <v>1</v>
      </c>
      <c r="F61" s="67" t="s">
        <v>299</v>
      </c>
      <c r="G61" s="128">
        <v>6.0</v>
      </c>
      <c r="H61" s="115" t="s">
        <v>5448</v>
      </c>
      <c r="I61" s="69" t="s">
        <v>5520</v>
      </c>
      <c r="J61" s="118"/>
      <c r="K61" s="119"/>
      <c r="L61" s="89"/>
      <c r="M61" s="89"/>
      <c r="N61" s="89"/>
      <c r="O61" s="89"/>
      <c r="P61" s="89"/>
      <c r="Q61" s="89"/>
      <c r="R61" s="89"/>
      <c r="S61" s="89"/>
      <c r="T61" s="89"/>
      <c r="U61" s="89"/>
      <c r="V61" s="89"/>
      <c r="W61" s="89"/>
      <c r="X61" s="89"/>
      <c r="Y61" s="89"/>
      <c r="Z61" s="89"/>
      <c r="AA61" s="89"/>
      <c r="AB61" s="89"/>
      <c r="AC61" s="89"/>
      <c r="AD61" s="89"/>
    </row>
    <row r="62">
      <c r="A62" s="131" t="s">
        <v>5452</v>
      </c>
      <c r="B62" s="132" t="s">
        <v>5446</v>
      </c>
      <c r="C62" s="133" t="s">
        <v>931</v>
      </c>
      <c r="D62" s="134" t="s">
        <v>5427</v>
      </c>
      <c r="E62" s="135" t="s">
        <v>1</v>
      </c>
      <c r="F62" s="133" t="s">
        <v>931</v>
      </c>
      <c r="G62" s="136">
        <v>6.0</v>
      </c>
      <c r="H62" s="137" t="s">
        <v>5448</v>
      </c>
      <c r="I62" s="136" t="s">
        <v>5520</v>
      </c>
      <c r="J62" s="138"/>
      <c r="K62" s="139"/>
      <c r="L62" s="89"/>
      <c r="M62" s="89"/>
      <c r="N62" s="89"/>
      <c r="O62" s="89"/>
      <c r="P62" s="89"/>
      <c r="Q62" s="89"/>
      <c r="R62" s="89"/>
      <c r="S62" s="89"/>
      <c r="T62" s="89"/>
      <c r="U62" s="89"/>
      <c r="V62" s="89"/>
      <c r="W62" s="89"/>
      <c r="X62" s="89"/>
      <c r="Y62" s="89"/>
      <c r="Z62" s="89"/>
      <c r="AA62" s="89"/>
      <c r="AB62" s="89"/>
      <c r="AC62" s="89"/>
      <c r="AD62" s="89"/>
    </row>
    <row r="63">
      <c r="A63" s="89"/>
      <c r="B63" s="89"/>
      <c r="C63" s="140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89"/>
      <c r="R63" s="89"/>
      <c r="S63" s="89"/>
      <c r="T63" s="89"/>
      <c r="U63" s="89"/>
      <c r="V63" s="89"/>
      <c r="W63" s="89"/>
      <c r="X63" s="89"/>
      <c r="Y63" s="89"/>
      <c r="Z63" s="89"/>
      <c r="AA63" s="89"/>
      <c r="AB63" s="89"/>
      <c r="AC63" s="89"/>
      <c r="AD63" s="89"/>
    </row>
    <row r="64">
      <c r="A64" s="89"/>
      <c r="B64" s="89"/>
      <c r="C64" s="140"/>
      <c r="D64" s="89"/>
      <c r="E64" s="89"/>
      <c r="F64" s="89"/>
      <c r="G64" s="89"/>
      <c r="H64" s="89"/>
      <c r="I64" s="89"/>
      <c r="J64" s="89"/>
      <c r="K64" s="89"/>
      <c r="L64" s="89"/>
      <c r="M64" s="89"/>
      <c r="N64" s="89"/>
      <c r="O64" s="89"/>
      <c r="P64" s="89"/>
      <c r="Q64" s="89"/>
      <c r="R64" s="89"/>
      <c r="S64" s="89"/>
      <c r="T64" s="89"/>
      <c r="U64" s="89"/>
      <c r="V64" s="89"/>
      <c r="W64" s="89"/>
      <c r="X64" s="89"/>
      <c r="Y64" s="89"/>
      <c r="Z64" s="89"/>
      <c r="AA64" s="89"/>
      <c r="AB64" s="89"/>
      <c r="AC64" s="89"/>
      <c r="AD64" s="89"/>
    </row>
    <row r="65">
      <c r="A65" s="89"/>
      <c r="B65" s="89"/>
      <c r="C65" s="140"/>
      <c r="D65" s="89"/>
      <c r="E65" s="89"/>
      <c r="F65" s="89"/>
      <c r="G65" s="89"/>
      <c r="H65" s="89"/>
      <c r="I65" s="89"/>
      <c r="J65" s="89"/>
      <c r="K65" s="89"/>
      <c r="L65" s="89"/>
      <c r="M65" s="89"/>
      <c r="N65" s="89"/>
      <c r="O65" s="89"/>
      <c r="P65" s="89"/>
      <c r="Q65" s="89"/>
      <c r="R65" s="89"/>
      <c r="S65" s="89"/>
      <c r="T65" s="89"/>
      <c r="U65" s="89"/>
      <c r="V65" s="89"/>
      <c r="W65" s="89"/>
      <c r="X65" s="89"/>
      <c r="Y65" s="89"/>
      <c r="Z65" s="89"/>
      <c r="AA65" s="89"/>
      <c r="AB65" s="89"/>
      <c r="AC65" s="89"/>
      <c r="AD65" s="89"/>
    </row>
    <row r="66">
      <c r="A66" s="89"/>
      <c r="B66" s="89"/>
      <c r="C66" s="140"/>
      <c r="D66" s="89"/>
      <c r="E66" s="89"/>
      <c r="F66" s="89"/>
      <c r="G66" s="89"/>
      <c r="H66" s="89"/>
      <c r="I66" s="89"/>
      <c r="J66" s="89"/>
      <c r="K66" s="89"/>
      <c r="L66" s="89"/>
      <c r="M66" s="89"/>
      <c r="N66" s="89"/>
      <c r="O66" s="89"/>
      <c r="P66" s="89"/>
      <c r="Q66" s="89"/>
      <c r="R66" s="89"/>
      <c r="S66" s="89"/>
      <c r="T66" s="89"/>
      <c r="U66" s="89"/>
      <c r="V66" s="89"/>
      <c r="W66" s="89"/>
      <c r="X66" s="89"/>
      <c r="Y66" s="89"/>
      <c r="Z66" s="89"/>
      <c r="AA66" s="89"/>
      <c r="AB66" s="89"/>
      <c r="AC66" s="89"/>
      <c r="AD66" s="89"/>
    </row>
    <row r="67">
      <c r="A67" s="89"/>
      <c r="B67" s="89"/>
      <c r="C67" s="140"/>
      <c r="D67" s="89"/>
      <c r="E67" s="89"/>
      <c r="F67" s="89"/>
      <c r="G67" s="89"/>
      <c r="H67" s="89"/>
      <c r="I67" s="89"/>
      <c r="J67" s="89"/>
      <c r="K67" s="89"/>
      <c r="L67" s="89"/>
      <c r="M67" s="89"/>
      <c r="N67" s="89"/>
      <c r="O67" s="89"/>
      <c r="P67" s="89"/>
      <c r="Q67" s="89"/>
      <c r="R67" s="89"/>
      <c r="S67" s="89"/>
      <c r="T67" s="89"/>
      <c r="U67" s="89"/>
      <c r="V67" s="89"/>
      <c r="W67" s="89"/>
      <c r="X67" s="89"/>
      <c r="Y67" s="89"/>
      <c r="Z67" s="89"/>
      <c r="AA67" s="89"/>
      <c r="AB67" s="89"/>
      <c r="AC67" s="89"/>
      <c r="AD67" s="89"/>
    </row>
    <row r="68">
      <c r="A68" s="89"/>
      <c r="B68" s="89"/>
      <c r="C68" s="140"/>
      <c r="D68" s="89"/>
      <c r="E68" s="89"/>
      <c r="F68" s="89"/>
      <c r="G68" s="89"/>
      <c r="H68" s="89"/>
      <c r="I68" s="89"/>
      <c r="J68" s="89"/>
      <c r="K68" s="89"/>
      <c r="L68" s="89"/>
      <c r="M68" s="89"/>
      <c r="N68" s="89"/>
      <c r="O68" s="89"/>
      <c r="P68" s="89"/>
      <c r="Q68" s="89"/>
      <c r="R68" s="89"/>
      <c r="S68" s="89"/>
      <c r="T68" s="89"/>
      <c r="U68" s="89"/>
      <c r="V68" s="89"/>
      <c r="W68" s="89"/>
      <c r="X68" s="89"/>
      <c r="Y68" s="89"/>
      <c r="Z68" s="89"/>
      <c r="AA68" s="89"/>
      <c r="AB68" s="89"/>
      <c r="AC68" s="89"/>
      <c r="AD68" s="89"/>
    </row>
    <row r="69">
      <c r="A69" s="89"/>
      <c r="B69" s="89"/>
      <c r="C69" s="140"/>
      <c r="D69" s="89"/>
      <c r="E69" s="89"/>
      <c r="F69" s="89"/>
      <c r="G69" s="89"/>
      <c r="H69" s="89"/>
      <c r="I69" s="89"/>
      <c r="J69" s="89"/>
      <c r="K69" s="89"/>
      <c r="L69" s="89"/>
      <c r="M69" s="89"/>
      <c r="N69" s="89"/>
      <c r="O69" s="89"/>
      <c r="P69" s="89"/>
      <c r="Q69" s="89"/>
      <c r="R69" s="89"/>
      <c r="S69" s="89"/>
      <c r="T69" s="89"/>
      <c r="U69" s="89"/>
      <c r="V69" s="89"/>
      <c r="W69" s="89"/>
      <c r="X69" s="89"/>
      <c r="Y69" s="89"/>
      <c r="Z69" s="89"/>
      <c r="AA69" s="89"/>
      <c r="AB69" s="89"/>
      <c r="AC69" s="89"/>
      <c r="AD69" s="89"/>
    </row>
    <row r="70">
      <c r="A70" s="89"/>
      <c r="B70" s="89"/>
      <c r="C70" s="140"/>
      <c r="D70" s="89"/>
      <c r="E70" s="89"/>
      <c r="F70" s="89"/>
      <c r="G70" s="89"/>
      <c r="H70" s="89"/>
      <c r="I70" s="89"/>
      <c r="J70" s="89"/>
      <c r="K70" s="89"/>
      <c r="L70" s="89"/>
      <c r="M70" s="89"/>
      <c r="N70" s="89"/>
      <c r="O70" s="89"/>
      <c r="P70" s="89"/>
      <c r="Q70" s="89"/>
      <c r="R70" s="89"/>
      <c r="S70" s="89"/>
      <c r="T70" s="89"/>
      <c r="U70" s="89"/>
      <c r="V70" s="89"/>
      <c r="W70" s="89"/>
      <c r="X70" s="89"/>
      <c r="Y70" s="89"/>
      <c r="Z70" s="89"/>
      <c r="AA70" s="89"/>
      <c r="AB70" s="89"/>
      <c r="AC70" s="89"/>
      <c r="AD70" s="89"/>
    </row>
    <row r="71">
      <c r="A71" s="89"/>
      <c r="B71" s="89"/>
      <c r="C71" s="140"/>
      <c r="D71" s="89"/>
      <c r="E71" s="89"/>
      <c r="F71" s="89"/>
      <c r="G71" s="89"/>
      <c r="H71" s="89"/>
      <c r="I71" s="89"/>
      <c r="J71" s="89"/>
      <c r="K71" s="89"/>
      <c r="L71" s="89"/>
      <c r="M71" s="89"/>
      <c r="N71" s="89"/>
      <c r="O71" s="89"/>
      <c r="P71" s="89"/>
      <c r="Q71" s="89"/>
      <c r="R71" s="89"/>
      <c r="S71" s="89"/>
      <c r="T71" s="89"/>
      <c r="U71" s="89"/>
      <c r="V71" s="89"/>
      <c r="W71" s="89"/>
      <c r="X71" s="89"/>
      <c r="Y71" s="89"/>
      <c r="Z71" s="89"/>
      <c r="AA71" s="89"/>
      <c r="AB71" s="89"/>
      <c r="AC71" s="89"/>
      <c r="AD71" s="89"/>
    </row>
    <row r="72">
      <c r="A72" s="89"/>
      <c r="B72" s="89"/>
      <c r="C72" s="140"/>
      <c r="D72" s="89"/>
      <c r="E72" s="89"/>
      <c r="F72" s="89"/>
      <c r="G72" s="89"/>
      <c r="H72" s="89"/>
      <c r="I72" s="89"/>
      <c r="J72" s="89"/>
      <c r="K72" s="89"/>
      <c r="L72" s="89"/>
      <c r="M72" s="89"/>
      <c r="N72" s="89"/>
      <c r="O72" s="89"/>
      <c r="P72" s="89"/>
      <c r="Q72" s="89"/>
      <c r="R72" s="89"/>
      <c r="S72" s="89"/>
      <c r="T72" s="89"/>
      <c r="U72" s="89"/>
      <c r="V72" s="89"/>
      <c r="W72" s="89"/>
      <c r="X72" s="89"/>
      <c r="Y72" s="89"/>
      <c r="Z72" s="89"/>
      <c r="AA72" s="89"/>
      <c r="AB72" s="89"/>
      <c r="AC72" s="89"/>
      <c r="AD72" s="89"/>
    </row>
    <row r="73">
      <c r="A73" s="89"/>
      <c r="B73" s="89"/>
      <c r="C73" s="140"/>
      <c r="D73" s="89"/>
      <c r="E73" s="89"/>
      <c r="F73" s="89"/>
      <c r="G73" s="89"/>
      <c r="H73" s="89"/>
      <c r="I73" s="89"/>
      <c r="J73" s="89"/>
      <c r="K73" s="89"/>
      <c r="L73" s="89"/>
      <c r="M73" s="89"/>
      <c r="N73" s="89"/>
      <c r="O73" s="89"/>
      <c r="P73" s="89"/>
      <c r="Q73" s="89"/>
      <c r="R73" s="89"/>
      <c r="S73" s="89"/>
      <c r="T73" s="89"/>
      <c r="U73" s="89"/>
      <c r="V73" s="89"/>
      <c r="W73" s="89"/>
      <c r="X73" s="89"/>
      <c r="Y73" s="89"/>
      <c r="Z73" s="89"/>
      <c r="AA73" s="89"/>
      <c r="AB73" s="89"/>
      <c r="AC73" s="89"/>
      <c r="AD73" s="89"/>
    </row>
    <row r="74">
      <c r="A74" s="89"/>
      <c r="B74" s="89"/>
      <c r="C74" s="140"/>
      <c r="D74" s="89"/>
      <c r="E74" s="89"/>
      <c r="F74" s="89"/>
      <c r="G74" s="89"/>
      <c r="H74" s="89"/>
      <c r="I74" s="89"/>
      <c r="J74" s="89"/>
      <c r="K74" s="89"/>
      <c r="L74" s="89"/>
      <c r="M74" s="89"/>
      <c r="N74" s="89"/>
      <c r="O74" s="89"/>
      <c r="P74" s="89"/>
      <c r="Q74" s="89"/>
      <c r="R74" s="89"/>
      <c r="S74" s="89"/>
      <c r="T74" s="89"/>
      <c r="U74" s="89"/>
      <c r="V74" s="89"/>
      <c r="W74" s="89"/>
      <c r="X74" s="89"/>
      <c r="Y74" s="89"/>
      <c r="Z74" s="89"/>
      <c r="AA74" s="89"/>
      <c r="AB74" s="89"/>
      <c r="AC74" s="89"/>
      <c r="AD74" s="89"/>
    </row>
    <row r="75">
      <c r="A75" s="89"/>
      <c r="B75" s="89"/>
      <c r="C75" s="140"/>
      <c r="D75" s="89"/>
      <c r="E75" s="89"/>
      <c r="F75" s="89"/>
      <c r="G75" s="89"/>
      <c r="H75" s="89"/>
      <c r="I75" s="89"/>
      <c r="J75" s="89"/>
      <c r="K75" s="89"/>
      <c r="L75" s="89"/>
      <c r="M75" s="89"/>
      <c r="N75" s="89"/>
      <c r="O75" s="89"/>
      <c r="P75" s="89"/>
      <c r="Q75" s="89"/>
      <c r="R75" s="89"/>
      <c r="S75" s="89"/>
      <c r="T75" s="89"/>
      <c r="U75" s="89"/>
      <c r="V75" s="89"/>
      <c r="W75" s="89"/>
      <c r="X75" s="89"/>
      <c r="Y75" s="89"/>
      <c r="Z75" s="89"/>
      <c r="AA75" s="89"/>
      <c r="AB75" s="89"/>
      <c r="AC75" s="89"/>
      <c r="AD75" s="89"/>
    </row>
    <row r="76">
      <c r="A76" s="89"/>
      <c r="B76" s="89"/>
      <c r="C76" s="140"/>
      <c r="D76" s="89"/>
      <c r="E76" s="89"/>
      <c r="F76" s="89"/>
      <c r="G76" s="89"/>
      <c r="H76" s="89"/>
      <c r="I76" s="89"/>
      <c r="J76" s="89"/>
      <c r="K76" s="89"/>
      <c r="L76" s="89"/>
      <c r="M76" s="89"/>
      <c r="N76" s="89"/>
      <c r="O76" s="89"/>
      <c r="P76" s="89"/>
      <c r="Q76" s="89"/>
      <c r="R76" s="89"/>
      <c r="S76" s="89"/>
      <c r="T76" s="89"/>
      <c r="U76" s="89"/>
      <c r="V76" s="89"/>
      <c r="W76" s="89"/>
      <c r="X76" s="89"/>
      <c r="Y76" s="89"/>
      <c r="Z76" s="89"/>
      <c r="AA76" s="89"/>
      <c r="AB76" s="89"/>
      <c r="AC76" s="89"/>
      <c r="AD76" s="89"/>
    </row>
    <row r="77">
      <c r="A77" s="89"/>
      <c r="B77" s="89"/>
      <c r="C77" s="140"/>
      <c r="D77" s="89"/>
      <c r="E77" s="89"/>
      <c r="F77" s="89"/>
      <c r="G77" s="89"/>
      <c r="H77" s="89"/>
      <c r="I77" s="89"/>
      <c r="J77" s="89"/>
      <c r="K77" s="89"/>
      <c r="L77" s="89"/>
      <c r="M77" s="89"/>
      <c r="N77" s="89"/>
      <c r="O77" s="89"/>
      <c r="P77" s="89"/>
      <c r="Q77" s="89"/>
      <c r="R77" s="89"/>
      <c r="S77" s="89"/>
      <c r="T77" s="89"/>
      <c r="U77" s="89"/>
      <c r="V77" s="89"/>
      <c r="W77" s="89"/>
      <c r="X77" s="89"/>
      <c r="Y77" s="89"/>
      <c r="Z77" s="89"/>
      <c r="AA77" s="89"/>
      <c r="AB77" s="89"/>
      <c r="AC77" s="89"/>
      <c r="AD77" s="89"/>
    </row>
    <row r="78">
      <c r="A78" s="89"/>
      <c r="B78" s="89"/>
      <c r="C78" s="140"/>
      <c r="D78" s="89"/>
      <c r="E78" s="89"/>
      <c r="F78" s="89"/>
      <c r="G78" s="89"/>
      <c r="H78" s="89"/>
      <c r="I78" s="89"/>
      <c r="J78" s="89"/>
      <c r="K78" s="89"/>
      <c r="L78" s="89"/>
      <c r="M78" s="89"/>
      <c r="N78" s="89"/>
      <c r="O78" s="89"/>
      <c r="P78" s="89"/>
      <c r="Q78" s="89"/>
      <c r="R78" s="89"/>
      <c r="S78" s="89"/>
      <c r="T78" s="89"/>
      <c r="U78" s="89"/>
      <c r="V78" s="89"/>
      <c r="W78" s="89"/>
      <c r="X78" s="89"/>
      <c r="Y78" s="89"/>
      <c r="Z78" s="89"/>
      <c r="AA78" s="89"/>
      <c r="AB78" s="89"/>
      <c r="AC78" s="89"/>
      <c r="AD78" s="89"/>
    </row>
    <row r="79">
      <c r="A79" s="89"/>
      <c r="B79" s="89"/>
      <c r="C79" s="140"/>
      <c r="D79" s="89"/>
      <c r="E79" s="89"/>
      <c r="F79" s="89"/>
      <c r="G79" s="89"/>
      <c r="H79" s="89"/>
      <c r="I79" s="89"/>
      <c r="J79" s="89"/>
      <c r="K79" s="89"/>
      <c r="L79" s="89"/>
      <c r="M79" s="89"/>
      <c r="N79" s="89"/>
      <c r="O79" s="89"/>
      <c r="P79" s="89"/>
      <c r="Q79" s="89"/>
      <c r="R79" s="89"/>
      <c r="S79" s="89"/>
      <c r="T79" s="89"/>
      <c r="U79" s="89"/>
      <c r="V79" s="89"/>
      <c r="W79" s="89"/>
      <c r="X79" s="89"/>
      <c r="Y79" s="89"/>
      <c r="Z79" s="89"/>
      <c r="AA79" s="89"/>
      <c r="AB79" s="89"/>
      <c r="AC79" s="89"/>
      <c r="AD79" s="89"/>
    </row>
    <row r="80">
      <c r="A80" s="89"/>
      <c r="B80" s="89"/>
      <c r="C80" s="140"/>
      <c r="D80" s="89"/>
      <c r="E80" s="89"/>
      <c r="F80" s="89"/>
      <c r="G80" s="89"/>
      <c r="H80" s="89"/>
      <c r="I80" s="89"/>
      <c r="J80" s="89"/>
      <c r="K80" s="89"/>
      <c r="L80" s="89"/>
      <c r="M80" s="89"/>
      <c r="N80" s="89"/>
      <c r="O80" s="89"/>
      <c r="P80" s="89"/>
      <c r="Q80" s="89"/>
      <c r="R80" s="89"/>
      <c r="S80" s="89"/>
      <c r="T80" s="89"/>
      <c r="U80" s="89"/>
      <c r="V80" s="89"/>
      <c r="W80" s="89"/>
      <c r="X80" s="89"/>
      <c r="Y80" s="89"/>
      <c r="Z80" s="89"/>
      <c r="AA80" s="89"/>
      <c r="AB80" s="89"/>
      <c r="AC80" s="89"/>
      <c r="AD80" s="89"/>
    </row>
    <row r="81">
      <c r="A81" s="89"/>
      <c r="B81" s="89"/>
      <c r="C81" s="140"/>
      <c r="D81" s="89"/>
      <c r="E81" s="89"/>
      <c r="F81" s="89"/>
      <c r="G81" s="89"/>
      <c r="H81" s="89"/>
      <c r="I81" s="89"/>
      <c r="J81" s="89"/>
      <c r="K81" s="89"/>
      <c r="L81" s="89"/>
      <c r="M81" s="89"/>
      <c r="N81" s="89"/>
      <c r="O81" s="89"/>
      <c r="P81" s="89"/>
      <c r="Q81" s="89"/>
      <c r="R81" s="89"/>
      <c r="S81" s="89"/>
      <c r="T81" s="89"/>
      <c r="U81" s="89"/>
      <c r="V81" s="89"/>
      <c r="W81" s="89"/>
      <c r="X81" s="89"/>
      <c r="Y81" s="89"/>
      <c r="Z81" s="89"/>
      <c r="AA81" s="89"/>
      <c r="AB81" s="89"/>
      <c r="AC81" s="89"/>
      <c r="AD81" s="89"/>
    </row>
    <row r="82">
      <c r="A82" s="89"/>
      <c r="B82" s="89"/>
      <c r="C82" s="140"/>
      <c r="D82" s="89"/>
      <c r="E82" s="89"/>
      <c r="F82" s="89"/>
      <c r="G82" s="89"/>
      <c r="H82" s="89"/>
      <c r="I82" s="89"/>
      <c r="J82" s="89"/>
      <c r="K82" s="89"/>
      <c r="L82" s="89"/>
      <c r="M82" s="89"/>
      <c r="N82" s="89"/>
      <c r="O82" s="89"/>
      <c r="P82" s="89"/>
      <c r="Q82" s="89"/>
      <c r="R82" s="89"/>
      <c r="S82" s="89"/>
      <c r="T82" s="89"/>
      <c r="U82" s="89"/>
      <c r="V82" s="89"/>
      <c r="W82" s="89"/>
      <c r="X82" s="89"/>
      <c r="Y82" s="89"/>
      <c r="Z82" s="89"/>
      <c r="AA82" s="89"/>
      <c r="AB82" s="89"/>
      <c r="AC82" s="89"/>
      <c r="AD82" s="89"/>
    </row>
    <row r="83">
      <c r="A83" s="89"/>
      <c r="B83" s="89"/>
      <c r="C83" s="140"/>
      <c r="D83" s="89"/>
      <c r="E83" s="89"/>
      <c r="F83" s="89"/>
      <c r="G83" s="89"/>
      <c r="H83" s="89"/>
      <c r="I83" s="89"/>
      <c r="J83" s="89"/>
      <c r="K83" s="89"/>
      <c r="L83" s="89"/>
      <c r="M83" s="89"/>
      <c r="N83" s="89"/>
      <c r="O83" s="89"/>
      <c r="P83" s="89"/>
      <c r="Q83" s="89"/>
      <c r="R83" s="89"/>
      <c r="S83" s="89"/>
      <c r="T83" s="89"/>
      <c r="U83" s="89"/>
      <c r="V83" s="89"/>
      <c r="W83" s="89"/>
      <c r="X83" s="89"/>
      <c r="Y83" s="89"/>
      <c r="Z83" s="89"/>
      <c r="AA83" s="89"/>
      <c r="AB83" s="89"/>
      <c r="AC83" s="89"/>
      <c r="AD83" s="89"/>
    </row>
    <row r="84">
      <c r="A84" s="89"/>
      <c r="B84" s="89"/>
      <c r="C84" s="140"/>
      <c r="D84" s="89"/>
      <c r="E84" s="89"/>
      <c r="F84" s="89"/>
      <c r="G84" s="89"/>
      <c r="H84" s="89"/>
      <c r="I84" s="89"/>
      <c r="J84" s="89"/>
      <c r="K84" s="89"/>
      <c r="L84" s="89"/>
      <c r="M84" s="89"/>
      <c r="N84" s="89"/>
      <c r="O84" s="89"/>
      <c r="P84" s="89"/>
      <c r="Q84" s="89"/>
      <c r="R84" s="89"/>
      <c r="S84" s="89"/>
      <c r="T84" s="89"/>
      <c r="U84" s="89"/>
      <c r="V84" s="89"/>
      <c r="W84" s="89"/>
      <c r="X84" s="89"/>
      <c r="Y84" s="89"/>
      <c r="Z84" s="89"/>
      <c r="AA84" s="89"/>
      <c r="AB84" s="89"/>
      <c r="AC84" s="89"/>
      <c r="AD84" s="89"/>
    </row>
    <row r="85">
      <c r="A85" s="89"/>
      <c r="B85" s="89"/>
      <c r="C85" s="140"/>
      <c r="D85" s="89"/>
      <c r="E85" s="89"/>
      <c r="F85" s="89"/>
      <c r="G85" s="89"/>
      <c r="H85" s="89"/>
      <c r="I85" s="89"/>
      <c r="J85" s="89"/>
      <c r="K85" s="89"/>
      <c r="L85" s="89"/>
      <c r="M85" s="89"/>
      <c r="N85" s="89"/>
      <c r="O85" s="89"/>
      <c r="P85" s="89"/>
      <c r="Q85" s="89"/>
      <c r="R85" s="89"/>
      <c r="S85" s="89"/>
      <c r="T85" s="89"/>
      <c r="U85" s="89"/>
      <c r="V85" s="89"/>
      <c r="W85" s="89"/>
      <c r="X85" s="89"/>
      <c r="Y85" s="89"/>
      <c r="Z85" s="89"/>
      <c r="AA85" s="89"/>
      <c r="AB85" s="89"/>
      <c r="AC85" s="89"/>
      <c r="AD85" s="89"/>
    </row>
    <row r="86">
      <c r="A86" s="89"/>
      <c r="B86" s="89"/>
      <c r="C86" s="140"/>
      <c r="D86" s="89"/>
      <c r="E86" s="89"/>
      <c r="F86" s="89"/>
      <c r="G86" s="89"/>
      <c r="H86" s="89"/>
      <c r="I86" s="89"/>
      <c r="J86" s="89"/>
      <c r="K86" s="89"/>
      <c r="L86" s="89"/>
      <c r="M86" s="89"/>
      <c r="N86" s="89"/>
      <c r="O86" s="89"/>
      <c r="P86" s="89"/>
      <c r="Q86" s="89"/>
      <c r="R86" s="89"/>
      <c r="S86" s="89"/>
      <c r="T86" s="89"/>
      <c r="U86" s="89"/>
      <c r="V86" s="89"/>
      <c r="W86" s="89"/>
      <c r="X86" s="89"/>
      <c r="Y86" s="89"/>
      <c r="Z86" s="89"/>
      <c r="AA86" s="89"/>
      <c r="AB86" s="89"/>
      <c r="AC86" s="89"/>
      <c r="AD86" s="89"/>
    </row>
    <row r="87">
      <c r="A87" s="89"/>
      <c r="B87" s="89"/>
      <c r="C87" s="140"/>
      <c r="D87" s="89"/>
      <c r="E87" s="89"/>
      <c r="F87" s="89"/>
      <c r="G87" s="89"/>
      <c r="H87" s="89"/>
      <c r="I87" s="89"/>
      <c r="J87" s="89"/>
      <c r="K87" s="89"/>
      <c r="L87" s="89"/>
      <c r="M87" s="89"/>
      <c r="N87" s="89"/>
      <c r="O87" s="89"/>
      <c r="P87" s="89"/>
      <c r="Q87" s="89"/>
      <c r="R87" s="89"/>
      <c r="S87" s="89"/>
      <c r="T87" s="89"/>
      <c r="U87" s="89"/>
      <c r="V87" s="89"/>
      <c r="W87" s="89"/>
      <c r="X87" s="89"/>
      <c r="Y87" s="89"/>
      <c r="Z87" s="89"/>
      <c r="AA87" s="89"/>
      <c r="AB87" s="89"/>
      <c r="AC87" s="89"/>
      <c r="AD87" s="89"/>
    </row>
    <row r="88">
      <c r="A88" s="89"/>
      <c r="B88" s="89"/>
      <c r="C88" s="140"/>
      <c r="D88" s="89"/>
      <c r="E88" s="89"/>
      <c r="F88" s="89"/>
      <c r="G88" s="89"/>
      <c r="H88" s="89"/>
      <c r="I88" s="89"/>
      <c r="J88" s="89"/>
      <c r="K88" s="89"/>
      <c r="L88" s="89"/>
      <c r="M88" s="89"/>
      <c r="N88" s="89"/>
      <c r="O88" s="89"/>
      <c r="P88" s="89"/>
      <c r="Q88" s="89"/>
      <c r="R88" s="89"/>
      <c r="S88" s="89"/>
      <c r="T88" s="89"/>
      <c r="U88" s="89"/>
      <c r="V88" s="89"/>
      <c r="W88" s="89"/>
      <c r="X88" s="89"/>
      <c r="Y88" s="89"/>
      <c r="Z88" s="89"/>
      <c r="AA88" s="89"/>
      <c r="AB88" s="89"/>
      <c r="AC88" s="89"/>
      <c r="AD88" s="89"/>
    </row>
    <row r="89">
      <c r="A89" s="89"/>
      <c r="B89" s="89"/>
      <c r="C89" s="140"/>
      <c r="D89" s="89"/>
      <c r="E89" s="89"/>
      <c r="F89" s="89"/>
      <c r="G89" s="89"/>
      <c r="H89" s="89"/>
      <c r="I89" s="89"/>
      <c r="J89" s="89"/>
      <c r="K89" s="89"/>
      <c r="L89" s="89"/>
      <c r="M89" s="89"/>
      <c r="N89" s="89"/>
      <c r="O89" s="89"/>
      <c r="P89" s="89"/>
      <c r="Q89" s="89"/>
      <c r="R89" s="89"/>
      <c r="S89" s="89"/>
      <c r="T89" s="89"/>
      <c r="U89" s="89"/>
      <c r="V89" s="89"/>
      <c r="W89" s="89"/>
      <c r="X89" s="89"/>
      <c r="Y89" s="89"/>
      <c r="Z89" s="89"/>
      <c r="AA89" s="89"/>
      <c r="AB89" s="89"/>
      <c r="AC89" s="89"/>
      <c r="AD89" s="89"/>
    </row>
    <row r="90">
      <c r="A90" s="89"/>
      <c r="B90" s="89"/>
      <c r="C90" s="140"/>
      <c r="D90" s="89"/>
      <c r="E90" s="89"/>
      <c r="F90" s="89"/>
      <c r="G90" s="89"/>
      <c r="H90" s="89"/>
      <c r="I90" s="89"/>
      <c r="J90" s="89"/>
      <c r="K90" s="89"/>
      <c r="L90" s="89"/>
      <c r="M90" s="89"/>
      <c r="N90" s="89"/>
      <c r="O90" s="89"/>
      <c r="P90" s="89"/>
      <c r="Q90" s="89"/>
      <c r="R90" s="89"/>
      <c r="S90" s="89"/>
      <c r="T90" s="89"/>
      <c r="U90" s="89"/>
      <c r="V90" s="89"/>
      <c r="W90" s="89"/>
      <c r="X90" s="89"/>
      <c r="Y90" s="89"/>
      <c r="Z90" s="89"/>
      <c r="AA90" s="89"/>
      <c r="AB90" s="89"/>
      <c r="AC90" s="89"/>
      <c r="AD90" s="89"/>
    </row>
    <row r="91">
      <c r="A91" s="89"/>
      <c r="B91" s="89"/>
      <c r="C91" s="140"/>
      <c r="D91" s="89"/>
      <c r="E91" s="89"/>
      <c r="F91" s="89"/>
      <c r="G91" s="89"/>
      <c r="H91" s="89"/>
      <c r="I91" s="89"/>
      <c r="J91" s="89"/>
      <c r="K91" s="89"/>
      <c r="L91" s="89"/>
      <c r="M91" s="89"/>
      <c r="N91" s="89"/>
      <c r="O91" s="89"/>
      <c r="P91" s="89"/>
      <c r="Q91" s="89"/>
      <c r="R91" s="89"/>
      <c r="S91" s="89"/>
      <c r="T91" s="89"/>
      <c r="U91" s="89"/>
      <c r="V91" s="89"/>
      <c r="W91" s="89"/>
      <c r="X91" s="89"/>
      <c r="Y91" s="89"/>
      <c r="Z91" s="89"/>
      <c r="AA91" s="89"/>
      <c r="AB91" s="89"/>
      <c r="AC91" s="89"/>
      <c r="AD91" s="89"/>
    </row>
    <row r="92">
      <c r="A92" s="89"/>
      <c r="B92" s="89"/>
      <c r="C92" s="140"/>
      <c r="D92" s="89"/>
      <c r="E92" s="89"/>
      <c r="F92" s="89"/>
      <c r="G92" s="89"/>
      <c r="H92" s="89"/>
      <c r="I92" s="89"/>
      <c r="J92" s="89"/>
      <c r="K92" s="89"/>
      <c r="L92" s="89"/>
      <c r="M92" s="89"/>
      <c r="N92" s="89"/>
      <c r="O92" s="89"/>
      <c r="P92" s="89"/>
      <c r="Q92" s="89"/>
      <c r="R92" s="89"/>
      <c r="S92" s="89"/>
      <c r="T92" s="89"/>
      <c r="U92" s="89"/>
      <c r="V92" s="89"/>
      <c r="W92" s="89"/>
      <c r="X92" s="89"/>
      <c r="Y92" s="89"/>
      <c r="Z92" s="89"/>
      <c r="AA92" s="89"/>
      <c r="AB92" s="89"/>
      <c r="AC92" s="89"/>
      <c r="AD92" s="89"/>
    </row>
    <row r="93">
      <c r="A93" s="89"/>
      <c r="B93" s="89"/>
      <c r="C93" s="140"/>
      <c r="D93" s="89"/>
      <c r="E93" s="89"/>
      <c r="F93" s="89"/>
      <c r="G93" s="89"/>
      <c r="H93" s="89"/>
      <c r="I93" s="89"/>
      <c r="J93" s="89"/>
      <c r="K93" s="89"/>
      <c r="L93" s="89"/>
      <c r="M93" s="89"/>
      <c r="N93" s="89"/>
      <c r="O93" s="89"/>
      <c r="P93" s="89"/>
      <c r="Q93" s="89"/>
      <c r="R93" s="89"/>
      <c r="S93" s="89"/>
      <c r="T93" s="89"/>
      <c r="U93" s="89"/>
      <c r="V93" s="89"/>
      <c r="W93" s="89"/>
      <c r="X93" s="89"/>
      <c r="Y93" s="89"/>
      <c r="Z93" s="89"/>
      <c r="AA93" s="89"/>
      <c r="AB93" s="89"/>
      <c r="AC93" s="89"/>
      <c r="AD93" s="89"/>
    </row>
    <row r="94">
      <c r="A94" s="89"/>
      <c r="B94" s="89"/>
      <c r="C94" s="140"/>
      <c r="D94" s="89"/>
      <c r="E94" s="89"/>
      <c r="F94" s="89"/>
      <c r="G94" s="89"/>
      <c r="H94" s="89"/>
      <c r="I94" s="89"/>
      <c r="J94" s="89"/>
      <c r="K94" s="89"/>
      <c r="L94" s="89"/>
      <c r="M94" s="89"/>
      <c r="N94" s="89"/>
      <c r="O94" s="89"/>
      <c r="P94" s="89"/>
      <c r="Q94" s="89"/>
      <c r="R94" s="89"/>
      <c r="S94" s="89"/>
      <c r="T94" s="89"/>
      <c r="U94" s="89"/>
      <c r="V94" s="89"/>
      <c r="W94" s="89"/>
      <c r="X94" s="89"/>
      <c r="Y94" s="89"/>
      <c r="Z94" s="89"/>
      <c r="AA94" s="89"/>
      <c r="AB94" s="89"/>
      <c r="AC94" s="89"/>
      <c r="AD94" s="89"/>
    </row>
    <row r="95">
      <c r="A95" s="89"/>
      <c r="B95" s="89"/>
      <c r="C95" s="140"/>
      <c r="D95" s="89"/>
      <c r="E95" s="89"/>
      <c r="F95" s="89"/>
      <c r="G95" s="89"/>
      <c r="H95" s="89"/>
      <c r="I95" s="89"/>
      <c r="J95" s="89"/>
      <c r="K95" s="89"/>
      <c r="L95" s="89"/>
      <c r="M95" s="89"/>
      <c r="N95" s="89"/>
      <c r="O95" s="89"/>
      <c r="P95" s="89"/>
      <c r="Q95" s="89"/>
      <c r="R95" s="89"/>
      <c r="S95" s="89"/>
      <c r="T95" s="89"/>
      <c r="U95" s="89"/>
      <c r="V95" s="89"/>
      <c r="W95" s="89"/>
      <c r="X95" s="89"/>
      <c r="Y95" s="89"/>
      <c r="Z95" s="89"/>
      <c r="AA95" s="89"/>
      <c r="AB95" s="89"/>
      <c r="AC95" s="89"/>
      <c r="AD95" s="89"/>
    </row>
    <row r="96">
      <c r="A96" s="89"/>
      <c r="B96" s="89"/>
      <c r="C96" s="140"/>
      <c r="D96" s="89"/>
      <c r="E96" s="89"/>
      <c r="F96" s="89"/>
      <c r="G96" s="89"/>
      <c r="H96" s="89"/>
      <c r="I96" s="89"/>
      <c r="J96" s="89"/>
      <c r="K96" s="89"/>
      <c r="L96" s="89"/>
      <c r="M96" s="89"/>
      <c r="N96" s="89"/>
      <c r="O96" s="89"/>
      <c r="P96" s="89"/>
      <c r="Q96" s="89"/>
      <c r="R96" s="89"/>
      <c r="S96" s="89"/>
      <c r="T96" s="89"/>
      <c r="U96" s="89"/>
      <c r="V96" s="89"/>
      <c r="W96" s="89"/>
      <c r="X96" s="89"/>
      <c r="Y96" s="89"/>
      <c r="Z96" s="89"/>
      <c r="AA96" s="89"/>
      <c r="AB96" s="89"/>
      <c r="AC96" s="89"/>
      <c r="AD96" s="89"/>
    </row>
    <row r="97">
      <c r="A97" s="89"/>
      <c r="B97" s="89"/>
      <c r="C97" s="140"/>
      <c r="D97" s="89"/>
      <c r="E97" s="89"/>
      <c r="F97" s="89"/>
      <c r="G97" s="89"/>
      <c r="H97" s="89"/>
      <c r="I97" s="89"/>
      <c r="J97" s="89"/>
      <c r="K97" s="89"/>
      <c r="L97" s="89"/>
      <c r="M97" s="89"/>
      <c r="N97" s="89"/>
      <c r="O97" s="89"/>
      <c r="P97" s="89"/>
      <c r="Q97" s="89"/>
      <c r="R97" s="89"/>
      <c r="S97" s="89"/>
      <c r="T97" s="89"/>
      <c r="U97" s="89"/>
      <c r="V97" s="89"/>
      <c r="W97" s="89"/>
      <c r="X97" s="89"/>
      <c r="Y97" s="89"/>
      <c r="Z97" s="89"/>
      <c r="AA97" s="89"/>
      <c r="AB97" s="89"/>
      <c r="AC97" s="89"/>
      <c r="AD97" s="89"/>
    </row>
    <row r="98">
      <c r="A98" s="89"/>
      <c r="B98" s="89"/>
      <c r="C98" s="140"/>
      <c r="D98" s="89"/>
      <c r="E98" s="89"/>
      <c r="F98" s="89"/>
      <c r="G98" s="89"/>
      <c r="H98" s="89"/>
      <c r="I98" s="89"/>
      <c r="J98" s="89"/>
      <c r="K98" s="89"/>
      <c r="L98" s="89"/>
      <c r="M98" s="89"/>
      <c r="N98" s="89"/>
      <c r="O98" s="89"/>
      <c r="P98" s="89"/>
      <c r="Q98" s="89"/>
      <c r="R98" s="89"/>
      <c r="S98" s="89"/>
      <c r="T98" s="89"/>
      <c r="U98" s="89"/>
      <c r="V98" s="89"/>
      <c r="W98" s="89"/>
      <c r="X98" s="89"/>
      <c r="Y98" s="89"/>
      <c r="Z98" s="89"/>
      <c r="AA98" s="89"/>
      <c r="AB98" s="89"/>
      <c r="AC98" s="89"/>
      <c r="AD98" s="89"/>
    </row>
    <row r="99">
      <c r="A99" s="89"/>
      <c r="B99" s="89"/>
      <c r="C99" s="140"/>
      <c r="D99" s="89"/>
      <c r="E99" s="89"/>
      <c r="F99" s="89"/>
      <c r="G99" s="89"/>
      <c r="H99" s="89"/>
      <c r="I99" s="89"/>
      <c r="J99" s="89"/>
      <c r="K99" s="89"/>
      <c r="L99" s="89"/>
      <c r="M99" s="89"/>
      <c r="N99" s="89"/>
      <c r="O99" s="89"/>
      <c r="P99" s="89"/>
      <c r="Q99" s="89"/>
      <c r="R99" s="89"/>
      <c r="S99" s="89"/>
      <c r="T99" s="89"/>
      <c r="U99" s="89"/>
      <c r="V99" s="89"/>
      <c r="W99" s="89"/>
      <c r="X99" s="89"/>
      <c r="Y99" s="89"/>
      <c r="Z99" s="89"/>
      <c r="AA99" s="89"/>
      <c r="AB99" s="89"/>
      <c r="AC99" s="89"/>
      <c r="AD99" s="89"/>
    </row>
    <row r="100">
      <c r="A100" s="89"/>
      <c r="B100" s="89"/>
      <c r="C100" s="140"/>
      <c r="D100" s="89"/>
      <c r="E100" s="89"/>
      <c r="F100" s="89"/>
      <c r="G100" s="89"/>
      <c r="H100" s="89"/>
      <c r="I100" s="89"/>
      <c r="J100" s="89"/>
      <c r="K100" s="89"/>
      <c r="L100" s="89"/>
      <c r="M100" s="89"/>
      <c r="N100" s="89"/>
      <c r="O100" s="89"/>
      <c r="P100" s="89"/>
      <c r="Q100" s="89"/>
      <c r="R100" s="89"/>
      <c r="S100" s="89"/>
      <c r="T100" s="89"/>
      <c r="U100" s="89"/>
      <c r="V100" s="89"/>
      <c r="W100" s="89"/>
      <c r="X100" s="89"/>
      <c r="Y100" s="89"/>
      <c r="Z100" s="89"/>
      <c r="AA100" s="89"/>
      <c r="AB100" s="89"/>
      <c r="AC100" s="89"/>
      <c r="AD100" s="89"/>
    </row>
    <row r="101">
      <c r="A101" s="89"/>
      <c r="B101" s="89"/>
      <c r="C101" s="140"/>
      <c r="D101" s="89"/>
      <c r="E101" s="89"/>
      <c r="F101" s="89"/>
      <c r="G101" s="89"/>
      <c r="H101" s="89"/>
      <c r="I101" s="89"/>
      <c r="J101" s="89"/>
      <c r="K101" s="89"/>
      <c r="L101" s="89"/>
      <c r="M101" s="89"/>
      <c r="N101" s="89"/>
      <c r="O101" s="89"/>
      <c r="P101" s="89"/>
      <c r="Q101" s="89"/>
      <c r="R101" s="89"/>
      <c r="S101" s="89"/>
      <c r="T101" s="89"/>
      <c r="U101" s="89"/>
      <c r="V101" s="89"/>
      <c r="W101" s="89"/>
      <c r="X101" s="89"/>
      <c r="Y101" s="89"/>
      <c r="Z101" s="89"/>
      <c r="AA101" s="89"/>
      <c r="AB101" s="89"/>
      <c r="AC101" s="89"/>
      <c r="AD101" s="89"/>
    </row>
    <row r="102">
      <c r="A102" s="89"/>
      <c r="B102" s="89"/>
      <c r="C102" s="140"/>
      <c r="D102" s="89"/>
      <c r="E102" s="89"/>
      <c r="F102" s="89"/>
      <c r="G102" s="89"/>
      <c r="H102" s="89"/>
      <c r="I102" s="89"/>
      <c r="J102" s="89"/>
      <c r="K102" s="89"/>
      <c r="L102" s="89"/>
      <c r="M102" s="89"/>
      <c r="N102" s="89"/>
      <c r="O102" s="89"/>
      <c r="P102" s="89"/>
      <c r="Q102" s="89"/>
      <c r="R102" s="89"/>
      <c r="S102" s="89"/>
      <c r="T102" s="89"/>
      <c r="U102" s="89"/>
      <c r="V102" s="89"/>
      <c r="W102" s="89"/>
      <c r="X102" s="89"/>
      <c r="Y102" s="89"/>
      <c r="Z102" s="89"/>
      <c r="AA102" s="89"/>
      <c r="AB102" s="89"/>
      <c r="AC102" s="89"/>
      <c r="AD102" s="89"/>
    </row>
    <row r="103">
      <c r="A103" s="89"/>
      <c r="B103" s="89"/>
      <c r="C103" s="140"/>
      <c r="D103" s="89"/>
      <c r="E103" s="89"/>
      <c r="F103" s="89"/>
      <c r="G103" s="89"/>
      <c r="H103" s="89"/>
      <c r="I103" s="89"/>
      <c r="J103" s="89"/>
      <c r="K103" s="89"/>
      <c r="L103" s="89"/>
      <c r="M103" s="89"/>
      <c r="N103" s="89"/>
      <c r="O103" s="89"/>
      <c r="P103" s="89"/>
      <c r="Q103" s="89"/>
      <c r="R103" s="89"/>
      <c r="S103" s="89"/>
      <c r="T103" s="89"/>
      <c r="U103" s="89"/>
      <c r="V103" s="89"/>
      <c r="W103" s="89"/>
      <c r="X103" s="89"/>
      <c r="Y103" s="89"/>
      <c r="Z103" s="89"/>
      <c r="AA103" s="89"/>
      <c r="AB103" s="89"/>
      <c r="AC103" s="89"/>
      <c r="AD103" s="89"/>
    </row>
    <row r="104">
      <c r="A104" s="89"/>
      <c r="B104" s="89"/>
      <c r="C104" s="140"/>
      <c r="D104" s="89"/>
      <c r="E104" s="89"/>
      <c r="F104" s="89"/>
      <c r="G104" s="89"/>
      <c r="H104" s="89"/>
      <c r="I104" s="89"/>
      <c r="J104" s="89"/>
      <c r="K104" s="89"/>
      <c r="L104" s="89"/>
      <c r="M104" s="89"/>
      <c r="N104" s="89"/>
      <c r="O104" s="89"/>
      <c r="P104" s="89"/>
      <c r="Q104" s="89"/>
      <c r="R104" s="89"/>
      <c r="S104" s="89"/>
      <c r="T104" s="89"/>
      <c r="U104" s="89"/>
      <c r="V104" s="89"/>
      <c r="W104" s="89"/>
      <c r="X104" s="89"/>
      <c r="Y104" s="89"/>
      <c r="Z104" s="89"/>
      <c r="AA104" s="89"/>
      <c r="AB104" s="89"/>
      <c r="AC104" s="89"/>
      <c r="AD104" s="89"/>
    </row>
    <row r="105">
      <c r="A105" s="89"/>
      <c r="B105" s="89"/>
      <c r="C105" s="140"/>
      <c r="D105" s="89"/>
      <c r="E105" s="89"/>
      <c r="F105" s="89"/>
      <c r="G105" s="89"/>
      <c r="H105" s="89"/>
      <c r="I105" s="89"/>
      <c r="J105" s="89"/>
      <c r="K105" s="89"/>
      <c r="L105" s="89"/>
      <c r="M105" s="89"/>
      <c r="N105" s="89"/>
      <c r="O105" s="89"/>
      <c r="P105" s="89"/>
      <c r="Q105" s="89"/>
      <c r="R105" s="89"/>
      <c r="S105" s="89"/>
      <c r="T105" s="89"/>
      <c r="U105" s="89"/>
      <c r="V105" s="89"/>
      <c r="W105" s="89"/>
      <c r="X105" s="89"/>
      <c r="Y105" s="89"/>
      <c r="Z105" s="89"/>
      <c r="AA105" s="89"/>
      <c r="AB105" s="89"/>
      <c r="AC105" s="89"/>
      <c r="AD105" s="89"/>
    </row>
    <row r="106">
      <c r="A106" s="89"/>
      <c r="B106" s="89"/>
      <c r="C106" s="140"/>
      <c r="D106" s="89"/>
      <c r="E106" s="89"/>
      <c r="F106" s="89"/>
      <c r="G106" s="89"/>
      <c r="H106" s="89"/>
      <c r="I106" s="89"/>
      <c r="J106" s="89"/>
      <c r="K106" s="89"/>
      <c r="L106" s="89"/>
      <c r="M106" s="89"/>
      <c r="N106" s="89"/>
      <c r="O106" s="89"/>
      <c r="P106" s="89"/>
      <c r="Q106" s="89"/>
      <c r="R106" s="89"/>
      <c r="S106" s="89"/>
      <c r="T106" s="89"/>
      <c r="U106" s="89"/>
      <c r="V106" s="89"/>
      <c r="W106" s="89"/>
      <c r="X106" s="89"/>
      <c r="Y106" s="89"/>
      <c r="Z106" s="89"/>
      <c r="AA106" s="89"/>
      <c r="AB106" s="89"/>
      <c r="AC106" s="89"/>
      <c r="AD106" s="89"/>
    </row>
    <row r="107">
      <c r="A107" s="89"/>
      <c r="B107" s="89"/>
      <c r="C107" s="140"/>
      <c r="D107" s="89"/>
      <c r="E107" s="89"/>
      <c r="F107" s="89"/>
      <c r="G107" s="89"/>
      <c r="H107" s="89"/>
      <c r="I107" s="89"/>
      <c r="J107" s="89"/>
      <c r="K107" s="89"/>
      <c r="L107" s="89"/>
      <c r="M107" s="89"/>
      <c r="N107" s="89"/>
      <c r="O107" s="89"/>
      <c r="P107" s="89"/>
      <c r="Q107" s="89"/>
      <c r="R107" s="89"/>
      <c r="S107" s="89"/>
      <c r="T107" s="89"/>
      <c r="U107" s="89"/>
      <c r="V107" s="89"/>
      <c r="W107" s="89"/>
      <c r="X107" s="89"/>
      <c r="Y107" s="89"/>
      <c r="Z107" s="89"/>
      <c r="AA107" s="89"/>
      <c r="AB107" s="89"/>
      <c r="AC107" s="89"/>
      <c r="AD107" s="89"/>
    </row>
    <row r="108">
      <c r="A108" s="89"/>
      <c r="B108" s="89"/>
      <c r="C108" s="140"/>
      <c r="D108" s="89"/>
      <c r="E108" s="89"/>
      <c r="F108" s="89"/>
      <c r="G108" s="89"/>
      <c r="H108" s="89"/>
      <c r="I108" s="89"/>
      <c r="J108" s="89"/>
      <c r="K108" s="89"/>
      <c r="L108" s="89"/>
      <c r="M108" s="89"/>
      <c r="N108" s="89"/>
      <c r="O108" s="89"/>
      <c r="P108" s="89"/>
      <c r="Q108" s="89"/>
      <c r="R108" s="89"/>
      <c r="S108" s="89"/>
      <c r="T108" s="89"/>
      <c r="U108" s="89"/>
      <c r="V108" s="89"/>
      <c r="W108" s="89"/>
      <c r="X108" s="89"/>
      <c r="Y108" s="89"/>
      <c r="Z108" s="89"/>
      <c r="AA108" s="89"/>
      <c r="AB108" s="89"/>
      <c r="AC108" s="89"/>
      <c r="AD108" s="89"/>
    </row>
    <row r="109">
      <c r="A109" s="89"/>
      <c r="B109" s="89"/>
      <c r="C109" s="140"/>
      <c r="D109" s="89"/>
      <c r="E109" s="89"/>
      <c r="F109" s="89"/>
      <c r="G109" s="89"/>
      <c r="H109" s="89"/>
      <c r="I109" s="89"/>
      <c r="J109" s="89"/>
      <c r="K109" s="89"/>
      <c r="L109" s="89"/>
      <c r="M109" s="89"/>
      <c r="N109" s="89"/>
      <c r="O109" s="89"/>
      <c r="P109" s="89"/>
      <c r="Q109" s="89"/>
      <c r="R109" s="89"/>
      <c r="S109" s="89"/>
      <c r="T109" s="89"/>
      <c r="U109" s="89"/>
      <c r="V109" s="89"/>
      <c r="W109" s="89"/>
      <c r="X109" s="89"/>
      <c r="Y109" s="89"/>
      <c r="Z109" s="89"/>
      <c r="AA109" s="89"/>
      <c r="AB109" s="89"/>
      <c r="AC109" s="89"/>
      <c r="AD109" s="89"/>
    </row>
    <row r="110">
      <c r="A110" s="89"/>
      <c r="B110" s="89"/>
      <c r="C110" s="140"/>
      <c r="D110" s="89"/>
      <c r="E110" s="89"/>
      <c r="F110" s="89"/>
      <c r="G110" s="89"/>
      <c r="H110" s="89"/>
      <c r="I110" s="89"/>
      <c r="J110" s="89"/>
      <c r="K110" s="89"/>
      <c r="L110" s="89"/>
      <c r="M110" s="89"/>
      <c r="N110" s="89"/>
      <c r="O110" s="89"/>
      <c r="P110" s="89"/>
      <c r="Q110" s="89"/>
      <c r="R110" s="89"/>
      <c r="S110" s="89"/>
      <c r="T110" s="89"/>
      <c r="U110" s="89"/>
      <c r="V110" s="89"/>
      <c r="W110" s="89"/>
      <c r="X110" s="89"/>
      <c r="Y110" s="89"/>
      <c r="Z110" s="89"/>
      <c r="AA110" s="89"/>
      <c r="AB110" s="89"/>
      <c r="AC110" s="89"/>
      <c r="AD110" s="89"/>
    </row>
    <row r="111">
      <c r="A111" s="89"/>
      <c r="B111" s="89"/>
      <c r="C111" s="140"/>
      <c r="D111" s="89"/>
      <c r="E111" s="89"/>
      <c r="F111" s="89"/>
      <c r="G111" s="89"/>
      <c r="H111" s="89"/>
      <c r="I111" s="89"/>
      <c r="J111" s="89"/>
      <c r="K111" s="89"/>
      <c r="L111" s="89"/>
      <c r="M111" s="89"/>
      <c r="N111" s="89"/>
      <c r="O111" s="89"/>
      <c r="P111" s="89"/>
      <c r="Q111" s="89"/>
      <c r="R111" s="89"/>
      <c r="S111" s="89"/>
      <c r="T111" s="89"/>
      <c r="U111" s="89"/>
      <c r="V111" s="89"/>
      <c r="W111" s="89"/>
      <c r="X111" s="89"/>
      <c r="Y111" s="89"/>
      <c r="Z111" s="89"/>
      <c r="AA111" s="89"/>
      <c r="AB111" s="89"/>
      <c r="AC111" s="89"/>
      <c r="AD111" s="89"/>
    </row>
    <row r="112">
      <c r="A112" s="89"/>
      <c r="B112" s="89"/>
      <c r="C112" s="140"/>
      <c r="D112" s="89"/>
      <c r="E112" s="89"/>
      <c r="F112" s="89"/>
      <c r="G112" s="89"/>
      <c r="H112" s="89"/>
      <c r="I112" s="89"/>
      <c r="J112" s="89"/>
      <c r="K112" s="89"/>
      <c r="L112" s="89"/>
      <c r="M112" s="89"/>
      <c r="N112" s="89"/>
      <c r="O112" s="89"/>
      <c r="P112" s="89"/>
      <c r="Q112" s="89"/>
      <c r="R112" s="89"/>
      <c r="S112" s="89"/>
      <c r="T112" s="89"/>
      <c r="U112" s="89"/>
      <c r="V112" s="89"/>
      <c r="W112" s="89"/>
      <c r="X112" s="89"/>
      <c r="Y112" s="89"/>
      <c r="Z112" s="89"/>
      <c r="AA112" s="89"/>
      <c r="AB112" s="89"/>
      <c r="AC112" s="89"/>
      <c r="AD112" s="89"/>
    </row>
    <row r="113">
      <c r="A113" s="89"/>
      <c r="B113" s="89"/>
      <c r="C113" s="140"/>
      <c r="D113" s="89"/>
      <c r="E113" s="89"/>
      <c r="F113" s="89"/>
      <c r="G113" s="89"/>
      <c r="H113" s="89"/>
      <c r="I113" s="89"/>
      <c r="J113" s="89"/>
      <c r="K113" s="89"/>
      <c r="L113" s="89"/>
      <c r="M113" s="89"/>
      <c r="N113" s="89"/>
      <c r="O113" s="89"/>
      <c r="P113" s="89"/>
      <c r="Q113" s="89"/>
      <c r="R113" s="89"/>
      <c r="S113" s="89"/>
      <c r="T113" s="89"/>
      <c r="U113" s="89"/>
      <c r="V113" s="89"/>
      <c r="W113" s="89"/>
      <c r="X113" s="89"/>
      <c r="Y113" s="89"/>
      <c r="Z113" s="89"/>
      <c r="AA113" s="89"/>
      <c r="AB113" s="89"/>
      <c r="AC113" s="89"/>
      <c r="AD113" s="89"/>
    </row>
    <row r="114">
      <c r="A114" s="89"/>
      <c r="B114" s="89"/>
      <c r="C114" s="140"/>
      <c r="D114" s="89"/>
      <c r="E114" s="89"/>
      <c r="F114" s="89"/>
      <c r="G114" s="89"/>
      <c r="H114" s="89"/>
      <c r="I114" s="89"/>
      <c r="J114" s="89"/>
      <c r="K114" s="89"/>
      <c r="L114" s="89"/>
      <c r="M114" s="89"/>
      <c r="N114" s="89"/>
      <c r="O114" s="89"/>
      <c r="P114" s="89"/>
      <c r="Q114" s="89"/>
      <c r="R114" s="89"/>
      <c r="S114" s="89"/>
      <c r="T114" s="89"/>
      <c r="U114" s="89"/>
      <c r="V114" s="89"/>
      <c r="W114" s="89"/>
      <c r="X114" s="89"/>
      <c r="Y114" s="89"/>
      <c r="Z114" s="89"/>
      <c r="AA114" s="89"/>
      <c r="AB114" s="89"/>
      <c r="AC114" s="89"/>
      <c r="AD114" s="89"/>
    </row>
    <row r="115">
      <c r="A115" s="89"/>
      <c r="B115" s="89"/>
      <c r="C115" s="140"/>
      <c r="D115" s="89"/>
      <c r="E115" s="89"/>
      <c r="F115" s="89"/>
      <c r="G115" s="89"/>
      <c r="H115" s="89"/>
      <c r="I115" s="89"/>
      <c r="J115" s="89"/>
      <c r="K115" s="89"/>
      <c r="L115" s="89"/>
      <c r="M115" s="89"/>
      <c r="N115" s="89"/>
      <c r="O115" s="89"/>
      <c r="P115" s="89"/>
      <c r="Q115" s="89"/>
      <c r="R115" s="89"/>
      <c r="S115" s="89"/>
      <c r="T115" s="89"/>
      <c r="U115" s="89"/>
      <c r="V115" s="89"/>
      <c r="W115" s="89"/>
      <c r="X115" s="89"/>
      <c r="Y115" s="89"/>
      <c r="Z115" s="89"/>
      <c r="AA115" s="89"/>
      <c r="AB115" s="89"/>
      <c r="AC115" s="89"/>
      <c r="AD115" s="89"/>
    </row>
    <row r="116">
      <c r="A116" s="89"/>
      <c r="B116" s="89"/>
      <c r="C116" s="140"/>
      <c r="D116" s="89"/>
      <c r="E116" s="89"/>
      <c r="F116" s="89"/>
      <c r="G116" s="89"/>
      <c r="H116" s="89"/>
      <c r="I116" s="89"/>
      <c r="J116" s="89"/>
      <c r="K116" s="89"/>
      <c r="L116" s="89"/>
      <c r="M116" s="89"/>
      <c r="N116" s="89"/>
      <c r="O116" s="89"/>
      <c r="P116" s="89"/>
      <c r="Q116" s="89"/>
      <c r="R116" s="89"/>
      <c r="S116" s="89"/>
      <c r="T116" s="89"/>
      <c r="U116" s="89"/>
      <c r="V116" s="89"/>
      <c r="W116" s="89"/>
      <c r="X116" s="89"/>
      <c r="Y116" s="89"/>
      <c r="Z116" s="89"/>
      <c r="AA116" s="89"/>
      <c r="AB116" s="89"/>
      <c r="AC116" s="89"/>
      <c r="AD116" s="89"/>
    </row>
    <row r="117">
      <c r="A117" s="89"/>
      <c r="B117" s="89"/>
      <c r="C117" s="140"/>
      <c r="D117" s="89"/>
      <c r="E117" s="89"/>
      <c r="F117" s="89"/>
      <c r="G117" s="89"/>
      <c r="H117" s="89"/>
      <c r="I117" s="89"/>
      <c r="J117" s="89"/>
      <c r="K117" s="89"/>
      <c r="L117" s="89"/>
      <c r="M117" s="89"/>
      <c r="N117" s="89"/>
      <c r="O117" s="89"/>
      <c r="P117" s="89"/>
      <c r="Q117" s="89"/>
      <c r="R117" s="89"/>
      <c r="S117" s="89"/>
      <c r="T117" s="89"/>
      <c r="U117" s="89"/>
      <c r="V117" s="89"/>
      <c r="W117" s="89"/>
      <c r="X117" s="89"/>
      <c r="Y117" s="89"/>
      <c r="Z117" s="89"/>
      <c r="AA117" s="89"/>
      <c r="AB117" s="89"/>
      <c r="AC117" s="89"/>
      <c r="AD117" s="89"/>
    </row>
    <row r="118">
      <c r="A118" s="89"/>
      <c r="B118" s="89"/>
      <c r="C118" s="140"/>
      <c r="D118" s="89"/>
      <c r="E118" s="89"/>
      <c r="F118" s="89"/>
      <c r="G118" s="89"/>
      <c r="H118" s="89"/>
      <c r="I118" s="89"/>
      <c r="J118" s="89"/>
      <c r="K118" s="89"/>
      <c r="L118" s="89"/>
      <c r="M118" s="89"/>
      <c r="N118" s="89"/>
      <c r="O118" s="89"/>
      <c r="P118" s="89"/>
      <c r="Q118" s="89"/>
      <c r="R118" s="89"/>
      <c r="S118" s="89"/>
      <c r="T118" s="89"/>
      <c r="U118" s="89"/>
      <c r="V118" s="89"/>
      <c r="W118" s="89"/>
      <c r="X118" s="89"/>
      <c r="Y118" s="89"/>
      <c r="Z118" s="89"/>
      <c r="AA118" s="89"/>
      <c r="AB118" s="89"/>
      <c r="AC118" s="89"/>
      <c r="AD118" s="89"/>
    </row>
    <row r="119">
      <c r="A119" s="89"/>
      <c r="B119" s="89"/>
      <c r="C119" s="140"/>
      <c r="D119" s="89"/>
      <c r="E119" s="89"/>
      <c r="F119" s="89"/>
      <c r="G119" s="89"/>
      <c r="H119" s="89"/>
      <c r="I119" s="89"/>
      <c r="J119" s="89"/>
      <c r="K119" s="89"/>
      <c r="L119" s="89"/>
      <c r="M119" s="89"/>
      <c r="N119" s="89"/>
      <c r="O119" s="89"/>
      <c r="P119" s="89"/>
      <c r="Q119" s="89"/>
      <c r="R119" s="89"/>
      <c r="S119" s="89"/>
      <c r="T119" s="89"/>
      <c r="U119" s="89"/>
      <c r="V119" s="89"/>
      <c r="W119" s="89"/>
      <c r="X119" s="89"/>
      <c r="Y119" s="89"/>
      <c r="Z119" s="89"/>
      <c r="AA119" s="89"/>
      <c r="AB119" s="89"/>
      <c r="AC119" s="89"/>
      <c r="AD119" s="89"/>
    </row>
    <row r="120">
      <c r="A120" s="89"/>
      <c r="B120" s="89"/>
      <c r="C120" s="140"/>
      <c r="D120" s="89"/>
      <c r="E120" s="89"/>
      <c r="F120" s="89"/>
      <c r="G120" s="89"/>
      <c r="H120" s="89"/>
      <c r="I120" s="89"/>
      <c r="J120" s="89"/>
      <c r="K120" s="89"/>
      <c r="L120" s="89"/>
      <c r="M120" s="89"/>
      <c r="N120" s="89"/>
      <c r="O120" s="89"/>
      <c r="P120" s="89"/>
      <c r="Q120" s="89"/>
      <c r="R120" s="89"/>
      <c r="S120" s="89"/>
      <c r="T120" s="89"/>
      <c r="U120" s="89"/>
      <c r="V120" s="89"/>
      <c r="W120" s="89"/>
      <c r="X120" s="89"/>
      <c r="Y120" s="89"/>
      <c r="Z120" s="89"/>
      <c r="AA120" s="89"/>
      <c r="AB120" s="89"/>
      <c r="AC120" s="89"/>
      <c r="AD120" s="89"/>
    </row>
    <row r="121">
      <c r="A121" s="89"/>
      <c r="B121" s="89"/>
      <c r="C121" s="140"/>
      <c r="D121" s="89"/>
      <c r="E121" s="89"/>
      <c r="F121" s="89"/>
      <c r="G121" s="89"/>
      <c r="H121" s="89"/>
      <c r="I121" s="89"/>
      <c r="J121" s="89"/>
      <c r="K121" s="89"/>
      <c r="L121" s="89"/>
      <c r="M121" s="89"/>
      <c r="N121" s="89"/>
      <c r="O121" s="89"/>
      <c r="P121" s="89"/>
      <c r="Q121" s="89"/>
      <c r="R121" s="89"/>
      <c r="S121" s="89"/>
      <c r="T121" s="89"/>
      <c r="U121" s="89"/>
      <c r="V121" s="89"/>
      <c r="W121" s="89"/>
      <c r="X121" s="89"/>
      <c r="Y121" s="89"/>
      <c r="Z121" s="89"/>
      <c r="AA121" s="89"/>
      <c r="AB121" s="89"/>
      <c r="AC121" s="89"/>
      <c r="AD121" s="89"/>
    </row>
    <row r="122">
      <c r="A122" s="89"/>
      <c r="B122" s="89"/>
      <c r="C122" s="140"/>
      <c r="D122" s="89"/>
      <c r="E122" s="89"/>
      <c r="F122" s="89"/>
      <c r="G122" s="89"/>
      <c r="H122" s="89"/>
      <c r="I122" s="89"/>
      <c r="J122" s="89"/>
      <c r="K122" s="89"/>
      <c r="L122" s="89"/>
      <c r="M122" s="89"/>
      <c r="N122" s="89"/>
      <c r="O122" s="89"/>
      <c r="P122" s="89"/>
      <c r="Q122" s="89"/>
      <c r="R122" s="89"/>
      <c r="S122" s="89"/>
      <c r="T122" s="89"/>
      <c r="U122" s="89"/>
      <c r="V122" s="89"/>
      <c r="W122" s="89"/>
      <c r="X122" s="89"/>
      <c r="Y122" s="89"/>
      <c r="Z122" s="89"/>
      <c r="AA122" s="89"/>
      <c r="AB122" s="89"/>
      <c r="AC122" s="89"/>
      <c r="AD122" s="89"/>
    </row>
    <row r="123">
      <c r="A123" s="89"/>
      <c r="B123" s="89"/>
      <c r="C123" s="140"/>
      <c r="D123" s="89"/>
      <c r="E123" s="89"/>
      <c r="F123" s="89"/>
      <c r="G123" s="89"/>
      <c r="H123" s="89"/>
      <c r="I123" s="89"/>
      <c r="J123" s="89"/>
      <c r="K123" s="89"/>
      <c r="L123" s="89"/>
      <c r="M123" s="89"/>
      <c r="N123" s="89"/>
      <c r="O123" s="89"/>
      <c r="P123" s="89"/>
      <c r="Q123" s="89"/>
      <c r="R123" s="89"/>
      <c r="S123" s="89"/>
      <c r="T123" s="89"/>
      <c r="U123" s="89"/>
      <c r="V123" s="89"/>
      <c r="W123" s="89"/>
      <c r="X123" s="89"/>
      <c r="Y123" s="89"/>
      <c r="Z123" s="89"/>
      <c r="AA123" s="89"/>
      <c r="AB123" s="89"/>
      <c r="AC123" s="89"/>
      <c r="AD123" s="89"/>
    </row>
    <row r="124">
      <c r="A124" s="89"/>
      <c r="B124" s="89"/>
      <c r="C124" s="140"/>
      <c r="D124" s="89"/>
      <c r="E124" s="89"/>
      <c r="F124" s="89"/>
      <c r="G124" s="89"/>
      <c r="H124" s="89"/>
      <c r="I124" s="89"/>
      <c r="J124" s="89"/>
      <c r="K124" s="89"/>
      <c r="L124" s="89"/>
      <c r="M124" s="89"/>
      <c r="N124" s="89"/>
      <c r="O124" s="89"/>
      <c r="P124" s="89"/>
      <c r="Q124" s="89"/>
      <c r="R124" s="89"/>
      <c r="S124" s="89"/>
      <c r="T124" s="89"/>
      <c r="U124" s="89"/>
      <c r="V124" s="89"/>
      <c r="W124" s="89"/>
      <c r="X124" s="89"/>
      <c r="Y124" s="89"/>
      <c r="Z124" s="89"/>
      <c r="AA124" s="89"/>
      <c r="AB124" s="89"/>
      <c r="AC124" s="89"/>
      <c r="AD124" s="89"/>
    </row>
    <row r="125">
      <c r="A125" s="89"/>
      <c r="B125" s="89"/>
      <c r="C125" s="140"/>
      <c r="D125" s="89"/>
      <c r="E125" s="89"/>
      <c r="F125" s="89"/>
      <c r="G125" s="89"/>
      <c r="H125" s="89"/>
      <c r="I125" s="89"/>
      <c r="J125" s="89"/>
      <c r="K125" s="89"/>
      <c r="L125" s="89"/>
      <c r="M125" s="89"/>
      <c r="N125" s="89"/>
      <c r="O125" s="89"/>
      <c r="P125" s="89"/>
      <c r="Q125" s="89"/>
      <c r="R125" s="89"/>
      <c r="S125" s="89"/>
      <c r="T125" s="89"/>
      <c r="U125" s="89"/>
      <c r="V125" s="89"/>
      <c r="W125" s="89"/>
      <c r="X125" s="89"/>
      <c r="Y125" s="89"/>
      <c r="Z125" s="89"/>
      <c r="AA125" s="89"/>
      <c r="AB125" s="89"/>
      <c r="AC125" s="89"/>
      <c r="AD125" s="89"/>
    </row>
    <row r="126">
      <c r="A126" s="89"/>
      <c r="B126" s="89"/>
      <c r="C126" s="140"/>
      <c r="D126" s="89"/>
      <c r="E126" s="89"/>
      <c r="F126" s="89"/>
      <c r="G126" s="89"/>
      <c r="H126" s="89"/>
      <c r="I126" s="89"/>
      <c r="J126" s="89"/>
      <c r="K126" s="89"/>
      <c r="L126" s="89"/>
      <c r="M126" s="89"/>
      <c r="N126" s="89"/>
      <c r="O126" s="89"/>
      <c r="P126" s="89"/>
      <c r="Q126" s="89"/>
      <c r="R126" s="89"/>
      <c r="S126" s="89"/>
      <c r="T126" s="89"/>
      <c r="U126" s="89"/>
      <c r="V126" s="89"/>
      <c r="W126" s="89"/>
      <c r="X126" s="89"/>
      <c r="Y126" s="89"/>
      <c r="Z126" s="89"/>
      <c r="AA126" s="89"/>
      <c r="AB126" s="89"/>
      <c r="AC126" s="89"/>
      <c r="AD126" s="89"/>
    </row>
    <row r="127">
      <c r="A127" s="89"/>
      <c r="B127" s="89"/>
      <c r="C127" s="140"/>
      <c r="D127" s="89"/>
      <c r="E127" s="89"/>
      <c r="F127" s="89"/>
      <c r="G127" s="89"/>
      <c r="H127" s="89"/>
      <c r="I127" s="89"/>
      <c r="J127" s="89"/>
      <c r="K127" s="89"/>
      <c r="L127" s="89"/>
      <c r="M127" s="89"/>
      <c r="N127" s="89"/>
      <c r="O127" s="89"/>
      <c r="P127" s="89"/>
      <c r="Q127" s="89"/>
      <c r="R127" s="89"/>
      <c r="S127" s="89"/>
      <c r="T127" s="89"/>
      <c r="U127" s="89"/>
      <c r="V127" s="89"/>
      <c r="W127" s="89"/>
      <c r="X127" s="89"/>
      <c r="Y127" s="89"/>
      <c r="Z127" s="89"/>
      <c r="AA127" s="89"/>
      <c r="AB127" s="89"/>
      <c r="AC127" s="89"/>
      <c r="AD127" s="89"/>
    </row>
    <row r="128">
      <c r="A128" s="89"/>
      <c r="B128" s="89"/>
      <c r="C128" s="140"/>
      <c r="D128" s="89"/>
      <c r="E128" s="89"/>
      <c r="F128" s="89"/>
      <c r="G128" s="89"/>
      <c r="H128" s="89"/>
      <c r="I128" s="89"/>
      <c r="J128" s="89"/>
      <c r="K128" s="89"/>
      <c r="L128" s="89"/>
      <c r="M128" s="89"/>
      <c r="N128" s="89"/>
      <c r="O128" s="89"/>
      <c r="P128" s="89"/>
      <c r="Q128" s="89"/>
      <c r="R128" s="89"/>
      <c r="S128" s="89"/>
      <c r="T128" s="89"/>
      <c r="U128" s="89"/>
      <c r="V128" s="89"/>
      <c r="W128" s="89"/>
      <c r="X128" s="89"/>
      <c r="Y128" s="89"/>
      <c r="Z128" s="89"/>
      <c r="AA128" s="89"/>
      <c r="AB128" s="89"/>
      <c r="AC128" s="89"/>
      <c r="AD128" s="89"/>
    </row>
    <row r="129">
      <c r="A129" s="89"/>
      <c r="B129" s="89"/>
      <c r="C129" s="140"/>
      <c r="D129" s="89"/>
      <c r="E129" s="89"/>
      <c r="F129" s="89"/>
      <c r="G129" s="89"/>
      <c r="H129" s="89"/>
      <c r="I129" s="89"/>
      <c r="J129" s="89"/>
      <c r="K129" s="89"/>
      <c r="L129" s="89"/>
      <c r="M129" s="89"/>
      <c r="N129" s="89"/>
      <c r="O129" s="89"/>
      <c r="P129" s="89"/>
      <c r="Q129" s="89"/>
      <c r="R129" s="89"/>
      <c r="S129" s="89"/>
      <c r="T129" s="89"/>
      <c r="U129" s="89"/>
      <c r="V129" s="89"/>
      <c r="W129" s="89"/>
      <c r="X129" s="89"/>
      <c r="Y129" s="89"/>
      <c r="Z129" s="89"/>
      <c r="AA129" s="89"/>
      <c r="AB129" s="89"/>
      <c r="AC129" s="89"/>
      <c r="AD129" s="89"/>
    </row>
    <row r="130">
      <c r="A130" s="89"/>
      <c r="B130" s="89"/>
      <c r="C130" s="140"/>
      <c r="D130" s="89"/>
      <c r="E130" s="89"/>
      <c r="F130" s="89"/>
      <c r="G130" s="89"/>
      <c r="H130" s="89"/>
      <c r="I130" s="89"/>
      <c r="J130" s="89"/>
      <c r="K130" s="89"/>
      <c r="L130" s="89"/>
      <c r="M130" s="89"/>
      <c r="N130" s="89"/>
      <c r="O130" s="89"/>
      <c r="P130" s="89"/>
      <c r="Q130" s="89"/>
      <c r="R130" s="89"/>
      <c r="S130" s="89"/>
      <c r="T130" s="89"/>
      <c r="U130" s="89"/>
      <c r="V130" s="89"/>
      <c r="W130" s="89"/>
      <c r="X130" s="89"/>
      <c r="Y130" s="89"/>
      <c r="Z130" s="89"/>
      <c r="AA130" s="89"/>
      <c r="AB130" s="89"/>
      <c r="AC130" s="89"/>
      <c r="AD130" s="89"/>
    </row>
    <row r="131">
      <c r="A131" s="89"/>
      <c r="B131" s="89"/>
      <c r="C131" s="140"/>
      <c r="D131" s="89"/>
      <c r="E131" s="89"/>
      <c r="F131" s="89"/>
      <c r="G131" s="89"/>
      <c r="H131" s="89"/>
      <c r="I131" s="89"/>
      <c r="J131" s="89"/>
      <c r="K131" s="89"/>
      <c r="L131" s="89"/>
      <c r="M131" s="89"/>
      <c r="N131" s="89"/>
      <c r="O131" s="89"/>
      <c r="P131" s="89"/>
      <c r="Q131" s="89"/>
      <c r="R131" s="89"/>
      <c r="S131" s="89"/>
      <c r="T131" s="89"/>
      <c r="U131" s="89"/>
      <c r="V131" s="89"/>
      <c r="W131" s="89"/>
      <c r="X131" s="89"/>
      <c r="Y131" s="89"/>
      <c r="Z131" s="89"/>
      <c r="AA131" s="89"/>
      <c r="AB131" s="89"/>
      <c r="AC131" s="89"/>
      <c r="AD131" s="89"/>
    </row>
    <row r="132">
      <c r="A132" s="89"/>
      <c r="B132" s="89"/>
      <c r="C132" s="140"/>
      <c r="D132" s="89"/>
      <c r="E132" s="89"/>
      <c r="F132" s="89"/>
      <c r="G132" s="89"/>
      <c r="H132" s="89"/>
      <c r="I132" s="89"/>
      <c r="J132" s="89"/>
      <c r="K132" s="89"/>
      <c r="L132" s="89"/>
      <c r="M132" s="89"/>
      <c r="N132" s="89"/>
      <c r="O132" s="89"/>
      <c r="P132" s="89"/>
      <c r="Q132" s="89"/>
      <c r="R132" s="89"/>
      <c r="S132" s="89"/>
      <c r="T132" s="89"/>
      <c r="U132" s="89"/>
      <c r="V132" s="89"/>
      <c r="W132" s="89"/>
      <c r="X132" s="89"/>
      <c r="Y132" s="89"/>
      <c r="Z132" s="89"/>
      <c r="AA132" s="89"/>
      <c r="AB132" s="89"/>
      <c r="AC132" s="89"/>
      <c r="AD132" s="89"/>
    </row>
    <row r="133">
      <c r="A133" s="89"/>
      <c r="B133" s="89"/>
      <c r="C133" s="140"/>
      <c r="D133" s="89"/>
      <c r="E133" s="89"/>
      <c r="F133" s="89"/>
      <c r="G133" s="89"/>
      <c r="H133" s="89"/>
      <c r="I133" s="89"/>
      <c r="J133" s="89"/>
      <c r="K133" s="89"/>
      <c r="L133" s="89"/>
      <c r="M133" s="89"/>
      <c r="N133" s="89"/>
      <c r="O133" s="89"/>
      <c r="P133" s="89"/>
      <c r="Q133" s="89"/>
      <c r="R133" s="89"/>
      <c r="S133" s="89"/>
      <c r="T133" s="89"/>
      <c r="U133" s="89"/>
      <c r="V133" s="89"/>
      <c r="W133" s="89"/>
      <c r="X133" s="89"/>
      <c r="Y133" s="89"/>
      <c r="Z133" s="89"/>
      <c r="AA133" s="89"/>
      <c r="AB133" s="89"/>
      <c r="AC133" s="89"/>
      <c r="AD133" s="89"/>
    </row>
    <row r="134">
      <c r="A134" s="89"/>
      <c r="B134" s="89"/>
      <c r="C134" s="140"/>
      <c r="D134" s="89"/>
      <c r="E134" s="89"/>
      <c r="F134" s="89"/>
      <c r="G134" s="89"/>
      <c r="H134" s="89"/>
      <c r="I134" s="89"/>
      <c r="J134" s="89"/>
      <c r="K134" s="89"/>
      <c r="L134" s="89"/>
      <c r="M134" s="89"/>
      <c r="N134" s="89"/>
      <c r="O134" s="89"/>
      <c r="P134" s="89"/>
      <c r="Q134" s="89"/>
      <c r="R134" s="89"/>
      <c r="S134" s="89"/>
      <c r="T134" s="89"/>
      <c r="U134" s="89"/>
      <c r="V134" s="89"/>
      <c r="W134" s="89"/>
      <c r="X134" s="89"/>
      <c r="Y134" s="89"/>
      <c r="Z134" s="89"/>
      <c r="AA134" s="89"/>
      <c r="AB134" s="89"/>
      <c r="AC134" s="89"/>
      <c r="AD134" s="89"/>
    </row>
    <row r="135">
      <c r="A135" s="89"/>
      <c r="B135" s="89"/>
      <c r="C135" s="140"/>
      <c r="D135" s="89"/>
      <c r="E135" s="89"/>
      <c r="F135" s="89"/>
      <c r="G135" s="89"/>
      <c r="H135" s="89"/>
      <c r="I135" s="89"/>
      <c r="J135" s="89"/>
      <c r="K135" s="89"/>
      <c r="L135" s="89"/>
      <c r="M135" s="89"/>
      <c r="N135" s="89"/>
      <c r="O135" s="89"/>
      <c r="P135" s="89"/>
      <c r="Q135" s="89"/>
      <c r="R135" s="89"/>
      <c r="S135" s="89"/>
      <c r="T135" s="89"/>
      <c r="U135" s="89"/>
      <c r="V135" s="89"/>
      <c r="W135" s="89"/>
      <c r="X135" s="89"/>
      <c r="Y135" s="89"/>
      <c r="Z135" s="89"/>
      <c r="AA135" s="89"/>
      <c r="AB135" s="89"/>
      <c r="AC135" s="89"/>
      <c r="AD135" s="89"/>
    </row>
    <row r="136">
      <c r="A136" s="89"/>
      <c r="B136" s="89"/>
      <c r="C136" s="140"/>
      <c r="D136" s="89"/>
      <c r="E136" s="89"/>
      <c r="F136" s="89"/>
      <c r="G136" s="89"/>
      <c r="H136" s="89"/>
      <c r="I136" s="89"/>
      <c r="J136" s="89"/>
      <c r="K136" s="89"/>
      <c r="L136" s="89"/>
      <c r="M136" s="89"/>
      <c r="N136" s="89"/>
      <c r="O136" s="89"/>
      <c r="P136" s="89"/>
      <c r="Q136" s="89"/>
      <c r="R136" s="89"/>
      <c r="S136" s="89"/>
      <c r="T136" s="89"/>
      <c r="U136" s="89"/>
      <c r="V136" s="89"/>
      <c r="W136" s="89"/>
      <c r="X136" s="89"/>
      <c r="Y136" s="89"/>
      <c r="Z136" s="89"/>
      <c r="AA136" s="89"/>
      <c r="AB136" s="89"/>
      <c r="AC136" s="89"/>
      <c r="AD136" s="89"/>
    </row>
    <row r="137">
      <c r="A137" s="89"/>
      <c r="B137" s="89"/>
      <c r="C137" s="140"/>
      <c r="D137" s="89"/>
      <c r="E137" s="89"/>
      <c r="F137" s="89"/>
      <c r="G137" s="89"/>
      <c r="H137" s="89"/>
      <c r="I137" s="89"/>
      <c r="J137" s="89"/>
      <c r="K137" s="89"/>
      <c r="L137" s="89"/>
      <c r="M137" s="89"/>
      <c r="N137" s="89"/>
      <c r="O137" s="89"/>
      <c r="P137" s="89"/>
      <c r="Q137" s="89"/>
      <c r="R137" s="89"/>
      <c r="S137" s="89"/>
      <c r="T137" s="89"/>
      <c r="U137" s="89"/>
      <c r="V137" s="89"/>
      <c r="W137" s="89"/>
      <c r="X137" s="89"/>
      <c r="Y137" s="89"/>
      <c r="Z137" s="89"/>
      <c r="AA137" s="89"/>
      <c r="AB137" s="89"/>
      <c r="AC137" s="89"/>
      <c r="AD137" s="89"/>
    </row>
    <row r="138">
      <c r="A138" s="89"/>
      <c r="B138" s="89"/>
      <c r="C138" s="140"/>
      <c r="D138" s="89"/>
      <c r="E138" s="89"/>
      <c r="F138" s="89"/>
      <c r="G138" s="89"/>
      <c r="H138" s="89"/>
      <c r="I138" s="89"/>
      <c r="J138" s="89"/>
      <c r="K138" s="89"/>
      <c r="L138" s="89"/>
      <c r="M138" s="89"/>
      <c r="N138" s="89"/>
      <c r="O138" s="89"/>
      <c r="P138" s="89"/>
      <c r="Q138" s="89"/>
      <c r="R138" s="89"/>
      <c r="S138" s="89"/>
      <c r="T138" s="89"/>
      <c r="U138" s="89"/>
      <c r="V138" s="89"/>
      <c r="W138" s="89"/>
      <c r="X138" s="89"/>
      <c r="Y138" s="89"/>
      <c r="Z138" s="89"/>
      <c r="AA138" s="89"/>
      <c r="AB138" s="89"/>
      <c r="AC138" s="89"/>
      <c r="AD138" s="89"/>
    </row>
    <row r="139">
      <c r="A139" s="89"/>
      <c r="B139" s="89"/>
      <c r="C139" s="140"/>
      <c r="D139" s="89"/>
      <c r="E139" s="89"/>
      <c r="F139" s="89"/>
      <c r="G139" s="89"/>
      <c r="H139" s="89"/>
      <c r="I139" s="89"/>
      <c r="J139" s="89"/>
      <c r="K139" s="89"/>
      <c r="L139" s="89"/>
      <c r="M139" s="89"/>
      <c r="N139" s="89"/>
      <c r="O139" s="89"/>
      <c r="P139" s="89"/>
      <c r="Q139" s="89"/>
      <c r="R139" s="89"/>
      <c r="S139" s="89"/>
      <c r="T139" s="89"/>
      <c r="U139" s="89"/>
      <c r="V139" s="89"/>
      <c r="W139" s="89"/>
      <c r="X139" s="89"/>
      <c r="Y139" s="89"/>
      <c r="Z139" s="89"/>
      <c r="AA139" s="89"/>
      <c r="AB139" s="89"/>
      <c r="AC139" s="89"/>
      <c r="AD139" s="89"/>
    </row>
    <row r="140">
      <c r="A140" s="89"/>
      <c r="B140" s="89"/>
      <c r="C140" s="140"/>
      <c r="D140" s="89"/>
      <c r="E140" s="89"/>
      <c r="F140" s="89"/>
      <c r="G140" s="89"/>
      <c r="H140" s="89"/>
      <c r="I140" s="89"/>
      <c r="J140" s="89"/>
      <c r="K140" s="89"/>
      <c r="L140" s="89"/>
      <c r="M140" s="89"/>
      <c r="N140" s="89"/>
      <c r="O140" s="89"/>
      <c r="P140" s="89"/>
      <c r="Q140" s="89"/>
      <c r="R140" s="89"/>
      <c r="S140" s="89"/>
      <c r="T140" s="89"/>
      <c r="U140" s="89"/>
      <c r="V140" s="89"/>
      <c r="W140" s="89"/>
      <c r="X140" s="89"/>
      <c r="Y140" s="89"/>
      <c r="Z140" s="89"/>
      <c r="AA140" s="89"/>
      <c r="AB140" s="89"/>
      <c r="AC140" s="89"/>
      <c r="AD140" s="89"/>
    </row>
    <row r="141">
      <c r="A141" s="89"/>
      <c r="B141" s="89"/>
      <c r="C141" s="140"/>
      <c r="D141" s="89"/>
      <c r="E141" s="89"/>
      <c r="F141" s="89"/>
      <c r="G141" s="89"/>
      <c r="H141" s="89"/>
      <c r="I141" s="89"/>
      <c r="J141" s="89"/>
      <c r="K141" s="89"/>
      <c r="L141" s="89"/>
      <c r="M141" s="89"/>
      <c r="N141" s="89"/>
      <c r="O141" s="89"/>
      <c r="P141" s="89"/>
      <c r="Q141" s="89"/>
      <c r="R141" s="89"/>
      <c r="S141" s="89"/>
      <c r="T141" s="89"/>
      <c r="U141" s="89"/>
      <c r="V141" s="89"/>
      <c r="W141" s="89"/>
      <c r="X141" s="89"/>
      <c r="Y141" s="89"/>
      <c r="Z141" s="89"/>
      <c r="AA141" s="89"/>
      <c r="AB141" s="89"/>
      <c r="AC141" s="89"/>
      <c r="AD141" s="89"/>
    </row>
    <row r="142">
      <c r="A142" s="89"/>
      <c r="B142" s="89"/>
      <c r="C142" s="140"/>
      <c r="D142" s="89"/>
      <c r="E142" s="89"/>
      <c r="F142" s="89"/>
      <c r="G142" s="89"/>
      <c r="H142" s="89"/>
      <c r="I142" s="89"/>
      <c r="J142" s="89"/>
      <c r="K142" s="89"/>
      <c r="L142" s="89"/>
      <c r="M142" s="89"/>
      <c r="N142" s="89"/>
      <c r="O142" s="89"/>
      <c r="P142" s="89"/>
      <c r="Q142" s="89"/>
      <c r="R142" s="89"/>
      <c r="S142" s="89"/>
      <c r="T142" s="89"/>
      <c r="U142" s="89"/>
      <c r="V142" s="89"/>
      <c r="W142" s="89"/>
      <c r="X142" s="89"/>
      <c r="Y142" s="89"/>
      <c r="Z142" s="89"/>
      <c r="AA142" s="89"/>
      <c r="AB142" s="89"/>
      <c r="AC142" s="89"/>
      <c r="AD142" s="89"/>
    </row>
    <row r="143">
      <c r="A143" s="89"/>
      <c r="B143" s="89"/>
      <c r="C143" s="140"/>
      <c r="D143" s="89"/>
      <c r="E143" s="89"/>
      <c r="F143" s="89"/>
      <c r="G143" s="89"/>
      <c r="H143" s="89"/>
      <c r="I143" s="89"/>
      <c r="J143" s="89"/>
      <c r="K143" s="89"/>
      <c r="L143" s="89"/>
      <c r="M143" s="89"/>
      <c r="N143" s="89"/>
      <c r="O143" s="89"/>
      <c r="P143" s="89"/>
      <c r="Q143" s="89"/>
      <c r="R143" s="89"/>
      <c r="S143" s="89"/>
      <c r="T143" s="89"/>
      <c r="U143" s="89"/>
      <c r="V143" s="89"/>
      <c r="W143" s="89"/>
      <c r="X143" s="89"/>
      <c r="Y143" s="89"/>
      <c r="Z143" s="89"/>
      <c r="AA143" s="89"/>
      <c r="AB143" s="89"/>
      <c r="AC143" s="89"/>
      <c r="AD143" s="89"/>
    </row>
    <row r="144">
      <c r="A144" s="89"/>
      <c r="B144" s="89"/>
      <c r="C144" s="140"/>
      <c r="D144" s="89"/>
      <c r="E144" s="89"/>
      <c r="F144" s="89"/>
      <c r="G144" s="89"/>
      <c r="H144" s="89"/>
      <c r="I144" s="89"/>
      <c r="J144" s="89"/>
      <c r="K144" s="89"/>
      <c r="L144" s="89"/>
      <c r="M144" s="89"/>
      <c r="N144" s="89"/>
      <c r="O144" s="89"/>
      <c r="P144" s="89"/>
      <c r="Q144" s="89"/>
      <c r="R144" s="89"/>
      <c r="S144" s="89"/>
      <c r="T144" s="89"/>
      <c r="U144" s="89"/>
      <c r="V144" s="89"/>
      <c r="W144" s="89"/>
      <c r="X144" s="89"/>
      <c r="Y144" s="89"/>
      <c r="Z144" s="89"/>
      <c r="AA144" s="89"/>
      <c r="AB144" s="89"/>
      <c r="AC144" s="89"/>
      <c r="AD144" s="89"/>
    </row>
    <row r="145">
      <c r="A145" s="89"/>
      <c r="B145" s="89"/>
      <c r="C145" s="140"/>
      <c r="D145" s="89"/>
      <c r="E145" s="89"/>
      <c r="F145" s="89"/>
      <c r="G145" s="89"/>
      <c r="H145" s="89"/>
      <c r="I145" s="89"/>
      <c r="J145" s="89"/>
      <c r="K145" s="89"/>
      <c r="L145" s="89"/>
      <c r="M145" s="89"/>
      <c r="N145" s="89"/>
      <c r="O145" s="89"/>
      <c r="P145" s="89"/>
      <c r="Q145" s="89"/>
      <c r="R145" s="89"/>
      <c r="S145" s="89"/>
      <c r="T145" s="89"/>
      <c r="U145" s="89"/>
      <c r="V145" s="89"/>
      <c r="W145" s="89"/>
      <c r="X145" s="89"/>
      <c r="Y145" s="89"/>
      <c r="Z145" s="89"/>
      <c r="AA145" s="89"/>
      <c r="AB145" s="89"/>
      <c r="AC145" s="89"/>
      <c r="AD145" s="89"/>
    </row>
    <row r="146">
      <c r="A146" s="89"/>
      <c r="B146" s="89"/>
      <c r="C146" s="140"/>
      <c r="D146" s="89"/>
      <c r="E146" s="89"/>
      <c r="F146" s="89"/>
      <c r="G146" s="89"/>
      <c r="H146" s="89"/>
      <c r="I146" s="89"/>
      <c r="J146" s="89"/>
      <c r="K146" s="89"/>
      <c r="L146" s="89"/>
      <c r="M146" s="89"/>
      <c r="N146" s="89"/>
      <c r="O146" s="89"/>
      <c r="P146" s="89"/>
      <c r="Q146" s="89"/>
      <c r="R146" s="89"/>
      <c r="S146" s="89"/>
      <c r="T146" s="89"/>
      <c r="U146" s="89"/>
      <c r="V146" s="89"/>
      <c r="W146" s="89"/>
      <c r="X146" s="89"/>
      <c r="Y146" s="89"/>
      <c r="Z146" s="89"/>
      <c r="AA146" s="89"/>
      <c r="AB146" s="89"/>
      <c r="AC146" s="89"/>
      <c r="AD146" s="89"/>
    </row>
    <row r="147">
      <c r="A147" s="89"/>
      <c r="B147" s="89"/>
      <c r="C147" s="140"/>
      <c r="D147" s="89"/>
      <c r="E147" s="89"/>
      <c r="F147" s="89"/>
      <c r="G147" s="89"/>
      <c r="H147" s="89"/>
      <c r="I147" s="89"/>
      <c r="J147" s="89"/>
      <c r="K147" s="89"/>
      <c r="L147" s="89"/>
      <c r="M147" s="89"/>
      <c r="N147" s="89"/>
      <c r="O147" s="89"/>
      <c r="P147" s="89"/>
      <c r="Q147" s="89"/>
      <c r="R147" s="89"/>
      <c r="S147" s="89"/>
      <c r="T147" s="89"/>
      <c r="U147" s="89"/>
      <c r="V147" s="89"/>
      <c r="W147" s="89"/>
      <c r="X147" s="89"/>
      <c r="Y147" s="89"/>
      <c r="Z147" s="89"/>
      <c r="AA147" s="89"/>
      <c r="AB147" s="89"/>
      <c r="AC147" s="89"/>
      <c r="AD147" s="89"/>
    </row>
    <row r="148">
      <c r="A148" s="89"/>
      <c r="B148" s="89"/>
      <c r="C148" s="140"/>
      <c r="D148" s="89"/>
      <c r="E148" s="89"/>
      <c r="F148" s="89"/>
      <c r="G148" s="89"/>
      <c r="H148" s="89"/>
      <c r="I148" s="89"/>
      <c r="J148" s="89"/>
      <c r="K148" s="89"/>
      <c r="L148" s="89"/>
      <c r="M148" s="89"/>
      <c r="N148" s="89"/>
      <c r="O148" s="89"/>
      <c r="P148" s="89"/>
      <c r="Q148" s="89"/>
      <c r="R148" s="89"/>
      <c r="S148" s="89"/>
      <c r="T148" s="89"/>
      <c r="U148" s="89"/>
      <c r="V148" s="89"/>
      <c r="W148" s="89"/>
      <c r="X148" s="89"/>
      <c r="Y148" s="89"/>
      <c r="Z148" s="89"/>
      <c r="AA148" s="89"/>
      <c r="AB148" s="89"/>
      <c r="AC148" s="89"/>
      <c r="AD148" s="89"/>
    </row>
    <row r="149">
      <c r="A149" s="89"/>
      <c r="B149" s="89"/>
      <c r="C149" s="140"/>
      <c r="D149" s="89"/>
      <c r="E149" s="89"/>
      <c r="F149" s="89"/>
      <c r="G149" s="89"/>
      <c r="H149" s="89"/>
      <c r="I149" s="89"/>
      <c r="J149" s="89"/>
      <c r="K149" s="89"/>
      <c r="L149" s="89"/>
      <c r="M149" s="89"/>
      <c r="N149" s="89"/>
      <c r="O149" s="89"/>
      <c r="P149" s="89"/>
      <c r="Q149" s="89"/>
      <c r="R149" s="89"/>
      <c r="S149" s="89"/>
      <c r="T149" s="89"/>
      <c r="U149" s="89"/>
      <c r="V149" s="89"/>
      <c r="W149" s="89"/>
      <c r="X149" s="89"/>
      <c r="Y149" s="89"/>
      <c r="Z149" s="89"/>
      <c r="AA149" s="89"/>
      <c r="AB149" s="89"/>
      <c r="AC149" s="89"/>
      <c r="AD149" s="89"/>
    </row>
    <row r="150">
      <c r="A150" s="89"/>
      <c r="B150" s="89"/>
      <c r="C150" s="140"/>
      <c r="D150" s="89"/>
      <c r="E150" s="89"/>
      <c r="F150" s="89"/>
      <c r="G150" s="89"/>
      <c r="H150" s="89"/>
      <c r="I150" s="89"/>
      <c r="J150" s="89"/>
      <c r="K150" s="89"/>
      <c r="L150" s="89"/>
      <c r="M150" s="89"/>
      <c r="N150" s="89"/>
      <c r="O150" s="89"/>
      <c r="P150" s="89"/>
      <c r="Q150" s="89"/>
      <c r="R150" s="89"/>
      <c r="S150" s="89"/>
      <c r="T150" s="89"/>
      <c r="U150" s="89"/>
      <c r="V150" s="89"/>
      <c r="W150" s="89"/>
      <c r="X150" s="89"/>
      <c r="Y150" s="89"/>
      <c r="Z150" s="89"/>
      <c r="AA150" s="89"/>
      <c r="AB150" s="89"/>
      <c r="AC150" s="89"/>
      <c r="AD150" s="89"/>
    </row>
    <row r="151">
      <c r="A151" s="89"/>
      <c r="B151" s="89"/>
      <c r="C151" s="140"/>
      <c r="D151" s="89"/>
      <c r="E151" s="89"/>
      <c r="F151" s="89"/>
      <c r="G151" s="89"/>
      <c r="H151" s="89"/>
      <c r="I151" s="89"/>
      <c r="J151" s="89"/>
      <c r="K151" s="89"/>
      <c r="L151" s="89"/>
      <c r="M151" s="89"/>
      <c r="N151" s="89"/>
      <c r="O151" s="89"/>
      <c r="P151" s="89"/>
      <c r="Q151" s="89"/>
      <c r="R151" s="89"/>
      <c r="S151" s="89"/>
      <c r="T151" s="89"/>
      <c r="U151" s="89"/>
      <c r="V151" s="89"/>
      <c r="W151" s="89"/>
      <c r="X151" s="89"/>
      <c r="Y151" s="89"/>
      <c r="Z151" s="89"/>
      <c r="AA151" s="89"/>
      <c r="AB151" s="89"/>
      <c r="AC151" s="89"/>
      <c r="AD151" s="89"/>
    </row>
    <row r="152">
      <c r="A152" s="89"/>
      <c r="B152" s="89"/>
      <c r="C152" s="140"/>
      <c r="D152" s="89"/>
      <c r="E152" s="89"/>
      <c r="F152" s="89"/>
      <c r="G152" s="89"/>
      <c r="H152" s="89"/>
      <c r="I152" s="89"/>
      <c r="J152" s="89"/>
      <c r="K152" s="89"/>
      <c r="L152" s="89"/>
      <c r="M152" s="89"/>
      <c r="N152" s="89"/>
      <c r="O152" s="89"/>
      <c r="P152" s="89"/>
      <c r="Q152" s="89"/>
      <c r="R152" s="89"/>
      <c r="S152" s="89"/>
      <c r="T152" s="89"/>
      <c r="U152" s="89"/>
      <c r="V152" s="89"/>
      <c r="W152" s="89"/>
      <c r="X152" s="89"/>
      <c r="Y152" s="89"/>
      <c r="Z152" s="89"/>
      <c r="AA152" s="89"/>
      <c r="AB152" s="89"/>
      <c r="AC152" s="89"/>
      <c r="AD152" s="89"/>
    </row>
    <row r="153">
      <c r="A153" s="89"/>
      <c r="B153" s="89"/>
      <c r="C153" s="140"/>
      <c r="D153" s="89"/>
      <c r="E153" s="89"/>
      <c r="F153" s="89"/>
      <c r="G153" s="89"/>
      <c r="H153" s="89"/>
      <c r="I153" s="89"/>
      <c r="J153" s="89"/>
      <c r="K153" s="89"/>
      <c r="L153" s="89"/>
      <c r="M153" s="89"/>
      <c r="N153" s="89"/>
      <c r="O153" s="89"/>
      <c r="P153" s="89"/>
      <c r="Q153" s="89"/>
      <c r="R153" s="89"/>
      <c r="S153" s="89"/>
      <c r="T153" s="89"/>
      <c r="U153" s="89"/>
      <c r="V153" s="89"/>
      <c r="W153" s="89"/>
      <c r="X153" s="89"/>
      <c r="Y153" s="89"/>
      <c r="Z153" s="89"/>
      <c r="AA153" s="89"/>
      <c r="AB153" s="89"/>
      <c r="AC153" s="89"/>
      <c r="AD153" s="89"/>
    </row>
    <row r="154">
      <c r="A154" s="89"/>
      <c r="B154" s="89"/>
      <c r="C154" s="140"/>
      <c r="D154" s="89"/>
      <c r="E154" s="89"/>
      <c r="F154" s="89"/>
      <c r="G154" s="89"/>
      <c r="H154" s="89"/>
      <c r="I154" s="89"/>
      <c r="J154" s="89"/>
      <c r="K154" s="89"/>
      <c r="L154" s="89"/>
      <c r="M154" s="89"/>
      <c r="N154" s="89"/>
      <c r="O154" s="89"/>
      <c r="P154" s="89"/>
      <c r="Q154" s="89"/>
      <c r="R154" s="89"/>
      <c r="S154" s="89"/>
      <c r="T154" s="89"/>
      <c r="U154" s="89"/>
      <c r="V154" s="89"/>
      <c r="W154" s="89"/>
      <c r="X154" s="89"/>
      <c r="Y154" s="89"/>
      <c r="Z154" s="89"/>
      <c r="AA154" s="89"/>
      <c r="AB154" s="89"/>
      <c r="AC154" s="89"/>
      <c r="AD154" s="89"/>
    </row>
    <row r="155">
      <c r="A155" s="89"/>
      <c r="B155" s="89"/>
      <c r="C155" s="140"/>
      <c r="D155" s="89"/>
      <c r="E155" s="89"/>
      <c r="F155" s="89"/>
      <c r="G155" s="89"/>
      <c r="H155" s="89"/>
      <c r="I155" s="89"/>
      <c r="J155" s="89"/>
      <c r="K155" s="89"/>
      <c r="L155" s="89"/>
      <c r="M155" s="89"/>
      <c r="N155" s="89"/>
      <c r="O155" s="89"/>
      <c r="P155" s="89"/>
      <c r="Q155" s="89"/>
      <c r="R155" s="89"/>
      <c r="S155" s="89"/>
      <c r="T155" s="89"/>
      <c r="U155" s="89"/>
      <c r="V155" s="89"/>
      <c r="W155" s="89"/>
      <c r="X155" s="89"/>
      <c r="Y155" s="89"/>
      <c r="Z155" s="89"/>
      <c r="AA155" s="89"/>
      <c r="AB155" s="89"/>
      <c r="AC155" s="89"/>
      <c r="AD155" s="89"/>
    </row>
    <row r="156">
      <c r="A156" s="89"/>
      <c r="B156" s="89"/>
      <c r="C156" s="140"/>
      <c r="D156" s="89"/>
      <c r="E156" s="89"/>
      <c r="F156" s="89"/>
      <c r="G156" s="89"/>
      <c r="H156" s="89"/>
      <c r="I156" s="89"/>
      <c r="J156" s="89"/>
      <c r="K156" s="89"/>
      <c r="L156" s="89"/>
      <c r="M156" s="89"/>
      <c r="N156" s="89"/>
      <c r="O156" s="89"/>
      <c r="P156" s="89"/>
      <c r="Q156" s="89"/>
      <c r="R156" s="89"/>
      <c r="S156" s="89"/>
      <c r="T156" s="89"/>
      <c r="U156" s="89"/>
      <c r="V156" s="89"/>
      <c r="W156" s="89"/>
      <c r="X156" s="89"/>
      <c r="Y156" s="89"/>
      <c r="Z156" s="89"/>
      <c r="AA156" s="89"/>
      <c r="AB156" s="89"/>
      <c r="AC156" s="89"/>
      <c r="AD156" s="89"/>
    </row>
    <row r="157">
      <c r="A157" s="89"/>
      <c r="B157" s="89"/>
      <c r="C157" s="140"/>
      <c r="D157" s="89"/>
      <c r="E157" s="89"/>
      <c r="F157" s="89"/>
      <c r="G157" s="89"/>
      <c r="H157" s="89"/>
      <c r="I157" s="89"/>
      <c r="J157" s="89"/>
      <c r="K157" s="89"/>
      <c r="L157" s="89"/>
      <c r="M157" s="89"/>
      <c r="N157" s="89"/>
      <c r="O157" s="89"/>
      <c r="P157" s="89"/>
      <c r="Q157" s="89"/>
      <c r="R157" s="89"/>
      <c r="S157" s="89"/>
      <c r="T157" s="89"/>
      <c r="U157" s="89"/>
      <c r="V157" s="89"/>
      <c r="W157" s="89"/>
      <c r="X157" s="89"/>
      <c r="Y157" s="89"/>
      <c r="Z157" s="89"/>
      <c r="AA157" s="89"/>
      <c r="AB157" s="89"/>
      <c r="AC157" s="89"/>
      <c r="AD157" s="89"/>
    </row>
    <row r="158">
      <c r="A158" s="89"/>
      <c r="B158" s="89"/>
      <c r="C158" s="140"/>
      <c r="D158" s="89"/>
      <c r="E158" s="89"/>
      <c r="F158" s="89"/>
      <c r="G158" s="89"/>
      <c r="H158" s="89"/>
      <c r="I158" s="89"/>
      <c r="J158" s="89"/>
      <c r="K158" s="89"/>
      <c r="L158" s="89"/>
      <c r="M158" s="89"/>
      <c r="N158" s="89"/>
      <c r="O158" s="89"/>
      <c r="P158" s="89"/>
      <c r="Q158" s="89"/>
      <c r="R158" s="89"/>
      <c r="S158" s="89"/>
      <c r="T158" s="89"/>
      <c r="U158" s="89"/>
      <c r="V158" s="89"/>
      <c r="W158" s="89"/>
      <c r="X158" s="89"/>
      <c r="Y158" s="89"/>
      <c r="Z158" s="89"/>
      <c r="AA158" s="89"/>
      <c r="AB158" s="89"/>
      <c r="AC158" s="89"/>
      <c r="AD158" s="89"/>
    </row>
    <row r="159">
      <c r="A159" s="89"/>
      <c r="B159" s="89"/>
      <c r="C159" s="140"/>
      <c r="D159" s="89"/>
      <c r="E159" s="89"/>
      <c r="F159" s="89"/>
      <c r="G159" s="89"/>
      <c r="H159" s="89"/>
      <c r="I159" s="89"/>
      <c r="J159" s="89"/>
      <c r="K159" s="89"/>
      <c r="L159" s="89"/>
      <c r="M159" s="89"/>
      <c r="N159" s="89"/>
      <c r="O159" s="89"/>
      <c r="P159" s="89"/>
      <c r="Q159" s="89"/>
      <c r="R159" s="89"/>
      <c r="S159" s="89"/>
      <c r="T159" s="89"/>
      <c r="U159" s="89"/>
      <c r="V159" s="89"/>
      <c r="W159" s="89"/>
      <c r="X159" s="89"/>
      <c r="Y159" s="89"/>
      <c r="Z159" s="89"/>
      <c r="AA159" s="89"/>
      <c r="AB159" s="89"/>
      <c r="AC159" s="89"/>
      <c r="AD159" s="89"/>
    </row>
    <row r="160">
      <c r="A160" s="89"/>
      <c r="B160" s="89"/>
      <c r="C160" s="140"/>
      <c r="D160" s="89"/>
      <c r="E160" s="89"/>
      <c r="F160" s="89"/>
      <c r="G160" s="89"/>
      <c r="H160" s="89"/>
      <c r="I160" s="89"/>
      <c r="J160" s="89"/>
      <c r="K160" s="89"/>
      <c r="L160" s="89"/>
      <c r="M160" s="89"/>
      <c r="N160" s="89"/>
      <c r="O160" s="89"/>
      <c r="P160" s="89"/>
      <c r="Q160" s="89"/>
      <c r="R160" s="89"/>
      <c r="S160" s="89"/>
      <c r="T160" s="89"/>
      <c r="U160" s="89"/>
      <c r="V160" s="89"/>
      <c r="W160" s="89"/>
      <c r="X160" s="89"/>
      <c r="Y160" s="89"/>
      <c r="Z160" s="89"/>
      <c r="AA160" s="89"/>
      <c r="AB160" s="89"/>
      <c r="AC160" s="89"/>
      <c r="AD160" s="89"/>
    </row>
    <row r="161">
      <c r="A161" s="89"/>
      <c r="B161" s="89"/>
      <c r="C161" s="140"/>
      <c r="D161" s="89"/>
      <c r="E161" s="89"/>
      <c r="F161" s="89"/>
      <c r="G161" s="89"/>
      <c r="H161" s="89"/>
      <c r="I161" s="89"/>
      <c r="J161" s="89"/>
      <c r="K161" s="89"/>
      <c r="L161" s="89"/>
      <c r="M161" s="89"/>
      <c r="N161" s="89"/>
      <c r="O161" s="89"/>
      <c r="P161" s="89"/>
      <c r="Q161" s="89"/>
      <c r="R161" s="89"/>
      <c r="S161" s="89"/>
      <c r="T161" s="89"/>
      <c r="U161" s="89"/>
      <c r="V161" s="89"/>
      <c r="W161" s="89"/>
      <c r="X161" s="89"/>
      <c r="Y161" s="89"/>
      <c r="Z161" s="89"/>
      <c r="AA161" s="89"/>
      <c r="AB161" s="89"/>
      <c r="AC161" s="89"/>
      <c r="AD161" s="89"/>
    </row>
    <row r="162">
      <c r="A162" s="89"/>
      <c r="B162" s="89"/>
      <c r="C162" s="140"/>
      <c r="D162" s="89"/>
      <c r="E162" s="89"/>
      <c r="F162" s="89"/>
      <c r="G162" s="89"/>
      <c r="H162" s="89"/>
      <c r="I162" s="89"/>
      <c r="J162" s="89"/>
      <c r="K162" s="89"/>
      <c r="L162" s="89"/>
      <c r="M162" s="89"/>
      <c r="N162" s="89"/>
      <c r="O162" s="89"/>
      <c r="P162" s="89"/>
      <c r="Q162" s="89"/>
      <c r="R162" s="89"/>
      <c r="S162" s="89"/>
      <c r="T162" s="89"/>
      <c r="U162" s="89"/>
      <c r="V162" s="89"/>
      <c r="W162" s="89"/>
      <c r="X162" s="89"/>
      <c r="Y162" s="89"/>
      <c r="Z162" s="89"/>
      <c r="AA162" s="89"/>
      <c r="AB162" s="89"/>
      <c r="AC162" s="89"/>
      <c r="AD162" s="89"/>
    </row>
    <row r="163">
      <c r="A163" s="89"/>
      <c r="B163" s="89"/>
      <c r="C163" s="140"/>
      <c r="D163" s="89"/>
      <c r="E163" s="89"/>
      <c r="F163" s="89"/>
      <c r="G163" s="89"/>
      <c r="H163" s="89"/>
      <c r="I163" s="89"/>
      <c r="J163" s="89"/>
      <c r="K163" s="89"/>
      <c r="L163" s="89"/>
      <c r="M163" s="89"/>
      <c r="N163" s="89"/>
      <c r="O163" s="89"/>
      <c r="P163" s="89"/>
      <c r="Q163" s="89"/>
      <c r="R163" s="89"/>
      <c r="S163" s="89"/>
      <c r="T163" s="89"/>
      <c r="U163" s="89"/>
      <c r="V163" s="89"/>
      <c r="W163" s="89"/>
      <c r="X163" s="89"/>
      <c r="Y163" s="89"/>
      <c r="Z163" s="89"/>
      <c r="AA163" s="89"/>
      <c r="AB163" s="89"/>
      <c r="AC163" s="89"/>
      <c r="AD163" s="89"/>
    </row>
    <row r="164">
      <c r="A164" s="89"/>
      <c r="B164" s="89"/>
      <c r="C164" s="140"/>
      <c r="D164" s="89"/>
      <c r="E164" s="89"/>
      <c r="F164" s="89"/>
      <c r="G164" s="89"/>
      <c r="H164" s="89"/>
      <c r="I164" s="89"/>
      <c r="J164" s="89"/>
      <c r="K164" s="89"/>
      <c r="L164" s="89"/>
      <c r="M164" s="89"/>
      <c r="N164" s="89"/>
      <c r="O164" s="89"/>
      <c r="P164" s="89"/>
      <c r="Q164" s="89"/>
      <c r="R164" s="89"/>
      <c r="S164" s="89"/>
      <c r="T164" s="89"/>
      <c r="U164" s="89"/>
      <c r="V164" s="89"/>
      <c r="W164" s="89"/>
      <c r="X164" s="89"/>
      <c r="Y164" s="89"/>
      <c r="Z164" s="89"/>
      <c r="AA164" s="89"/>
      <c r="AB164" s="89"/>
      <c r="AC164" s="89"/>
      <c r="AD164" s="89"/>
    </row>
    <row r="165">
      <c r="A165" s="89"/>
      <c r="B165" s="89"/>
      <c r="C165" s="140"/>
      <c r="D165" s="89"/>
      <c r="E165" s="89"/>
      <c r="F165" s="89"/>
      <c r="G165" s="89"/>
      <c r="H165" s="89"/>
      <c r="I165" s="89"/>
      <c r="J165" s="89"/>
      <c r="K165" s="89"/>
      <c r="L165" s="89"/>
      <c r="M165" s="89"/>
      <c r="N165" s="89"/>
      <c r="O165" s="89"/>
      <c r="P165" s="89"/>
      <c r="Q165" s="89"/>
      <c r="R165" s="89"/>
      <c r="S165" s="89"/>
      <c r="T165" s="89"/>
      <c r="U165" s="89"/>
      <c r="V165" s="89"/>
      <c r="W165" s="89"/>
      <c r="X165" s="89"/>
      <c r="Y165" s="89"/>
      <c r="Z165" s="89"/>
      <c r="AA165" s="89"/>
      <c r="AB165" s="89"/>
      <c r="AC165" s="89"/>
      <c r="AD165" s="89"/>
    </row>
    <row r="166">
      <c r="A166" s="89"/>
      <c r="B166" s="89"/>
      <c r="C166" s="140"/>
      <c r="D166" s="89"/>
      <c r="E166" s="89"/>
      <c r="F166" s="89"/>
      <c r="G166" s="89"/>
      <c r="H166" s="89"/>
      <c r="I166" s="89"/>
      <c r="J166" s="89"/>
      <c r="K166" s="89"/>
      <c r="L166" s="89"/>
      <c r="M166" s="89"/>
      <c r="N166" s="89"/>
      <c r="O166" s="89"/>
      <c r="P166" s="89"/>
      <c r="Q166" s="89"/>
      <c r="R166" s="89"/>
      <c r="S166" s="89"/>
      <c r="T166" s="89"/>
      <c r="U166" s="89"/>
      <c r="V166" s="89"/>
      <c r="W166" s="89"/>
      <c r="X166" s="89"/>
      <c r="Y166" s="89"/>
      <c r="Z166" s="89"/>
      <c r="AA166" s="89"/>
      <c r="AB166" s="89"/>
      <c r="AC166" s="89"/>
      <c r="AD166" s="89"/>
    </row>
    <row r="167">
      <c r="A167" s="89"/>
      <c r="B167" s="89"/>
      <c r="C167" s="140"/>
      <c r="D167" s="89"/>
      <c r="E167" s="89"/>
      <c r="F167" s="89"/>
      <c r="G167" s="89"/>
      <c r="H167" s="89"/>
      <c r="I167" s="89"/>
      <c r="J167" s="89"/>
      <c r="K167" s="89"/>
      <c r="L167" s="89"/>
      <c r="M167" s="89"/>
      <c r="N167" s="89"/>
      <c r="O167" s="89"/>
      <c r="P167" s="89"/>
      <c r="Q167" s="89"/>
      <c r="R167" s="89"/>
      <c r="S167" s="89"/>
      <c r="T167" s="89"/>
      <c r="U167" s="89"/>
      <c r="V167" s="89"/>
      <c r="W167" s="89"/>
      <c r="X167" s="89"/>
      <c r="Y167" s="89"/>
      <c r="Z167" s="89"/>
      <c r="AA167" s="89"/>
      <c r="AB167" s="89"/>
      <c r="AC167" s="89"/>
      <c r="AD167" s="89"/>
    </row>
    <row r="168">
      <c r="A168" s="89"/>
      <c r="B168" s="89"/>
      <c r="C168" s="140"/>
      <c r="D168" s="89"/>
      <c r="E168" s="89"/>
      <c r="F168" s="89"/>
      <c r="G168" s="89"/>
      <c r="H168" s="89"/>
      <c r="I168" s="89"/>
      <c r="J168" s="89"/>
      <c r="K168" s="89"/>
      <c r="L168" s="89"/>
      <c r="M168" s="89"/>
      <c r="N168" s="89"/>
      <c r="O168" s="89"/>
      <c r="P168" s="89"/>
      <c r="Q168" s="89"/>
      <c r="R168" s="89"/>
      <c r="S168" s="89"/>
      <c r="T168" s="89"/>
      <c r="U168" s="89"/>
      <c r="V168" s="89"/>
      <c r="W168" s="89"/>
      <c r="X168" s="89"/>
      <c r="Y168" s="89"/>
      <c r="Z168" s="89"/>
      <c r="AA168" s="89"/>
      <c r="AB168" s="89"/>
      <c r="AC168" s="89"/>
      <c r="AD168" s="89"/>
    </row>
    <row r="169">
      <c r="A169" s="89"/>
      <c r="B169" s="89"/>
      <c r="C169" s="140"/>
      <c r="D169" s="89"/>
      <c r="E169" s="89"/>
      <c r="F169" s="89"/>
      <c r="G169" s="89"/>
      <c r="H169" s="89"/>
      <c r="I169" s="89"/>
      <c r="J169" s="89"/>
      <c r="K169" s="89"/>
      <c r="L169" s="89"/>
      <c r="M169" s="89"/>
      <c r="N169" s="89"/>
      <c r="O169" s="89"/>
      <c r="P169" s="89"/>
      <c r="Q169" s="89"/>
      <c r="R169" s="89"/>
      <c r="S169" s="89"/>
      <c r="T169" s="89"/>
      <c r="U169" s="89"/>
      <c r="V169" s="89"/>
      <c r="W169" s="89"/>
      <c r="X169" s="89"/>
      <c r="Y169" s="89"/>
      <c r="Z169" s="89"/>
      <c r="AA169" s="89"/>
      <c r="AB169" s="89"/>
      <c r="AC169" s="89"/>
      <c r="AD169" s="89"/>
    </row>
    <row r="170">
      <c r="A170" s="89"/>
      <c r="B170" s="89"/>
      <c r="C170" s="140"/>
      <c r="D170" s="89"/>
      <c r="E170" s="89"/>
      <c r="F170" s="89"/>
      <c r="G170" s="89"/>
      <c r="H170" s="89"/>
      <c r="I170" s="89"/>
      <c r="J170" s="89"/>
      <c r="K170" s="89"/>
      <c r="L170" s="89"/>
      <c r="M170" s="89"/>
      <c r="N170" s="89"/>
      <c r="O170" s="89"/>
      <c r="P170" s="89"/>
      <c r="Q170" s="89"/>
      <c r="R170" s="89"/>
      <c r="S170" s="89"/>
      <c r="T170" s="89"/>
      <c r="U170" s="89"/>
      <c r="V170" s="89"/>
      <c r="W170" s="89"/>
      <c r="X170" s="89"/>
      <c r="Y170" s="89"/>
      <c r="Z170" s="89"/>
      <c r="AA170" s="89"/>
      <c r="AB170" s="89"/>
      <c r="AC170" s="89"/>
      <c r="AD170" s="89"/>
    </row>
    <row r="171">
      <c r="A171" s="89"/>
      <c r="B171" s="89"/>
      <c r="C171" s="140"/>
      <c r="D171" s="89"/>
      <c r="E171" s="89"/>
      <c r="F171" s="89"/>
      <c r="G171" s="89"/>
      <c r="H171" s="89"/>
      <c r="I171" s="89"/>
      <c r="J171" s="89"/>
      <c r="K171" s="89"/>
      <c r="L171" s="89"/>
      <c r="M171" s="89"/>
      <c r="N171" s="89"/>
      <c r="O171" s="89"/>
      <c r="P171" s="89"/>
      <c r="Q171" s="89"/>
      <c r="R171" s="89"/>
      <c r="S171" s="89"/>
      <c r="T171" s="89"/>
      <c r="U171" s="89"/>
      <c r="V171" s="89"/>
      <c r="W171" s="89"/>
      <c r="X171" s="89"/>
      <c r="Y171" s="89"/>
      <c r="Z171" s="89"/>
      <c r="AA171" s="89"/>
      <c r="AB171" s="89"/>
      <c r="AC171" s="89"/>
      <c r="AD171" s="89"/>
    </row>
    <row r="172">
      <c r="A172" s="89"/>
      <c r="B172" s="89"/>
      <c r="C172" s="140"/>
      <c r="D172" s="89"/>
      <c r="E172" s="89"/>
      <c r="F172" s="89"/>
      <c r="G172" s="89"/>
      <c r="H172" s="89"/>
      <c r="I172" s="89"/>
      <c r="J172" s="89"/>
      <c r="K172" s="89"/>
      <c r="L172" s="89"/>
      <c r="M172" s="89"/>
      <c r="N172" s="89"/>
      <c r="O172" s="89"/>
      <c r="P172" s="89"/>
      <c r="Q172" s="89"/>
      <c r="R172" s="89"/>
      <c r="S172" s="89"/>
      <c r="T172" s="89"/>
      <c r="U172" s="89"/>
      <c r="V172" s="89"/>
      <c r="W172" s="89"/>
      <c r="X172" s="89"/>
      <c r="Y172" s="89"/>
      <c r="Z172" s="89"/>
      <c r="AA172" s="89"/>
      <c r="AB172" s="89"/>
      <c r="AC172" s="89"/>
      <c r="AD172" s="89"/>
    </row>
    <row r="173">
      <c r="A173" s="89"/>
      <c r="B173" s="89"/>
      <c r="C173" s="140"/>
      <c r="D173" s="89"/>
      <c r="E173" s="89"/>
      <c r="F173" s="89"/>
      <c r="G173" s="89"/>
      <c r="H173" s="89"/>
      <c r="I173" s="89"/>
      <c r="J173" s="89"/>
      <c r="K173" s="89"/>
      <c r="L173" s="89"/>
      <c r="M173" s="89"/>
      <c r="N173" s="89"/>
      <c r="O173" s="89"/>
      <c r="P173" s="89"/>
      <c r="Q173" s="89"/>
      <c r="R173" s="89"/>
      <c r="S173" s="89"/>
      <c r="T173" s="89"/>
      <c r="U173" s="89"/>
      <c r="V173" s="89"/>
      <c r="W173" s="89"/>
      <c r="X173" s="89"/>
      <c r="Y173" s="89"/>
      <c r="Z173" s="89"/>
      <c r="AA173" s="89"/>
      <c r="AB173" s="89"/>
      <c r="AC173" s="89"/>
      <c r="AD173" s="89"/>
    </row>
    <row r="174">
      <c r="A174" s="89"/>
      <c r="B174" s="89"/>
      <c r="C174" s="140"/>
      <c r="D174" s="89"/>
      <c r="E174" s="89"/>
      <c r="F174" s="89"/>
      <c r="G174" s="89"/>
      <c r="H174" s="89"/>
      <c r="I174" s="89"/>
      <c r="J174" s="89"/>
      <c r="K174" s="89"/>
      <c r="L174" s="89"/>
      <c r="M174" s="89"/>
      <c r="N174" s="89"/>
      <c r="O174" s="89"/>
      <c r="P174" s="89"/>
      <c r="Q174" s="89"/>
      <c r="R174" s="89"/>
      <c r="S174" s="89"/>
      <c r="T174" s="89"/>
      <c r="U174" s="89"/>
      <c r="V174" s="89"/>
      <c r="W174" s="89"/>
      <c r="X174" s="89"/>
      <c r="Y174" s="89"/>
      <c r="Z174" s="89"/>
      <c r="AA174" s="89"/>
      <c r="AB174" s="89"/>
      <c r="AC174" s="89"/>
      <c r="AD174" s="89"/>
    </row>
    <row r="175">
      <c r="A175" s="89"/>
      <c r="B175" s="89"/>
      <c r="C175" s="140"/>
      <c r="D175" s="89"/>
      <c r="E175" s="89"/>
      <c r="F175" s="89"/>
      <c r="G175" s="89"/>
      <c r="H175" s="89"/>
      <c r="I175" s="89"/>
      <c r="J175" s="89"/>
      <c r="K175" s="89"/>
      <c r="L175" s="89"/>
      <c r="M175" s="89"/>
      <c r="N175" s="89"/>
      <c r="O175" s="89"/>
      <c r="P175" s="89"/>
      <c r="Q175" s="89"/>
      <c r="R175" s="89"/>
      <c r="S175" s="89"/>
      <c r="T175" s="89"/>
      <c r="U175" s="89"/>
      <c r="V175" s="89"/>
      <c r="W175" s="89"/>
      <c r="X175" s="89"/>
      <c r="Y175" s="89"/>
      <c r="Z175" s="89"/>
      <c r="AA175" s="89"/>
      <c r="AB175" s="89"/>
      <c r="AC175" s="89"/>
      <c r="AD175" s="89"/>
    </row>
    <row r="176">
      <c r="A176" s="89"/>
      <c r="B176" s="89"/>
      <c r="C176" s="140"/>
      <c r="D176" s="89"/>
      <c r="E176" s="89"/>
      <c r="F176" s="89"/>
      <c r="G176" s="89"/>
      <c r="H176" s="89"/>
      <c r="I176" s="89"/>
      <c r="J176" s="89"/>
      <c r="K176" s="89"/>
      <c r="L176" s="89"/>
      <c r="M176" s="89"/>
      <c r="N176" s="89"/>
      <c r="O176" s="89"/>
      <c r="P176" s="89"/>
      <c r="Q176" s="89"/>
      <c r="R176" s="89"/>
      <c r="S176" s="89"/>
      <c r="T176" s="89"/>
      <c r="U176" s="89"/>
      <c r="V176" s="89"/>
      <c r="W176" s="89"/>
      <c r="X176" s="89"/>
      <c r="Y176" s="89"/>
      <c r="Z176" s="89"/>
      <c r="AA176" s="89"/>
      <c r="AB176" s="89"/>
      <c r="AC176" s="89"/>
      <c r="AD176" s="89"/>
    </row>
    <row r="177">
      <c r="A177" s="89"/>
      <c r="B177" s="89"/>
      <c r="C177" s="140"/>
      <c r="D177" s="89"/>
      <c r="E177" s="89"/>
      <c r="F177" s="89"/>
      <c r="G177" s="89"/>
      <c r="H177" s="89"/>
      <c r="I177" s="89"/>
      <c r="J177" s="89"/>
      <c r="K177" s="89"/>
      <c r="L177" s="89"/>
      <c r="M177" s="89"/>
      <c r="N177" s="89"/>
      <c r="O177" s="89"/>
      <c r="P177" s="89"/>
      <c r="Q177" s="89"/>
      <c r="R177" s="89"/>
      <c r="S177" s="89"/>
      <c r="T177" s="89"/>
      <c r="U177" s="89"/>
      <c r="V177" s="89"/>
      <c r="W177" s="89"/>
      <c r="X177" s="89"/>
      <c r="Y177" s="89"/>
      <c r="Z177" s="89"/>
      <c r="AA177" s="89"/>
      <c r="AB177" s="89"/>
      <c r="AC177" s="89"/>
      <c r="AD177" s="89"/>
    </row>
    <row r="178">
      <c r="A178" s="89"/>
      <c r="B178" s="89"/>
      <c r="C178" s="140"/>
      <c r="D178" s="89"/>
      <c r="E178" s="89"/>
      <c r="F178" s="89"/>
      <c r="G178" s="89"/>
      <c r="H178" s="89"/>
      <c r="I178" s="89"/>
      <c r="J178" s="89"/>
      <c r="K178" s="89"/>
      <c r="L178" s="89"/>
      <c r="M178" s="89"/>
      <c r="N178" s="89"/>
      <c r="O178" s="89"/>
      <c r="P178" s="89"/>
      <c r="Q178" s="89"/>
      <c r="R178" s="89"/>
      <c r="S178" s="89"/>
      <c r="T178" s="89"/>
      <c r="U178" s="89"/>
      <c r="V178" s="89"/>
      <c r="W178" s="89"/>
      <c r="X178" s="89"/>
      <c r="Y178" s="89"/>
      <c r="Z178" s="89"/>
      <c r="AA178" s="89"/>
      <c r="AB178" s="89"/>
      <c r="AC178" s="89"/>
      <c r="AD178" s="89"/>
    </row>
    <row r="179">
      <c r="A179" s="89"/>
      <c r="B179" s="89"/>
      <c r="C179" s="140"/>
      <c r="D179" s="89"/>
      <c r="E179" s="89"/>
      <c r="F179" s="89"/>
      <c r="G179" s="89"/>
      <c r="H179" s="89"/>
      <c r="I179" s="89"/>
      <c r="J179" s="89"/>
      <c r="K179" s="89"/>
      <c r="L179" s="89"/>
      <c r="M179" s="89"/>
      <c r="N179" s="89"/>
      <c r="O179" s="89"/>
      <c r="P179" s="89"/>
      <c r="Q179" s="89"/>
      <c r="R179" s="89"/>
      <c r="S179" s="89"/>
      <c r="T179" s="89"/>
      <c r="U179" s="89"/>
      <c r="V179" s="89"/>
      <c r="W179" s="89"/>
      <c r="X179" s="89"/>
      <c r="Y179" s="89"/>
      <c r="Z179" s="89"/>
      <c r="AA179" s="89"/>
      <c r="AB179" s="89"/>
      <c r="AC179" s="89"/>
      <c r="AD179" s="89"/>
    </row>
    <row r="180">
      <c r="A180" s="89"/>
      <c r="B180" s="89"/>
      <c r="C180" s="140"/>
      <c r="D180" s="89"/>
      <c r="E180" s="89"/>
      <c r="F180" s="89"/>
      <c r="G180" s="89"/>
      <c r="H180" s="89"/>
      <c r="I180" s="89"/>
      <c r="J180" s="89"/>
      <c r="K180" s="89"/>
      <c r="L180" s="89"/>
      <c r="M180" s="89"/>
      <c r="N180" s="89"/>
      <c r="O180" s="89"/>
      <c r="P180" s="89"/>
      <c r="Q180" s="89"/>
      <c r="R180" s="89"/>
      <c r="S180" s="89"/>
      <c r="T180" s="89"/>
      <c r="U180" s="89"/>
      <c r="V180" s="89"/>
      <c r="W180" s="89"/>
      <c r="X180" s="89"/>
      <c r="Y180" s="89"/>
      <c r="Z180" s="89"/>
      <c r="AA180" s="89"/>
      <c r="AB180" s="89"/>
      <c r="AC180" s="89"/>
      <c r="AD180" s="89"/>
    </row>
    <row r="181">
      <c r="A181" s="89"/>
      <c r="B181" s="89"/>
      <c r="C181" s="140"/>
      <c r="D181" s="89"/>
      <c r="E181" s="89"/>
      <c r="F181" s="89"/>
      <c r="G181" s="89"/>
      <c r="H181" s="89"/>
      <c r="I181" s="89"/>
      <c r="J181" s="89"/>
      <c r="K181" s="89"/>
      <c r="L181" s="89"/>
      <c r="M181" s="89"/>
      <c r="N181" s="89"/>
      <c r="O181" s="89"/>
      <c r="P181" s="89"/>
      <c r="Q181" s="89"/>
      <c r="R181" s="89"/>
      <c r="S181" s="89"/>
      <c r="T181" s="89"/>
      <c r="U181" s="89"/>
      <c r="V181" s="89"/>
      <c r="W181" s="89"/>
      <c r="X181" s="89"/>
      <c r="Y181" s="89"/>
      <c r="Z181" s="89"/>
      <c r="AA181" s="89"/>
      <c r="AB181" s="89"/>
      <c r="AC181" s="89"/>
      <c r="AD181" s="89"/>
    </row>
    <row r="182">
      <c r="A182" s="89"/>
      <c r="B182" s="89"/>
      <c r="C182" s="140"/>
      <c r="D182" s="89"/>
      <c r="E182" s="89"/>
      <c r="F182" s="89"/>
      <c r="G182" s="89"/>
      <c r="H182" s="89"/>
      <c r="I182" s="89"/>
      <c r="J182" s="89"/>
      <c r="K182" s="89"/>
      <c r="L182" s="89"/>
      <c r="M182" s="89"/>
      <c r="N182" s="89"/>
      <c r="O182" s="89"/>
      <c r="P182" s="89"/>
      <c r="Q182" s="89"/>
      <c r="R182" s="89"/>
      <c r="S182" s="89"/>
      <c r="T182" s="89"/>
      <c r="U182" s="89"/>
      <c r="V182" s="89"/>
      <c r="W182" s="89"/>
      <c r="X182" s="89"/>
      <c r="Y182" s="89"/>
      <c r="Z182" s="89"/>
      <c r="AA182" s="89"/>
      <c r="AB182" s="89"/>
      <c r="AC182" s="89"/>
      <c r="AD182" s="89"/>
    </row>
    <row r="183">
      <c r="A183" s="89"/>
      <c r="B183" s="89"/>
      <c r="C183" s="140"/>
      <c r="D183" s="89"/>
      <c r="E183" s="89"/>
      <c r="F183" s="89"/>
      <c r="G183" s="89"/>
      <c r="H183" s="89"/>
      <c r="I183" s="89"/>
      <c r="J183" s="89"/>
      <c r="K183" s="89"/>
      <c r="L183" s="89"/>
      <c r="M183" s="89"/>
      <c r="N183" s="89"/>
      <c r="O183" s="89"/>
      <c r="P183" s="89"/>
      <c r="Q183" s="89"/>
      <c r="R183" s="89"/>
      <c r="S183" s="89"/>
      <c r="T183" s="89"/>
      <c r="U183" s="89"/>
      <c r="V183" s="89"/>
      <c r="W183" s="89"/>
      <c r="X183" s="89"/>
      <c r="Y183" s="89"/>
      <c r="Z183" s="89"/>
      <c r="AA183" s="89"/>
      <c r="AB183" s="89"/>
      <c r="AC183" s="89"/>
      <c r="AD183" s="89"/>
    </row>
    <row r="184">
      <c r="A184" s="89"/>
      <c r="B184" s="89"/>
      <c r="C184" s="140"/>
      <c r="D184" s="89"/>
      <c r="E184" s="89"/>
      <c r="F184" s="89"/>
      <c r="G184" s="89"/>
      <c r="H184" s="89"/>
      <c r="I184" s="89"/>
      <c r="J184" s="89"/>
      <c r="K184" s="89"/>
      <c r="L184" s="89"/>
      <c r="M184" s="89"/>
      <c r="N184" s="89"/>
      <c r="O184" s="89"/>
      <c r="P184" s="89"/>
      <c r="Q184" s="89"/>
      <c r="R184" s="89"/>
      <c r="S184" s="89"/>
      <c r="T184" s="89"/>
      <c r="U184" s="89"/>
      <c r="V184" s="89"/>
      <c r="W184" s="89"/>
      <c r="X184" s="89"/>
      <c r="Y184" s="89"/>
      <c r="Z184" s="89"/>
      <c r="AA184" s="89"/>
      <c r="AB184" s="89"/>
      <c r="AC184" s="89"/>
      <c r="AD184" s="89"/>
    </row>
    <row r="185">
      <c r="A185" s="89"/>
      <c r="B185" s="89"/>
      <c r="C185" s="140"/>
      <c r="D185" s="89"/>
      <c r="E185" s="89"/>
      <c r="F185" s="89"/>
      <c r="G185" s="89"/>
      <c r="H185" s="89"/>
      <c r="I185" s="89"/>
      <c r="J185" s="89"/>
      <c r="K185" s="89"/>
      <c r="L185" s="89"/>
      <c r="M185" s="89"/>
      <c r="N185" s="89"/>
      <c r="O185" s="89"/>
      <c r="P185" s="89"/>
      <c r="Q185" s="89"/>
      <c r="R185" s="89"/>
      <c r="S185" s="89"/>
      <c r="T185" s="89"/>
      <c r="U185" s="89"/>
      <c r="V185" s="89"/>
      <c r="W185" s="89"/>
      <c r="X185" s="89"/>
      <c r="Y185" s="89"/>
      <c r="Z185" s="89"/>
      <c r="AA185" s="89"/>
      <c r="AB185" s="89"/>
      <c r="AC185" s="89"/>
      <c r="AD185" s="89"/>
    </row>
    <row r="186">
      <c r="A186" s="89"/>
      <c r="B186" s="89"/>
      <c r="C186" s="140"/>
      <c r="D186" s="89"/>
      <c r="E186" s="89"/>
      <c r="F186" s="89"/>
      <c r="G186" s="89"/>
      <c r="H186" s="89"/>
      <c r="I186" s="89"/>
      <c r="J186" s="89"/>
      <c r="K186" s="89"/>
      <c r="L186" s="89"/>
      <c r="M186" s="89"/>
      <c r="N186" s="89"/>
      <c r="O186" s="89"/>
      <c r="P186" s="89"/>
      <c r="Q186" s="89"/>
      <c r="R186" s="89"/>
      <c r="S186" s="89"/>
      <c r="T186" s="89"/>
      <c r="U186" s="89"/>
      <c r="V186" s="89"/>
      <c r="W186" s="89"/>
      <c r="X186" s="89"/>
      <c r="Y186" s="89"/>
      <c r="Z186" s="89"/>
      <c r="AA186" s="89"/>
      <c r="AB186" s="89"/>
      <c r="AC186" s="89"/>
      <c r="AD186" s="89"/>
    </row>
    <row r="187">
      <c r="A187" s="89"/>
      <c r="B187" s="89"/>
      <c r="C187" s="140"/>
      <c r="D187" s="89"/>
      <c r="E187" s="89"/>
      <c r="F187" s="89"/>
      <c r="G187" s="89"/>
      <c r="H187" s="89"/>
      <c r="I187" s="89"/>
      <c r="J187" s="89"/>
      <c r="K187" s="89"/>
      <c r="L187" s="89"/>
      <c r="M187" s="89"/>
      <c r="N187" s="89"/>
      <c r="O187" s="89"/>
      <c r="P187" s="89"/>
      <c r="Q187" s="89"/>
      <c r="R187" s="89"/>
      <c r="S187" s="89"/>
      <c r="T187" s="89"/>
      <c r="U187" s="89"/>
      <c r="V187" s="89"/>
      <c r="W187" s="89"/>
      <c r="X187" s="89"/>
      <c r="Y187" s="89"/>
      <c r="Z187" s="89"/>
      <c r="AA187" s="89"/>
      <c r="AB187" s="89"/>
      <c r="AC187" s="89"/>
      <c r="AD187" s="89"/>
    </row>
    <row r="188">
      <c r="A188" s="89"/>
      <c r="B188" s="89"/>
      <c r="C188" s="140"/>
      <c r="D188" s="89"/>
      <c r="E188" s="89"/>
      <c r="F188" s="89"/>
      <c r="G188" s="89"/>
      <c r="H188" s="89"/>
      <c r="I188" s="89"/>
      <c r="J188" s="89"/>
      <c r="K188" s="89"/>
      <c r="L188" s="89"/>
      <c r="M188" s="89"/>
      <c r="N188" s="89"/>
      <c r="O188" s="89"/>
      <c r="P188" s="89"/>
      <c r="Q188" s="89"/>
      <c r="R188" s="89"/>
      <c r="S188" s="89"/>
      <c r="T188" s="89"/>
      <c r="U188" s="89"/>
      <c r="V188" s="89"/>
      <c r="W188" s="89"/>
      <c r="X188" s="89"/>
      <c r="Y188" s="89"/>
      <c r="Z188" s="89"/>
      <c r="AA188" s="89"/>
      <c r="AB188" s="89"/>
      <c r="AC188" s="89"/>
      <c r="AD188" s="89"/>
    </row>
    <row r="189">
      <c r="A189" s="89"/>
      <c r="B189" s="89"/>
      <c r="C189" s="140"/>
      <c r="D189" s="89"/>
      <c r="E189" s="89"/>
      <c r="F189" s="89"/>
      <c r="G189" s="89"/>
      <c r="H189" s="89"/>
      <c r="I189" s="89"/>
      <c r="J189" s="89"/>
      <c r="K189" s="89"/>
      <c r="L189" s="89"/>
      <c r="M189" s="89"/>
      <c r="N189" s="89"/>
      <c r="O189" s="89"/>
      <c r="P189" s="89"/>
      <c r="Q189" s="89"/>
      <c r="R189" s="89"/>
      <c r="S189" s="89"/>
      <c r="T189" s="89"/>
      <c r="U189" s="89"/>
      <c r="V189" s="89"/>
      <c r="W189" s="89"/>
      <c r="X189" s="89"/>
      <c r="Y189" s="89"/>
      <c r="Z189" s="89"/>
      <c r="AA189" s="89"/>
      <c r="AB189" s="89"/>
      <c r="AC189" s="89"/>
      <c r="AD189" s="89"/>
    </row>
    <row r="190">
      <c r="A190" s="89"/>
      <c r="B190" s="89"/>
      <c r="C190" s="140"/>
      <c r="D190" s="89"/>
      <c r="E190" s="89"/>
      <c r="F190" s="89"/>
      <c r="G190" s="89"/>
      <c r="H190" s="89"/>
      <c r="I190" s="89"/>
      <c r="J190" s="89"/>
      <c r="K190" s="89"/>
      <c r="L190" s="89"/>
      <c r="M190" s="89"/>
      <c r="N190" s="89"/>
      <c r="O190" s="89"/>
      <c r="P190" s="89"/>
      <c r="Q190" s="89"/>
      <c r="R190" s="89"/>
      <c r="S190" s="89"/>
      <c r="T190" s="89"/>
      <c r="U190" s="89"/>
      <c r="V190" s="89"/>
      <c r="W190" s="89"/>
      <c r="X190" s="89"/>
      <c r="Y190" s="89"/>
      <c r="Z190" s="89"/>
      <c r="AA190" s="89"/>
      <c r="AB190" s="89"/>
      <c r="AC190" s="89"/>
      <c r="AD190" s="89"/>
    </row>
    <row r="191">
      <c r="A191" s="89"/>
      <c r="B191" s="89"/>
      <c r="C191" s="140"/>
      <c r="D191" s="89"/>
      <c r="E191" s="89"/>
      <c r="F191" s="89"/>
      <c r="G191" s="89"/>
      <c r="H191" s="89"/>
      <c r="I191" s="89"/>
      <c r="J191" s="89"/>
      <c r="K191" s="89"/>
      <c r="L191" s="89"/>
      <c r="M191" s="89"/>
      <c r="N191" s="89"/>
      <c r="O191" s="89"/>
      <c r="P191" s="89"/>
      <c r="Q191" s="89"/>
      <c r="R191" s="89"/>
      <c r="S191" s="89"/>
      <c r="T191" s="89"/>
      <c r="U191" s="89"/>
      <c r="V191" s="89"/>
      <c r="W191" s="89"/>
      <c r="X191" s="89"/>
      <c r="Y191" s="89"/>
      <c r="Z191" s="89"/>
      <c r="AA191" s="89"/>
      <c r="AB191" s="89"/>
      <c r="AC191" s="89"/>
      <c r="AD191" s="89"/>
    </row>
    <row r="192">
      <c r="A192" s="89"/>
      <c r="B192" s="89"/>
      <c r="C192" s="140"/>
      <c r="D192" s="89"/>
      <c r="E192" s="89"/>
      <c r="F192" s="89"/>
      <c r="G192" s="89"/>
      <c r="H192" s="89"/>
      <c r="I192" s="89"/>
      <c r="J192" s="89"/>
      <c r="K192" s="89"/>
      <c r="L192" s="89"/>
      <c r="M192" s="89"/>
      <c r="N192" s="89"/>
      <c r="O192" s="89"/>
      <c r="P192" s="89"/>
      <c r="Q192" s="89"/>
      <c r="R192" s="89"/>
      <c r="S192" s="89"/>
      <c r="T192" s="89"/>
      <c r="U192" s="89"/>
      <c r="V192" s="89"/>
      <c r="W192" s="89"/>
      <c r="X192" s="89"/>
      <c r="Y192" s="89"/>
      <c r="Z192" s="89"/>
      <c r="AA192" s="89"/>
      <c r="AB192" s="89"/>
      <c r="AC192" s="89"/>
      <c r="AD192" s="89"/>
    </row>
    <row r="193">
      <c r="A193" s="89"/>
      <c r="B193" s="89"/>
      <c r="C193" s="140"/>
      <c r="D193" s="89"/>
      <c r="E193" s="89"/>
      <c r="F193" s="89"/>
      <c r="G193" s="89"/>
      <c r="H193" s="89"/>
      <c r="I193" s="89"/>
      <c r="J193" s="89"/>
      <c r="K193" s="89"/>
      <c r="L193" s="89"/>
      <c r="M193" s="89"/>
      <c r="N193" s="89"/>
      <c r="O193" s="89"/>
      <c r="P193" s="89"/>
      <c r="Q193" s="89"/>
      <c r="R193" s="89"/>
      <c r="S193" s="89"/>
      <c r="T193" s="89"/>
      <c r="U193" s="89"/>
      <c r="V193" s="89"/>
      <c r="W193" s="89"/>
      <c r="X193" s="89"/>
      <c r="Y193" s="89"/>
      <c r="Z193" s="89"/>
      <c r="AA193" s="89"/>
      <c r="AB193" s="89"/>
      <c r="AC193" s="89"/>
      <c r="AD193" s="89"/>
    </row>
    <row r="194">
      <c r="A194" s="89"/>
      <c r="B194" s="89"/>
      <c r="C194" s="140"/>
      <c r="D194" s="89"/>
      <c r="E194" s="89"/>
      <c r="F194" s="89"/>
      <c r="G194" s="89"/>
      <c r="H194" s="89"/>
      <c r="I194" s="89"/>
      <c r="J194" s="89"/>
      <c r="K194" s="89"/>
      <c r="L194" s="89"/>
      <c r="M194" s="89"/>
      <c r="N194" s="89"/>
      <c r="O194" s="89"/>
      <c r="P194" s="89"/>
      <c r="Q194" s="89"/>
      <c r="R194" s="89"/>
      <c r="S194" s="89"/>
      <c r="T194" s="89"/>
      <c r="U194" s="89"/>
      <c r="V194" s="89"/>
      <c r="W194" s="89"/>
      <c r="X194" s="89"/>
      <c r="Y194" s="89"/>
      <c r="Z194" s="89"/>
      <c r="AA194" s="89"/>
      <c r="AB194" s="89"/>
      <c r="AC194" s="89"/>
      <c r="AD194" s="89"/>
    </row>
    <row r="195">
      <c r="A195" s="89"/>
      <c r="B195" s="89"/>
      <c r="C195" s="140"/>
      <c r="D195" s="89"/>
      <c r="E195" s="89"/>
      <c r="F195" s="89"/>
      <c r="G195" s="89"/>
      <c r="H195" s="89"/>
      <c r="I195" s="89"/>
      <c r="J195" s="89"/>
      <c r="K195" s="89"/>
      <c r="L195" s="89"/>
      <c r="M195" s="89"/>
      <c r="N195" s="89"/>
      <c r="O195" s="89"/>
      <c r="P195" s="89"/>
      <c r="Q195" s="89"/>
      <c r="R195" s="89"/>
      <c r="S195" s="89"/>
      <c r="T195" s="89"/>
      <c r="U195" s="89"/>
      <c r="V195" s="89"/>
      <c r="W195" s="89"/>
      <c r="X195" s="89"/>
      <c r="Y195" s="89"/>
      <c r="Z195" s="89"/>
      <c r="AA195" s="89"/>
      <c r="AB195" s="89"/>
      <c r="AC195" s="89"/>
      <c r="AD195" s="89"/>
    </row>
    <row r="196">
      <c r="A196" s="89"/>
      <c r="B196" s="89"/>
      <c r="C196" s="140"/>
      <c r="D196" s="89"/>
      <c r="E196" s="89"/>
      <c r="F196" s="89"/>
      <c r="G196" s="89"/>
      <c r="H196" s="89"/>
      <c r="I196" s="89"/>
      <c r="J196" s="89"/>
      <c r="K196" s="89"/>
      <c r="L196" s="89"/>
      <c r="M196" s="89"/>
      <c r="N196" s="89"/>
      <c r="O196" s="89"/>
      <c r="P196" s="89"/>
      <c r="Q196" s="89"/>
      <c r="R196" s="89"/>
      <c r="S196" s="89"/>
      <c r="T196" s="89"/>
      <c r="U196" s="89"/>
      <c r="V196" s="89"/>
      <c r="W196" s="89"/>
      <c r="X196" s="89"/>
      <c r="Y196" s="89"/>
      <c r="Z196" s="89"/>
      <c r="AA196" s="89"/>
      <c r="AB196" s="89"/>
      <c r="AC196" s="89"/>
      <c r="AD196" s="89"/>
    </row>
    <row r="197">
      <c r="A197" s="89"/>
      <c r="B197" s="89"/>
      <c r="C197" s="140"/>
      <c r="D197" s="89"/>
      <c r="E197" s="89"/>
      <c r="F197" s="89"/>
      <c r="G197" s="89"/>
      <c r="H197" s="89"/>
      <c r="I197" s="89"/>
      <c r="J197" s="89"/>
      <c r="K197" s="89"/>
      <c r="L197" s="89"/>
      <c r="M197" s="89"/>
      <c r="N197" s="89"/>
      <c r="O197" s="89"/>
      <c r="P197" s="89"/>
      <c r="Q197" s="89"/>
      <c r="R197" s="89"/>
      <c r="S197" s="89"/>
      <c r="T197" s="89"/>
      <c r="U197" s="89"/>
      <c r="V197" s="89"/>
      <c r="W197" s="89"/>
      <c r="X197" s="89"/>
      <c r="Y197" s="89"/>
      <c r="Z197" s="89"/>
      <c r="AA197" s="89"/>
      <c r="AB197" s="89"/>
      <c r="AC197" s="89"/>
      <c r="AD197" s="89"/>
    </row>
    <row r="198">
      <c r="A198" s="89"/>
      <c r="B198" s="89"/>
      <c r="C198" s="140"/>
      <c r="D198" s="89"/>
      <c r="E198" s="89"/>
      <c r="F198" s="89"/>
      <c r="G198" s="89"/>
      <c r="H198" s="89"/>
      <c r="I198" s="89"/>
      <c r="J198" s="89"/>
      <c r="K198" s="89"/>
      <c r="L198" s="89"/>
      <c r="M198" s="89"/>
      <c r="N198" s="89"/>
      <c r="O198" s="89"/>
      <c r="P198" s="89"/>
      <c r="Q198" s="89"/>
      <c r="R198" s="89"/>
      <c r="S198" s="89"/>
      <c r="T198" s="89"/>
      <c r="U198" s="89"/>
      <c r="V198" s="89"/>
      <c r="W198" s="89"/>
      <c r="X198" s="89"/>
      <c r="Y198" s="89"/>
      <c r="Z198" s="89"/>
      <c r="AA198" s="89"/>
      <c r="AB198" s="89"/>
      <c r="AC198" s="89"/>
      <c r="AD198" s="89"/>
    </row>
    <row r="199">
      <c r="A199" s="89"/>
      <c r="B199" s="89"/>
      <c r="C199" s="140"/>
      <c r="D199" s="89"/>
      <c r="E199" s="89"/>
      <c r="F199" s="89"/>
      <c r="G199" s="89"/>
      <c r="H199" s="89"/>
      <c r="I199" s="89"/>
      <c r="J199" s="89"/>
      <c r="K199" s="89"/>
      <c r="L199" s="89"/>
      <c r="M199" s="89"/>
      <c r="N199" s="89"/>
      <c r="O199" s="89"/>
      <c r="P199" s="89"/>
      <c r="Q199" s="89"/>
      <c r="R199" s="89"/>
      <c r="S199" s="89"/>
      <c r="T199" s="89"/>
      <c r="U199" s="89"/>
      <c r="V199" s="89"/>
      <c r="W199" s="89"/>
      <c r="X199" s="89"/>
      <c r="Y199" s="89"/>
      <c r="Z199" s="89"/>
      <c r="AA199" s="89"/>
      <c r="AB199" s="89"/>
      <c r="AC199" s="89"/>
      <c r="AD199" s="89"/>
    </row>
    <row r="200">
      <c r="A200" s="89"/>
      <c r="B200" s="89"/>
      <c r="C200" s="140"/>
      <c r="D200" s="89"/>
      <c r="E200" s="89"/>
      <c r="F200" s="89"/>
      <c r="G200" s="89"/>
      <c r="H200" s="89"/>
      <c r="I200" s="89"/>
      <c r="J200" s="89"/>
      <c r="K200" s="89"/>
      <c r="L200" s="89"/>
      <c r="M200" s="89"/>
      <c r="N200" s="89"/>
      <c r="O200" s="89"/>
      <c r="P200" s="89"/>
      <c r="Q200" s="89"/>
      <c r="R200" s="89"/>
      <c r="S200" s="89"/>
      <c r="T200" s="89"/>
      <c r="U200" s="89"/>
      <c r="V200" s="89"/>
      <c r="W200" s="89"/>
      <c r="X200" s="89"/>
      <c r="Y200" s="89"/>
      <c r="Z200" s="89"/>
      <c r="AA200" s="89"/>
      <c r="AB200" s="89"/>
      <c r="AC200" s="89"/>
      <c r="AD200" s="89"/>
    </row>
    <row r="201">
      <c r="A201" s="89"/>
      <c r="B201" s="89"/>
      <c r="C201" s="140"/>
      <c r="D201" s="89"/>
      <c r="E201" s="89"/>
      <c r="F201" s="89"/>
      <c r="G201" s="89"/>
      <c r="H201" s="89"/>
      <c r="I201" s="89"/>
      <c r="J201" s="89"/>
      <c r="K201" s="89"/>
      <c r="L201" s="89"/>
      <c r="M201" s="89"/>
      <c r="N201" s="89"/>
      <c r="O201" s="89"/>
      <c r="P201" s="89"/>
      <c r="Q201" s="89"/>
      <c r="R201" s="89"/>
      <c r="S201" s="89"/>
      <c r="T201" s="89"/>
      <c r="U201" s="89"/>
      <c r="V201" s="89"/>
      <c r="W201" s="89"/>
      <c r="X201" s="89"/>
      <c r="Y201" s="89"/>
      <c r="Z201" s="89"/>
      <c r="AA201" s="89"/>
      <c r="AB201" s="89"/>
      <c r="AC201" s="89"/>
      <c r="AD201" s="89"/>
    </row>
    <row r="202">
      <c r="A202" s="89"/>
      <c r="B202" s="89"/>
      <c r="C202" s="140"/>
      <c r="D202" s="89"/>
      <c r="E202" s="89"/>
      <c r="F202" s="89"/>
      <c r="G202" s="89"/>
      <c r="H202" s="89"/>
      <c r="I202" s="89"/>
      <c r="J202" s="89"/>
      <c r="K202" s="89"/>
      <c r="L202" s="89"/>
      <c r="M202" s="89"/>
      <c r="N202" s="89"/>
      <c r="O202" s="89"/>
      <c r="P202" s="89"/>
      <c r="Q202" s="89"/>
      <c r="R202" s="89"/>
      <c r="S202" s="89"/>
      <c r="T202" s="89"/>
      <c r="U202" s="89"/>
      <c r="V202" s="89"/>
      <c r="W202" s="89"/>
      <c r="X202" s="89"/>
      <c r="Y202" s="89"/>
      <c r="Z202" s="89"/>
      <c r="AA202" s="89"/>
      <c r="AB202" s="89"/>
      <c r="AC202" s="89"/>
      <c r="AD202" s="89"/>
    </row>
    <row r="203">
      <c r="A203" s="89"/>
      <c r="B203" s="89"/>
      <c r="C203" s="140"/>
      <c r="D203" s="89"/>
      <c r="E203" s="89"/>
      <c r="F203" s="89"/>
      <c r="G203" s="89"/>
      <c r="H203" s="89"/>
      <c r="I203" s="89"/>
      <c r="J203" s="89"/>
      <c r="K203" s="89"/>
      <c r="L203" s="89"/>
      <c r="M203" s="89"/>
      <c r="N203" s="89"/>
      <c r="O203" s="89"/>
      <c r="P203" s="89"/>
      <c r="Q203" s="89"/>
      <c r="R203" s="89"/>
      <c r="S203" s="89"/>
      <c r="T203" s="89"/>
      <c r="U203" s="89"/>
      <c r="V203" s="89"/>
      <c r="W203" s="89"/>
      <c r="X203" s="89"/>
      <c r="Y203" s="89"/>
      <c r="Z203" s="89"/>
      <c r="AA203" s="89"/>
      <c r="AB203" s="89"/>
      <c r="AC203" s="89"/>
      <c r="AD203" s="89"/>
    </row>
    <row r="204">
      <c r="A204" s="89"/>
      <c r="B204" s="89"/>
      <c r="C204" s="140"/>
      <c r="D204" s="89"/>
      <c r="E204" s="89"/>
      <c r="F204" s="89"/>
      <c r="G204" s="89"/>
      <c r="H204" s="89"/>
      <c r="I204" s="89"/>
      <c r="J204" s="89"/>
      <c r="K204" s="89"/>
      <c r="L204" s="89"/>
      <c r="M204" s="89"/>
      <c r="N204" s="89"/>
      <c r="O204" s="89"/>
      <c r="P204" s="89"/>
      <c r="Q204" s="89"/>
      <c r="R204" s="89"/>
      <c r="S204" s="89"/>
      <c r="T204" s="89"/>
      <c r="U204" s="89"/>
      <c r="V204" s="89"/>
      <c r="W204" s="89"/>
      <c r="X204" s="89"/>
      <c r="Y204" s="89"/>
      <c r="Z204" s="89"/>
      <c r="AA204" s="89"/>
      <c r="AB204" s="89"/>
      <c r="AC204" s="89"/>
      <c r="AD204" s="89"/>
    </row>
    <row r="205">
      <c r="A205" s="89"/>
      <c r="B205" s="89"/>
      <c r="C205" s="140"/>
      <c r="D205" s="89"/>
      <c r="E205" s="89"/>
      <c r="F205" s="89"/>
      <c r="G205" s="89"/>
      <c r="H205" s="89"/>
      <c r="I205" s="89"/>
      <c r="J205" s="89"/>
      <c r="K205" s="89"/>
      <c r="L205" s="89"/>
      <c r="M205" s="89"/>
      <c r="N205" s="89"/>
      <c r="O205" s="89"/>
      <c r="P205" s="89"/>
      <c r="Q205" s="89"/>
      <c r="R205" s="89"/>
      <c r="S205" s="89"/>
      <c r="T205" s="89"/>
      <c r="U205" s="89"/>
      <c r="V205" s="89"/>
      <c r="W205" s="89"/>
      <c r="X205" s="89"/>
      <c r="Y205" s="89"/>
      <c r="Z205" s="89"/>
      <c r="AA205" s="89"/>
      <c r="AB205" s="89"/>
      <c r="AC205" s="89"/>
      <c r="AD205" s="89"/>
    </row>
    <row r="206">
      <c r="A206" s="89"/>
      <c r="B206" s="89"/>
      <c r="C206" s="140"/>
      <c r="D206" s="89"/>
      <c r="E206" s="89"/>
      <c r="F206" s="89"/>
      <c r="G206" s="89"/>
      <c r="H206" s="89"/>
      <c r="I206" s="89"/>
      <c r="J206" s="89"/>
      <c r="K206" s="89"/>
      <c r="L206" s="89"/>
      <c r="M206" s="89"/>
      <c r="N206" s="89"/>
      <c r="O206" s="89"/>
      <c r="P206" s="89"/>
      <c r="Q206" s="89"/>
      <c r="R206" s="89"/>
      <c r="S206" s="89"/>
      <c r="T206" s="89"/>
      <c r="U206" s="89"/>
      <c r="V206" s="89"/>
      <c r="W206" s="89"/>
      <c r="X206" s="89"/>
      <c r="Y206" s="89"/>
      <c r="Z206" s="89"/>
      <c r="AA206" s="89"/>
      <c r="AB206" s="89"/>
      <c r="AC206" s="89"/>
      <c r="AD206" s="89"/>
    </row>
    <row r="207">
      <c r="A207" s="89"/>
      <c r="B207" s="89"/>
      <c r="C207" s="140"/>
      <c r="D207" s="89"/>
      <c r="E207" s="89"/>
      <c r="F207" s="89"/>
      <c r="G207" s="89"/>
      <c r="H207" s="89"/>
      <c r="I207" s="89"/>
      <c r="J207" s="89"/>
      <c r="K207" s="89"/>
      <c r="L207" s="89"/>
      <c r="M207" s="89"/>
      <c r="N207" s="89"/>
      <c r="O207" s="89"/>
      <c r="P207" s="89"/>
      <c r="Q207" s="89"/>
      <c r="R207" s="89"/>
      <c r="S207" s="89"/>
      <c r="T207" s="89"/>
      <c r="U207" s="89"/>
      <c r="V207" s="89"/>
      <c r="W207" s="89"/>
      <c r="X207" s="89"/>
      <c r="Y207" s="89"/>
      <c r="Z207" s="89"/>
      <c r="AA207" s="89"/>
      <c r="AB207" s="89"/>
      <c r="AC207" s="89"/>
      <c r="AD207" s="89"/>
    </row>
    <row r="208">
      <c r="A208" s="89"/>
      <c r="B208" s="89"/>
      <c r="C208" s="140"/>
      <c r="D208" s="89"/>
      <c r="E208" s="89"/>
      <c r="F208" s="89"/>
      <c r="G208" s="89"/>
      <c r="H208" s="89"/>
      <c r="I208" s="89"/>
      <c r="J208" s="89"/>
      <c r="K208" s="89"/>
      <c r="L208" s="89"/>
      <c r="M208" s="89"/>
      <c r="N208" s="89"/>
      <c r="O208" s="89"/>
      <c r="P208" s="89"/>
      <c r="Q208" s="89"/>
      <c r="R208" s="89"/>
      <c r="S208" s="89"/>
      <c r="T208" s="89"/>
      <c r="U208" s="89"/>
      <c r="V208" s="89"/>
      <c r="W208" s="89"/>
      <c r="X208" s="89"/>
      <c r="Y208" s="89"/>
      <c r="Z208" s="89"/>
      <c r="AA208" s="89"/>
      <c r="AB208" s="89"/>
      <c r="AC208" s="89"/>
      <c r="AD208" s="89"/>
    </row>
    <row r="209">
      <c r="A209" s="89"/>
      <c r="B209" s="89"/>
      <c r="C209" s="140"/>
      <c r="D209" s="89"/>
      <c r="E209" s="89"/>
      <c r="F209" s="89"/>
      <c r="G209" s="89"/>
      <c r="H209" s="89"/>
      <c r="I209" s="89"/>
      <c r="J209" s="89"/>
      <c r="K209" s="89"/>
      <c r="L209" s="89"/>
      <c r="M209" s="89"/>
      <c r="N209" s="89"/>
      <c r="O209" s="89"/>
      <c r="P209" s="89"/>
      <c r="Q209" s="89"/>
      <c r="R209" s="89"/>
      <c r="S209" s="89"/>
      <c r="T209" s="89"/>
      <c r="U209" s="89"/>
      <c r="V209" s="89"/>
      <c r="W209" s="89"/>
      <c r="X209" s="89"/>
      <c r="Y209" s="89"/>
      <c r="Z209" s="89"/>
      <c r="AA209" s="89"/>
      <c r="AB209" s="89"/>
      <c r="AC209" s="89"/>
      <c r="AD209" s="89"/>
    </row>
    <row r="210">
      <c r="A210" s="89"/>
      <c r="B210" s="89"/>
      <c r="C210" s="140"/>
      <c r="D210" s="89"/>
      <c r="E210" s="89"/>
      <c r="F210" s="89"/>
      <c r="G210" s="89"/>
      <c r="H210" s="89"/>
      <c r="I210" s="89"/>
      <c r="J210" s="89"/>
      <c r="K210" s="89"/>
      <c r="L210" s="89"/>
      <c r="M210" s="89"/>
      <c r="N210" s="89"/>
      <c r="O210" s="89"/>
      <c r="P210" s="89"/>
      <c r="Q210" s="89"/>
      <c r="R210" s="89"/>
      <c r="S210" s="89"/>
      <c r="T210" s="89"/>
      <c r="U210" s="89"/>
      <c r="V210" s="89"/>
      <c r="W210" s="89"/>
      <c r="X210" s="89"/>
      <c r="Y210" s="89"/>
      <c r="Z210" s="89"/>
      <c r="AA210" s="89"/>
      <c r="AB210" s="89"/>
      <c r="AC210" s="89"/>
      <c r="AD210" s="89"/>
    </row>
    <row r="211">
      <c r="A211" s="89"/>
      <c r="B211" s="89"/>
      <c r="C211" s="140"/>
      <c r="D211" s="89"/>
      <c r="E211" s="89"/>
      <c r="F211" s="89"/>
      <c r="G211" s="89"/>
      <c r="H211" s="89"/>
      <c r="I211" s="89"/>
      <c r="J211" s="89"/>
      <c r="K211" s="89"/>
      <c r="L211" s="89"/>
      <c r="M211" s="89"/>
      <c r="N211" s="89"/>
      <c r="O211" s="89"/>
      <c r="P211" s="89"/>
      <c r="Q211" s="89"/>
      <c r="R211" s="89"/>
      <c r="S211" s="89"/>
      <c r="T211" s="89"/>
      <c r="U211" s="89"/>
      <c r="V211" s="89"/>
      <c r="W211" s="89"/>
      <c r="X211" s="89"/>
      <c r="Y211" s="89"/>
      <c r="Z211" s="89"/>
      <c r="AA211" s="89"/>
      <c r="AB211" s="89"/>
      <c r="AC211" s="89"/>
      <c r="AD211" s="89"/>
    </row>
    <row r="212">
      <c r="A212" s="89"/>
      <c r="B212" s="89"/>
      <c r="C212" s="140"/>
      <c r="D212" s="89"/>
      <c r="E212" s="89"/>
      <c r="F212" s="89"/>
      <c r="G212" s="89"/>
      <c r="H212" s="89"/>
      <c r="I212" s="89"/>
      <c r="J212" s="89"/>
      <c r="K212" s="89"/>
      <c r="L212" s="89"/>
      <c r="M212" s="89"/>
      <c r="N212" s="89"/>
      <c r="O212" s="89"/>
      <c r="P212" s="89"/>
      <c r="Q212" s="89"/>
      <c r="R212" s="89"/>
      <c r="S212" s="89"/>
      <c r="T212" s="89"/>
      <c r="U212" s="89"/>
      <c r="V212" s="89"/>
      <c r="W212" s="89"/>
      <c r="X212" s="89"/>
      <c r="Y212" s="89"/>
      <c r="Z212" s="89"/>
      <c r="AA212" s="89"/>
      <c r="AB212" s="89"/>
      <c r="AC212" s="89"/>
      <c r="AD212" s="89"/>
    </row>
    <row r="213">
      <c r="A213" s="89"/>
      <c r="B213" s="89"/>
      <c r="C213" s="140"/>
      <c r="D213" s="89"/>
      <c r="E213" s="89"/>
      <c r="F213" s="89"/>
      <c r="G213" s="89"/>
      <c r="H213" s="89"/>
      <c r="I213" s="89"/>
      <c r="J213" s="89"/>
      <c r="K213" s="89"/>
      <c r="L213" s="89"/>
      <c r="M213" s="89"/>
      <c r="N213" s="89"/>
      <c r="O213" s="89"/>
      <c r="P213" s="89"/>
      <c r="Q213" s="89"/>
      <c r="R213" s="89"/>
      <c r="S213" s="89"/>
      <c r="T213" s="89"/>
      <c r="U213" s="89"/>
      <c r="V213" s="89"/>
      <c r="W213" s="89"/>
      <c r="X213" s="89"/>
      <c r="Y213" s="89"/>
      <c r="Z213" s="89"/>
      <c r="AA213" s="89"/>
      <c r="AB213" s="89"/>
      <c r="AC213" s="89"/>
      <c r="AD213" s="89"/>
    </row>
    <row r="214">
      <c r="A214" s="89"/>
      <c r="B214" s="89"/>
      <c r="C214" s="140"/>
      <c r="D214" s="89"/>
      <c r="E214" s="89"/>
      <c r="F214" s="89"/>
      <c r="G214" s="89"/>
      <c r="H214" s="89"/>
      <c r="I214" s="89"/>
      <c r="J214" s="89"/>
      <c r="K214" s="89"/>
      <c r="L214" s="89"/>
      <c r="M214" s="89"/>
      <c r="N214" s="89"/>
      <c r="O214" s="89"/>
      <c r="P214" s="89"/>
      <c r="Q214" s="89"/>
      <c r="R214" s="89"/>
      <c r="S214" s="89"/>
      <c r="T214" s="89"/>
      <c r="U214" s="89"/>
      <c r="V214" s="89"/>
      <c r="W214" s="89"/>
      <c r="X214" s="89"/>
      <c r="Y214" s="89"/>
      <c r="Z214" s="89"/>
      <c r="AA214" s="89"/>
      <c r="AB214" s="89"/>
      <c r="AC214" s="89"/>
      <c r="AD214" s="89"/>
    </row>
    <row r="215">
      <c r="A215" s="89"/>
      <c r="B215" s="89"/>
      <c r="C215" s="140"/>
      <c r="D215" s="89"/>
      <c r="E215" s="89"/>
      <c r="F215" s="89"/>
      <c r="G215" s="89"/>
      <c r="H215" s="89"/>
      <c r="I215" s="89"/>
      <c r="J215" s="89"/>
      <c r="K215" s="89"/>
      <c r="L215" s="89"/>
      <c r="M215" s="89"/>
      <c r="N215" s="89"/>
      <c r="O215" s="89"/>
      <c r="P215" s="89"/>
      <c r="Q215" s="89"/>
      <c r="R215" s="89"/>
      <c r="S215" s="89"/>
      <c r="T215" s="89"/>
      <c r="U215" s="89"/>
      <c r="V215" s="89"/>
      <c r="W215" s="89"/>
      <c r="X215" s="89"/>
      <c r="Y215" s="89"/>
      <c r="Z215" s="89"/>
      <c r="AA215" s="89"/>
      <c r="AB215" s="89"/>
      <c r="AC215" s="89"/>
      <c r="AD215" s="89"/>
    </row>
    <row r="216">
      <c r="A216" s="89"/>
      <c r="B216" s="89"/>
      <c r="C216" s="140"/>
      <c r="D216" s="89"/>
      <c r="E216" s="89"/>
      <c r="F216" s="89"/>
      <c r="G216" s="89"/>
      <c r="H216" s="89"/>
      <c r="I216" s="89"/>
      <c r="J216" s="89"/>
      <c r="K216" s="89"/>
      <c r="L216" s="89"/>
      <c r="M216" s="89"/>
      <c r="N216" s="89"/>
      <c r="O216" s="89"/>
      <c r="P216" s="89"/>
      <c r="Q216" s="89"/>
      <c r="R216" s="89"/>
      <c r="S216" s="89"/>
      <c r="T216" s="89"/>
      <c r="U216" s="89"/>
      <c r="V216" s="89"/>
      <c r="W216" s="89"/>
      <c r="X216" s="89"/>
      <c r="Y216" s="89"/>
      <c r="Z216" s="89"/>
      <c r="AA216" s="89"/>
      <c r="AB216" s="89"/>
      <c r="AC216" s="89"/>
      <c r="AD216" s="89"/>
    </row>
    <row r="217">
      <c r="A217" s="89"/>
      <c r="B217" s="89"/>
      <c r="C217" s="140"/>
      <c r="D217" s="89"/>
      <c r="E217" s="89"/>
      <c r="F217" s="89"/>
      <c r="G217" s="89"/>
      <c r="H217" s="89"/>
      <c r="I217" s="89"/>
      <c r="J217" s="89"/>
      <c r="K217" s="89"/>
      <c r="L217" s="89"/>
      <c r="M217" s="89"/>
      <c r="N217" s="89"/>
      <c r="O217" s="89"/>
      <c r="P217" s="89"/>
      <c r="Q217" s="89"/>
      <c r="R217" s="89"/>
      <c r="S217" s="89"/>
      <c r="T217" s="89"/>
      <c r="U217" s="89"/>
      <c r="V217" s="89"/>
      <c r="W217" s="89"/>
      <c r="X217" s="89"/>
      <c r="Y217" s="89"/>
      <c r="Z217" s="89"/>
      <c r="AA217" s="89"/>
      <c r="AB217" s="89"/>
      <c r="AC217" s="89"/>
      <c r="AD217" s="89"/>
    </row>
    <row r="218">
      <c r="A218" s="89"/>
      <c r="B218" s="89"/>
      <c r="C218" s="140"/>
      <c r="D218" s="89"/>
      <c r="E218" s="89"/>
      <c r="F218" s="89"/>
      <c r="G218" s="89"/>
      <c r="H218" s="89"/>
      <c r="I218" s="89"/>
      <c r="J218" s="89"/>
      <c r="K218" s="89"/>
      <c r="L218" s="89"/>
      <c r="M218" s="89"/>
      <c r="N218" s="89"/>
      <c r="O218" s="89"/>
      <c r="P218" s="89"/>
      <c r="Q218" s="89"/>
      <c r="R218" s="89"/>
      <c r="S218" s="89"/>
      <c r="T218" s="89"/>
      <c r="U218" s="89"/>
      <c r="V218" s="89"/>
      <c r="W218" s="89"/>
      <c r="X218" s="89"/>
      <c r="Y218" s="89"/>
      <c r="Z218" s="89"/>
      <c r="AA218" s="89"/>
      <c r="AB218" s="89"/>
      <c r="AC218" s="89"/>
      <c r="AD218" s="89"/>
    </row>
    <row r="219">
      <c r="A219" s="89"/>
      <c r="B219" s="89"/>
      <c r="C219" s="140"/>
      <c r="D219" s="89"/>
      <c r="E219" s="89"/>
      <c r="F219" s="89"/>
      <c r="G219" s="89"/>
      <c r="H219" s="89"/>
      <c r="I219" s="89"/>
      <c r="J219" s="89"/>
      <c r="K219" s="89"/>
      <c r="L219" s="89"/>
      <c r="M219" s="89"/>
      <c r="N219" s="89"/>
      <c r="O219" s="89"/>
      <c r="P219" s="89"/>
      <c r="Q219" s="89"/>
      <c r="R219" s="89"/>
      <c r="S219" s="89"/>
      <c r="T219" s="89"/>
      <c r="U219" s="89"/>
      <c r="V219" s="89"/>
      <c r="W219" s="89"/>
      <c r="X219" s="89"/>
      <c r="Y219" s="89"/>
      <c r="Z219" s="89"/>
      <c r="AA219" s="89"/>
      <c r="AB219" s="89"/>
      <c r="AC219" s="89"/>
      <c r="AD219" s="89"/>
    </row>
    <row r="220">
      <c r="A220" s="89"/>
      <c r="B220" s="89"/>
      <c r="C220" s="140"/>
      <c r="D220" s="89"/>
      <c r="E220" s="89"/>
      <c r="F220" s="89"/>
      <c r="G220" s="89"/>
      <c r="H220" s="89"/>
      <c r="I220" s="89"/>
      <c r="J220" s="89"/>
      <c r="K220" s="89"/>
      <c r="L220" s="89"/>
      <c r="M220" s="89"/>
      <c r="N220" s="89"/>
      <c r="O220" s="89"/>
      <c r="P220" s="89"/>
      <c r="Q220" s="89"/>
      <c r="R220" s="89"/>
      <c r="S220" s="89"/>
      <c r="T220" s="89"/>
      <c r="U220" s="89"/>
      <c r="V220" s="89"/>
      <c r="W220" s="89"/>
      <c r="X220" s="89"/>
      <c r="Y220" s="89"/>
      <c r="Z220" s="89"/>
      <c r="AA220" s="89"/>
      <c r="AB220" s="89"/>
      <c r="AC220" s="89"/>
      <c r="AD220" s="89"/>
    </row>
    <row r="221">
      <c r="A221" s="89"/>
      <c r="B221" s="89"/>
      <c r="C221" s="140"/>
      <c r="D221" s="89"/>
      <c r="E221" s="89"/>
      <c r="F221" s="89"/>
      <c r="G221" s="89"/>
      <c r="H221" s="89"/>
      <c r="I221" s="89"/>
      <c r="J221" s="89"/>
      <c r="K221" s="89"/>
      <c r="L221" s="89"/>
      <c r="M221" s="89"/>
      <c r="N221" s="89"/>
      <c r="O221" s="89"/>
      <c r="P221" s="89"/>
      <c r="Q221" s="89"/>
      <c r="R221" s="89"/>
      <c r="S221" s="89"/>
      <c r="T221" s="89"/>
      <c r="U221" s="89"/>
      <c r="V221" s="89"/>
      <c r="W221" s="89"/>
      <c r="X221" s="89"/>
      <c r="Y221" s="89"/>
      <c r="Z221" s="89"/>
      <c r="AA221" s="89"/>
      <c r="AB221" s="89"/>
      <c r="AC221" s="89"/>
      <c r="AD221" s="89"/>
    </row>
    <row r="222">
      <c r="A222" s="89"/>
      <c r="B222" s="89"/>
      <c r="C222" s="140"/>
      <c r="D222" s="89"/>
      <c r="E222" s="89"/>
      <c r="F222" s="89"/>
      <c r="G222" s="89"/>
      <c r="H222" s="89"/>
      <c r="I222" s="89"/>
      <c r="J222" s="89"/>
      <c r="K222" s="89"/>
      <c r="L222" s="89"/>
      <c r="M222" s="89"/>
      <c r="N222" s="89"/>
      <c r="O222" s="89"/>
      <c r="P222" s="89"/>
      <c r="Q222" s="89"/>
      <c r="R222" s="89"/>
      <c r="S222" s="89"/>
      <c r="T222" s="89"/>
      <c r="U222" s="89"/>
      <c r="V222" s="89"/>
      <c r="W222" s="89"/>
      <c r="X222" s="89"/>
      <c r="Y222" s="89"/>
      <c r="Z222" s="89"/>
      <c r="AA222" s="89"/>
      <c r="AB222" s="89"/>
      <c r="AC222" s="89"/>
      <c r="AD222" s="89"/>
    </row>
    <row r="223">
      <c r="A223" s="89"/>
      <c r="B223" s="89"/>
      <c r="C223" s="140"/>
      <c r="D223" s="89"/>
      <c r="E223" s="89"/>
      <c r="F223" s="89"/>
      <c r="G223" s="89"/>
      <c r="H223" s="89"/>
      <c r="I223" s="89"/>
      <c r="J223" s="89"/>
      <c r="K223" s="89"/>
      <c r="L223" s="89"/>
      <c r="M223" s="89"/>
      <c r="N223" s="89"/>
      <c r="O223" s="89"/>
      <c r="P223" s="89"/>
      <c r="Q223" s="89"/>
      <c r="R223" s="89"/>
      <c r="S223" s="89"/>
      <c r="T223" s="89"/>
      <c r="U223" s="89"/>
      <c r="V223" s="89"/>
      <c r="W223" s="89"/>
      <c r="X223" s="89"/>
      <c r="Y223" s="89"/>
      <c r="Z223" s="89"/>
      <c r="AA223" s="89"/>
      <c r="AB223" s="89"/>
      <c r="AC223" s="89"/>
      <c r="AD223" s="89"/>
    </row>
    <row r="224">
      <c r="A224" s="89"/>
      <c r="B224" s="89"/>
      <c r="C224" s="140"/>
      <c r="D224" s="89"/>
      <c r="E224" s="89"/>
      <c r="F224" s="89"/>
      <c r="G224" s="89"/>
      <c r="H224" s="89"/>
      <c r="I224" s="89"/>
      <c r="J224" s="89"/>
      <c r="K224" s="89"/>
      <c r="L224" s="89"/>
      <c r="M224" s="89"/>
      <c r="N224" s="89"/>
      <c r="O224" s="89"/>
      <c r="P224" s="89"/>
      <c r="Q224" s="89"/>
      <c r="R224" s="89"/>
      <c r="S224" s="89"/>
      <c r="T224" s="89"/>
      <c r="U224" s="89"/>
      <c r="V224" s="89"/>
      <c r="W224" s="89"/>
      <c r="X224" s="89"/>
      <c r="Y224" s="89"/>
      <c r="Z224" s="89"/>
      <c r="AA224" s="89"/>
      <c r="AB224" s="89"/>
      <c r="AC224" s="89"/>
      <c r="AD224" s="89"/>
    </row>
    <row r="225">
      <c r="A225" s="89"/>
      <c r="B225" s="89"/>
      <c r="C225" s="140"/>
      <c r="D225" s="89"/>
      <c r="E225" s="89"/>
      <c r="F225" s="89"/>
      <c r="G225" s="89"/>
      <c r="H225" s="89"/>
      <c r="I225" s="89"/>
      <c r="J225" s="89"/>
      <c r="K225" s="89"/>
      <c r="L225" s="89"/>
      <c r="M225" s="89"/>
      <c r="N225" s="89"/>
      <c r="O225" s="89"/>
      <c r="P225" s="89"/>
      <c r="Q225" s="89"/>
      <c r="R225" s="89"/>
      <c r="S225" s="89"/>
      <c r="T225" s="89"/>
      <c r="U225" s="89"/>
      <c r="V225" s="89"/>
      <c r="W225" s="89"/>
      <c r="X225" s="89"/>
      <c r="Y225" s="89"/>
      <c r="Z225" s="89"/>
      <c r="AA225" s="89"/>
      <c r="AB225" s="89"/>
      <c r="AC225" s="89"/>
      <c r="AD225" s="89"/>
    </row>
    <row r="226">
      <c r="A226" s="89"/>
      <c r="B226" s="89"/>
      <c r="C226" s="140"/>
      <c r="D226" s="89"/>
      <c r="E226" s="89"/>
      <c r="F226" s="89"/>
      <c r="G226" s="89"/>
      <c r="H226" s="89"/>
      <c r="I226" s="89"/>
      <c r="J226" s="89"/>
      <c r="K226" s="89"/>
      <c r="L226" s="89"/>
      <c r="M226" s="89"/>
      <c r="N226" s="89"/>
      <c r="O226" s="89"/>
      <c r="P226" s="89"/>
      <c r="Q226" s="89"/>
      <c r="R226" s="89"/>
      <c r="S226" s="89"/>
      <c r="T226" s="89"/>
      <c r="U226" s="89"/>
      <c r="V226" s="89"/>
      <c r="W226" s="89"/>
      <c r="X226" s="89"/>
      <c r="Y226" s="89"/>
      <c r="Z226" s="89"/>
      <c r="AA226" s="89"/>
      <c r="AB226" s="89"/>
      <c r="AC226" s="89"/>
      <c r="AD226" s="89"/>
    </row>
    <row r="227">
      <c r="A227" s="89"/>
      <c r="B227" s="89"/>
      <c r="C227" s="140"/>
      <c r="D227" s="89"/>
      <c r="E227" s="89"/>
      <c r="F227" s="89"/>
      <c r="G227" s="89"/>
      <c r="H227" s="89"/>
      <c r="I227" s="89"/>
      <c r="J227" s="89"/>
      <c r="K227" s="89"/>
      <c r="L227" s="89"/>
      <c r="M227" s="89"/>
      <c r="N227" s="89"/>
      <c r="O227" s="89"/>
      <c r="P227" s="89"/>
      <c r="Q227" s="89"/>
      <c r="R227" s="89"/>
      <c r="S227" s="89"/>
      <c r="T227" s="89"/>
      <c r="U227" s="89"/>
      <c r="V227" s="89"/>
      <c r="W227" s="89"/>
      <c r="X227" s="89"/>
      <c r="Y227" s="89"/>
      <c r="Z227" s="89"/>
      <c r="AA227" s="89"/>
      <c r="AB227" s="89"/>
      <c r="AC227" s="89"/>
      <c r="AD227" s="89"/>
    </row>
    <row r="228">
      <c r="A228" s="89"/>
      <c r="B228" s="89"/>
      <c r="C228" s="140"/>
      <c r="D228" s="89"/>
      <c r="E228" s="89"/>
      <c r="F228" s="89"/>
      <c r="G228" s="89"/>
      <c r="H228" s="89"/>
      <c r="I228" s="89"/>
      <c r="J228" s="89"/>
      <c r="K228" s="89"/>
      <c r="L228" s="89"/>
      <c r="M228" s="89"/>
      <c r="N228" s="89"/>
      <c r="O228" s="89"/>
      <c r="P228" s="89"/>
      <c r="Q228" s="89"/>
      <c r="R228" s="89"/>
      <c r="S228" s="89"/>
      <c r="T228" s="89"/>
      <c r="U228" s="89"/>
      <c r="V228" s="89"/>
      <c r="W228" s="89"/>
      <c r="X228" s="89"/>
      <c r="Y228" s="89"/>
      <c r="Z228" s="89"/>
      <c r="AA228" s="89"/>
      <c r="AB228" s="89"/>
      <c r="AC228" s="89"/>
      <c r="AD228" s="89"/>
    </row>
    <row r="229">
      <c r="A229" s="89"/>
      <c r="B229" s="89"/>
      <c r="C229" s="140"/>
      <c r="D229" s="89"/>
      <c r="E229" s="89"/>
      <c r="F229" s="89"/>
      <c r="G229" s="89"/>
      <c r="H229" s="89"/>
      <c r="I229" s="89"/>
      <c r="J229" s="89"/>
      <c r="K229" s="89"/>
      <c r="L229" s="89"/>
      <c r="M229" s="89"/>
      <c r="N229" s="89"/>
      <c r="O229" s="89"/>
      <c r="P229" s="89"/>
      <c r="Q229" s="89"/>
      <c r="R229" s="89"/>
      <c r="S229" s="89"/>
      <c r="T229" s="89"/>
      <c r="U229" s="89"/>
      <c r="V229" s="89"/>
      <c r="W229" s="89"/>
      <c r="X229" s="89"/>
      <c r="Y229" s="89"/>
      <c r="Z229" s="89"/>
      <c r="AA229" s="89"/>
      <c r="AB229" s="89"/>
      <c r="AC229" s="89"/>
      <c r="AD229" s="89"/>
    </row>
    <row r="230">
      <c r="A230" s="89"/>
      <c r="B230" s="89"/>
      <c r="C230" s="140"/>
      <c r="D230" s="89"/>
      <c r="E230" s="89"/>
      <c r="F230" s="89"/>
      <c r="G230" s="89"/>
      <c r="H230" s="89"/>
      <c r="I230" s="89"/>
      <c r="J230" s="89"/>
      <c r="K230" s="89"/>
      <c r="L230" s="89"/>
      <c r="M230" s="89"/>
      <c r="N230" s="89"/>
      <c r="O230" s="89"/>
      <c r="P230" s="89"/>
      <c r="Q230" s="89"/>
      <c r="R230" s="89"/>
      <c r="S230" s="89"/>
      <c r="T230" s="89"/>
      <c r="U230" s="89"/>
      <c r="V230" s="89"/>
      <c r="W230" s="89"/>
      <c r="X230" s="89"/>
      <c r="Y230" s="89"/>
      <c r="Z230" s="89"/>
      <c r="AA230" s="89"/>
      <c r="AB230" s="89"/>
      <c r="AC230" s="89"/>
      <c r="AD230" s="89"/>
    </row>
    <row r="231">
      <c r="A231" s="89"/>
      <c r="B231" s="89"/>
      <c r="C231" s="140"/>
      <c r="D231" s="89"/>
      <c r="E231" s="89"/>
      <c r="F231" s="89"/>
      <c r="G231" s="89"/>
      <c r="H231" s="89"/>
      <c r="I231" s="89"/>
      <c r="J231" s="89"/>
      <c r="K231" s="89"/>
      <c r="L231" s="89"/>
      <c r="M231" s="89"/>
      <c r="N231" s="89"/>
      <c r="O231" s="89"/>
      <c r="P231" s="89"/>
      <c r="Q231" s="89"/>
      <c r="R231" s="89"/>
      <c r="S231" s="89"/>
      <c r="T231" s="89"/>
      <c r="U231" s="89"/>
      <c r="V231" s="89"/>
      <c r="W231" s="89"/>
      <c r="X231" s="89"/>
      <c r="Y231" s="89"/>
      <c r="Z231" s="89"/>
      <c r="AA231" s="89"/>
      <c r="AB231" s="89"/>
      <c r="AC231" s="89"/>
      <c r="AD231" s="89"/>
    </row>
    <row r="232">
      <c r="A232" s="89"/>
      <c r="B232" s="89"/>
      <c r="C232" s="140"/>
      <c r="D232" s="89"/>
      <c r="E232" s="89"/>
      <c r="F232" s="89"/>
      <c r="G232" s="89"/>
      <c r="H232" s="89"/>
      <c r="I232" s="89"/>
      <c r="J232" s="89"/>
      <c r="K232" s="89"/>
      <c r="L232" s="89"/>
      <c r="M232" s="89"/>
      <c r="N232" s="89"/>
      <c r="O232" s="89"/>
      <c r="P232" s="89"/>
      <c r="Q232" s="89"/>
      <c r="R232" s="89"/>
      <c r="S232" s="89"/>
      <c r="T232" s="89"/>
      <c r="U232" s="89"/>
      <c r="V232" s="89"/>
      <c r="W232" s="89"/>
      <c r="X232" s="89"/>
      <c r="Y232" s="89"/>
      <c r="Z232" s="89"/>
      <c r="AA232" s="89"/>
      <c r="AB232" s="89"/>
      <c r="AC232" s="89"/>
      <c r="AD232" s="89"/>
    </row>
    <row r="233">
      <c r="A233" s="89"/>
      <c r="B233" s="89"/>
      <c r="C233" s="140"/>
      <c r="D233" s="89"/>
      <c r="E233" s="89"/>
      <c r="F233" s="89"/>
      <c r="G233" s="89"/>
      <c r="H233" s="89"/>
      <c r="I233" s="89"/>
      <c r="J233" s="89"/>
      <c r="K233" s="89"/>
      <c r="L233" s="89"/>
      <c r="M233" s="89"/>
      <c r="N233" s="89"/>
      <c r="O233" s="89"/>
      <c r="P233" s="89"/>
      <c r="Q233" s="89"/>
      <c r="R233" s="89"/>
      <c r="S233" s="89"/>
      <c r="T233" s="89"/>
      <c r="U233" s="89"/>
      <c r="V233" s="89"/>
      <c r="W233" s="89"/>
      <c r="X233" s="89"/>
      <c r="Y233" s="89"/>
      <c r="Z233" s="89"/>
      <c r="AA233" s="89"/>
      <c r="AB233" s="89"/>
      <c r="AC233" s="89"/>
      <c r="AD233" s="89"/>
    </row>
    <row r="234">
      <c r="A234" s="89"/>
      <c r="B234" s="89"/>
      <c r="C234" s="140"/>
      <c r="D234" s="89"/>
      <c r="E234" s="89"/>
      <c r="F234" s="89"/>
      <c r="G234" s="89"/>
      <c r="H234" s="89"/>
      <c r="I234" s="89"/>
      <c r="J234" s="89"/>
      <c r="K234" s="89"/>
      <c r="L234" s="89"/>
      <c r="M234" s="89"/>
      <c r="N234" s="89"/>
      <c r="O234" s="89"/>
      <c r="P234" s="89"/>
      <c r="Q234" s="89"/>
      <c r="R234" s="89"/>
      <c r="S234" s="89"/>
      <c r="T234" s="89"/>
      <c r="U234" s="89"/>
      <c r="V234" s="89"/>
      <c r="W234" s="89"/>
      <c r="X234" s="89"/>
      <c r="Y234" s="89"/>
      <c r="Z234" s="89"/>
      <c r="AA234" s="89"/>
      <c r="AB234" s="89"/>
      <c r="AC234" s="89"/>
      <c r="AD234" s="89"/>
    </row>
    <row r="235">
      <c r="A235" s="89"/>
      <c r="B235" s="89"/>
      <c r="C235" s="140"/>
      <c r="D235" s="89"/>
      <c r="E235" s="89"/>
      <c r="F235" s="89"/>
      <c r="G235" s="89"/>
      <c r="H235" s="89"/>
      <c r="I235" s="89"/>
      <c r="J235" s="89"/>
      <c r="K235" s="89"/>
      <c r="L235" s="89"/>
      <c r="M235" s="89"/>
      <c r="N235" s="89"/>
      <c r="O235" s="89"/>
      <c r="P235" s="89"/>
      <c r="Q235" s="89"/>
      <c r="R235" s="89"/>
      <c r="S235" s="89"/>
      <c r="T235" s="89"/>
      <c r="U235" s="89"/>
      <c r="V235" s="89"/>
      <c r="W235" s="89"/>
      <c r="X235" s="89"/>
      <c r="Y235" s="89"/>
      <c r="Z235" s="89"/>
      <c r="AA235" s="89"/>
      <c r="AB235" s="89"/>
      <c r="AC235" s="89"/>
      <c r="AD235" s="89"/>
    </row>
    <row r="236">
      <c r="A236" s="89"/>
      <c r="B236" s="89"/>
      <c r="C236" s="140"/>
      <c r="D236" s="89"/>
      <c r="E236" s="89"/>
      <c r="F236" s="89"/>
      <c r="G236" s="89"/>
      <c r="H236" s="89"/>
      <c r="I236" s="89"/>
      <c r="J236" s="89"/>
      <c r="K236" s="89"/>
      <c r="L236" s="89"/>
      <c r="M236" s="89"/>
      <c r="N236" s="89"/>
      <c r="O236" s="89"/>
      <c r="P236" s="89"/>
      <c r="Q236" s="89"/>
      <c r="R236" s="89"/>
      <c r="S236" s="89"/>
      <c r="T236" s="89"/>
      <c r="U236" s="89"/>
      <c r="V236" s="89"/>
      <c r="W236" s="89"/>
      <c r="X236" s="89"/>
      <c r="Y236" s="89"/>
      <c r="Z236" s="89"/>
      <c r="AA236" s="89"/>
      <c r="AB236" s="89"/>
      <c r="AC236" s="89"/>
      <c r="AD236" s="89"/>
    </row>
    <row r="237">
      <c r="A237" s="89"/>
      <c r="B237" s="89"/>
      <c r="C237" s="140"/>
      <c r="D237" s="89"/>
      <c r="E237" s="89"/>
      <c r="F237" s="89"/>
      <c r="G237" s="89"/>
      <c r="H237" s="89"/>
      <c r="I237" s="89"/>
      <c r="J237" s="89"/>
      <c r="K237" s="89"/>
      <c r="L237" s="89"/>
      <c r="M237" s="89"/>
      <c r="N237" s="89"/>
      <c r="O237" s="89"/>
      <c r="P237" s="89"/>
      <c r="Q237" s="89"/>
      <c r="R237" s="89"/>
      <c r="S237" s="89"/>
      <c r="T237" s="89"/>
      <c r="U237" s="89"/>
      <c r="V237" s="89"/>
      <c r="W237" s="89"/>
      <c r="X237" s="89"/>
      <c r="Y237" s="89"/>
      <c r="Z237" s="89"/>
      <c r="AA237" s="89"/>
      <c r="AB237" s="89"/>
      <c r="AC237" s="89"/>
      <c r="AD237" s="89"/>
    </row>
    <row r="238">
      <c r="A238" s="89"/>
      <c r="B238" s="89"/>
      <c r="C238" s="140"/>
      <c r="D238" s="89"/>
      <c r="E238" s="89"/>
      <c r="F238" s="89"/>
      <c r="G238" s="89"/>
      <c r="H238" s="89"/>
      <c r="I238" s="89"/>
      <c r="J238" s="89"/>
      <c r="K238" s="89"/>
      <c r="L238" s="89"/>
      <c r="M238" s="89"/>
      <c r="N238" s="89"/>
      <c r="O238" s="89"/>
      <c r="P238" s="89"/>
      <c r="Q238" s="89"/>
      <c r="R238" s="89"/>
      <c r="S238" s="89"/>
      <c r="T238" s="89"/>
      <c r="U238" s="89"/>
      <c r="V238" s="89"/>
      <c r="W238" s="89"/>
      <c r="X238" s="89"/>
      <c r="Y238" s="89"/>
      <c r="Z238" s="89"/>
      <c r="AA238" s="89"/>
      <c r="AB238" s="89"/>
      <c r="AC238" s="89"/>
      <c r="AD238" s="89"/>
    </row>
    <row r="239">
      <c r="A239" s="89"/>
      <c r="B239" s="89"/>
      <c r="C239" s="140"/>
      <c r="D239" s="89"/>
      <c r="E239" s="89"/>
      <c r="F239" s="89"/>
      <c r="G239" s="89"/>
      <c r="H239" s="89"/>
      <c r="I239" s="89"/>
      <c r="J239" s="89"/>
      <c r="K239" s="89"/>
      <c r="L239" s="89"/>
      <c r="M239" s="89"/>
      <c r="N239" s="89"/>
      <c r="O239" s="89"/>
      <c r="P239" s="89"/>
      <c r="Q239" s="89"/>
      <c r="R239" s="89"/>
      <c r="S239" s="89"/>
      <c r="T239" s="89"/>
      <c r="U239" s="89"/>
      <c r="V239" s="89"/>
      <c r="W239" s="89"/>
      <c r="X239" s="89"/>
      <c r="Y239" s="89"/>
      <c r="Z239" s="89"/>
      <c r="AA239" s="89"/>
      <c r="AB239" s="89"/>
      <c r="AC239" s="89"/>
      <c r="AD239" s="89"/>
    </row>
    <row r="240">
      <c r="A240" s="89"/>
      <c r="B240" s="89"/>
      <c r="C240" s="140"/>
      <c r="D240" s="89"/>
      <c r="E240" s="89"/>
      <c r="F240" s="89"/>
      <c r="G240" s="89"/>
      <c r="H240" s="89"/>
      <c r="I240" s="89"/>
      <c r="J240" s="89"/>
      <c r="K240" s="89"/>
      <c r="L240" s="89"/>
      <c r="M240" s="89"/>
      <c r="N240" s="89"/>
      <c r="O240" s="89"/>
      <c r="P240" s="89"/>
      <c r="Q240" s="89"/>
      <c r="R240" s="89"/>
      <c r="S240" s="89"/>
      <c r="T240" s="89"/>
      <c r="U240" s="89"/>
      <c r="V240" s="89"/>
      <c r="W240" s="89"/>
      <c r="X240" s="89"/>
      <c r="Y240" s="89"/>
      <c r="Z240" s="89"/>
      <c r="AA240" s="89"/>
      <c r="AB240" s="89"/>
      <c r="AC240" s="89"/>
      <c r="AD240" s="89"/>
    </row>
    <row r="241">
      <c r="A241" s="89"/>
      <c r="B241" s="89"/>
      <c r="C241" s="140"/>
      <c r="D241" s="89"/>
      <c r="E241" s="89"/>
      <c r="F241" s="89"/>
      <c r="G241" s="89"/>
      <c r="H241" s="89"/>
      <c r="I241" s="89"/>
      <c r="J241" s="89"/>
      <c r="K241" s="89"/>
      <c r="L241" s="89"/>
      <c r="M241" s="89"/>
      <c r="N241" s="89"/>
      <c r="O241" s="89"/>
      <c r="P241" s="89"/>
      <c r="Q241" s="89"/>
      <c r="R241" s="89"/>
      <c r="S241" s="89"/>
      <c r="T241" s="89"/>
      <c r="U241" s="89"/>
      <c r="V241" s="89"/>
      <c r="W241" s="89"/>
      <c r="X241" s="89"/>
      <c r="Y241" s="89"/>
      <c r="Z241" s="89"/>
      <c r="AA241" s="89"/>
      <c r="AB241" s="89"/>
      <c r="AC241" s="89"/>
      <c r="AD241" s="89"/>
    </row>
    <row r="242">
      <c r="A242" s="89"/>
      <c r="B242" s="89"/>
      <c r="C242" s="140"/>
      <c r="D242" s="89"/>
      <c r="E242" s="89"/>
      <c r="F242" s="89"/>
      <c r="G242" s="89"/>
      <c r="H242" s="89"/>
      <c r="I242" s="89"/>
      <c r="J242" s="89"/>
      <c r="K242" s="89"/>
      <c r="L242" s="89"/>
      <c r="M242" s="89"/>
      <c r="N242" s="89"/>
      <c r="O242" s="89"/>
      <c r="P242" s="89"/>
      <c r="Q242" s="89"/>
      <c r="R242" s="89"/>
      <c r="S242" s="89"/>
      <c r="T242" s="89"/>
      <c r="U242" s="89"/>
      <c r="V242" s="89"/>
      <c r="W242" s="89"/>
      <c r="X242" s="89"/>
      <c r="Y242" s="89"/>
      <c r="Z242" s="89"/>
      <c r="AA242" s="89"/>
      <c r="AB242" s="89"/>
      <c r="AC242" s="89"/>
      <c r="AD242" s="89"/>
    </row>
    <row r="243">
      <c r="A243" s="89"/>
      <c r="B243" s="89"/>
      <c r="C243" s="140"/>
      <c r="D243" s="89"/>
      <c r="E243" s="89"/>
      <c r="F243" s="89"/>
      <c r="G243" s="89"/>
      <c r="H243" s="89"/>
      <c r="I243" s="89"/>
      <c r="J243" s="89"/>
      <c r="K243" s="89"/>
      <c r="L243" s="89"/>
      <c r="M243" s="89"/>
      <c r="N243" s="89"/>
      <c r="O243" s="89"/>
      <c r="P243" s="89"/>
      <c r="Q243" s="89"/>
      <c r="R243" s="89"/>
      <c r="S243" s="89"/>
      <c r="T243" s="89"/>
      <c r="U243" s="89"/>
      <c r="V243" s="89"/>
      <c r="W243" s="89"/>
      <c r="X243" s="89"/>
      <c r="Y243" s="89"/>
      <c r="Z243" s="89"/>
      <c r="AA243" s="89"/>
      <c r="AB243" s="89"/>
      <c r="AC243" s="89"/>
      <c r="AD243" s="89"/>
    </row>
    <row r="244">
      <c r="A244" s="89"/>
      <c r="B244" s="89"/>
      <c r="C244" s="140"/>
      <c r="D244" s="89"/>
      <c r="E244" s="89"/>
      <c r="F244" s="89"/>
      <c r="G244" s="89"/>
      <c r="H244" s="89"/>
      <c r="I244" s="89"/>
      <c r="J244" s="89"/>
      <c r="K244" s="89"/>
      <c r="L244" s="89"/>
      <c r="M244" s="89"/>
      <c r="N244" s="89"/>
      <c r="O244" s="89"/>
      <c r="P244" s="89"/>
      <c r="Q244" s="89"/>
      <c r="R244" s="89"/>
      <c r="S244" s="89"/>
      <c r="T244" s="89"/>
      <c r="U244" s="89"/>
      <c r="V244" s="89"/>
      <c r="W244" s="89"/>
      <c r="X244" s="89"/>
      <c r="Y244" s="89"/>
      <c r="Z244" s="89"/>
      <c r="AA244" s="89"/>
      <c r="AB244" s="89"/>
      <c r="AC244" s="89"/>
      <c r="AD244" s="89"/>
    </row>
    <row r="245">
      <c r="A245" s="89"/>
      <c r="B245" s="89"/>
      <c r="C245" s="140"/>
      <c r="D245" s="89"/>
      <c r="E245" s="89"/>
      <c r="F245" s="89"/>
      <c r="G245" s="89"/>
      <c r="H245" s="89"/>
      <c r="I245" s="89"/>
      <c r="J245" s="89"/>
      <c r="K245" s="89"/>
      <c r="L245" s="89"/>
      <c r="M245" s="89"/>
      <c r="N245" s="89"/>
      <c r="O245" s="89"/>
      <c r="P245" s="89"/>
      <c r="Q245" s="89"/>
      <c r="R245" s="89"/>
      <c r="S245" s="89"/>
      <c r="T245" s="89"/>
      <c r="U245" s="89"/>
      <c r="V245" s="89"/>
      <c r="W245" s="89"/>
      <c r="X245" s="89"/>
      <c r="Y245" s="89"/>
      <c r="Z245" s="89"/>
      <c r="AA245" s="89"/>
      <c r="AB245" s="89"/>
      <c r="AC245" s="89"/>
      <c r="AD245" s="89"/>
    </row>
    <row r="246">
      <c r="A246" s="89"/>
      <c r="B246" s="89"/>
      <c r="C246" s="140"/>
      <c r="D246" s="89"/>
      <c r="E246" s="89"/>
      <c r="F246" s="89"/>
      <c r="G246" s="89"/>
      <c r="H246" s="89"/>
      <c r="I246" s="89"/>
      <c r="J246" s="89"/>
      <c r="K246" s="89"/>
      <c r="L246" s="89"/>
      <c r="M246" s="89"/>
      <c r="N246" s="89"/>
      <c r="O246" s="89"/>
      <c r="P246" s="89"/>
      <c r="Q246" s="89"/>
      <c r="R246" s="89"/>
      <c r="S246" s="89"/>
      <c r="T246" s="89"/>
      <c r="U246" s="89"/>
      <c r="V246" s="89"/>
      <c r="W246" s="89"/>
      <c r="X246" s="89"/>
      <c r="Y246" s="89"/>
      <c r="Z246" s="89"/>
      <c r="AA246" s="89"/>
      <c r="AB246" s="89"/>
      <c r="AC246" s="89"/>
      <c r="AD246" s="89"/>
    </row>
    <row r="247">
      <c r="A247" s="89"/>
      <c r="B247" s="89"/>
      <c r="C247" s="140"/>
      <c r="D247" s="89"/>
      <c r="E247" s="89"/>
      <c r="F247" s="89"/>
      <c r="G247" s="89"/>
      <c r="H247" s="89"/>
      <c r="I247" s="89"/>
      <c r="J247" s="89"/>
      <c r="K247" s="89"/>
      <c r="L247" s="89"/>
      <c r="M247" s="89"/>
      <c r="N247" s="89"/>
      <c r="O247" s="89"/>
      <c r="P247" s="89"/>
      <c r="Q247" s="89"/>
      <c r="R247" s="89"/>
      <c r="S247" s="89"/>
      <c r="T247" s="89"/>
      <c r="U247" s="89"/>
      <c r="V247" s="89"/>
      <c r="W247" s="89"/>
      <c r="X247" s="89"/>
      <c r="Y247" s="89"/>
      <c r="Z247" s="89"/>
      <c r="AA247" s="89"/>
      <c r="AB247" s="89"/>
      <c r="AC247" s="89"/>
      <c r="AD247" s="89"/>
    </row>
    <row r="248">
      <c r="A248" s="89"/>
      <c r="B248" s="89"/>
      <c r="C248" s="140"/>
      <c r="D248" s="89"/>
      <c r="E248" s="89"/>
      <c r="F248" s="89"/>
      <c r="G248" s="89"/>
      <c r="H248" s="89"/>
      <c r="I248" s="89"/>
      <c r="J248" s="89"/>
      <c r="K248" s="89"/>
      <c r="L248" s="89"/>
      <c r="M248" s="89"/>
      <c r="N248" s="89"/>
      <c r="O248" s="89"/>
      <c r="P248" s="89"/>
      <c r="Q248" s="89"/>
      <c r="R248" s="89"/>
      <c r="S248" s="89"/>
      <c r="T248" s="89"/>
      <c r="U248" s="89"/>
      <c r="V248" s="89"/>
      <c r="W248" s="89"/>
      <c r="X248" s="89"/>
      <c r="Y248" s="89"/>
      <c r="Z248" s="89"/>
      <c r="AA248" s="89"/>
      <c r="AB248" s="89"/>
      <c r="AC248" s="89"/>
      <c r="AD248" s="89"/>
    </row>
    <row r="249">
      <c r="A249" s="89"/>
      <c r="B249" s="89"/>
      <c r="C249" s="140"/>
      <c r="D249" s="89"/>
      <c r="E249" s="89"/>
      <c r="F249" s="89"/>
      <c r="G249" s="89"/>
      <c r="H249" s="89"/>
      <c r="I249" s="89"/>
      <c r="J249" s="89"/>
      <c r="K249" s="89"/>
      <c r="L249" s="89"/>
      <c r="M249" s="89"/>
      <c r="N249" s="89"/>
      <c r="O249" s="89"/>
      <c r="P249" s="89"/>
      <c r="Q249" s="89"/>
      <c r="R249" s="89"/>
      <c r="S249" s="89"/>
      <c r="T249" s="89"/>
      <c r="U249" s="89"/>
      <c r="V249" s="89"/>
      <c r="W249" s="89"/>
      <c r="X249" s="89"/>
      <c r="Y249" s="89"/>
      <c r="Z249" s="89"/>
      <c r="AA249" s="89"/>
      <c r="AB249" s="89"/>
      <c r="AC249" s="89"/>
      <c r="AD249" s="89"/>
    </row>
    <row r="250">
      <c r="A250" s="89"/>
      <c r="B250" s="89"/>
      <c r="C250" s="140"/>
      <c r="D250" s="89"/>
      <c r="E250" s="89"/>
      <c r="F250" s="89"/>
      <c r="G250" s="89"/>
      <c r="H250" s="89"/>
      <c r="I250" s="89"/>
      <c r="J250" s="89"/>
      <c r="K250" s="89"/>
      <c r="L250" s="89"/>
      <c r="M250" s="89"/>
      <c r="N250" s="89"/>
      <c r="O250" s="89"/>
      <c r="P250" s="89"/>
      <c r="Q250" s="89"/>
      <c r="R250" s="89"/>
      <c r="S250" s="89"/>
      <c r="T250" s="89"/>
      <c r="U250" s="89"/>
      <c r="V250" s="89"/>
      <c r="W250" s="89"/>
      <c r="X250" s="89"/>
      <c r="Y250" s="89"/>
      <c r="Z250" s="89"/>
      <c r="AA250" s="89"/>
      <c r="AB250" s="89"/>
      <c r="AC250" s="89"/>
      <c r="AD250" s="89"/>
    </row>
    <row r="251">
      <c r="A251" s="89"/>
      <c r="B251" s="89"/>
      <c r="C251" s="140"/>
      <c r="D251" s="89"/>
      <c r="E251" s="89"/>
      <c r="F251" s="89"/>
      <c r="G251" s="89"/>
      <c r="H251" s="89"/>
      <c r="I251" s="89"/>
      <c r="J251" s="89"/>
      <c r="K251" s="89"/>
      <c r="L251" s="89"/>
      <c r="M251" s="89"/>
      <c r="N251" s="89"/>
      <c r="O251" s="89"/>
      <c r="P251" s="89"/>
      <c r="Q251" s="89"/>
      <c r="R251" s="89"/>
      <c r="S251" s="89"/>
      <c r="T251" s="89"/>
      <c r="U251" s="89"/>
      <c r="V251" s="89"/>
      <c r="W251" s="89"/>
      <c r="X251" s="89"/>
      <c r="Y251" s="89"/>
      <c r="Z251" s="89"/>
      <c r="AA251" s="89"/>
      <c r="AB251" s="89"/>
      <c r="AC251" s="89"/>
      <c r="AD251" s="89"/>
    </row>
    <row r="252">
      <c r="A252" s="89"/>
      <c r="B252" s="89"/>
      <c r="C252" s="140"/>
      <c r="D252" s="89"/>
      <c r="E252" s="89"/>
      <c r="F252" s="89"/>
      <c r="G252" s="89"/>
      <c r="H252" s="89"/>
      <c r="I252" s="89"/>
      <c r="J252" s="89"/>
      <c r="K252" s="89"/>
      <c r="L252" s="89"/>
      <c r="M252" s="89"/>
      <c r="N252" s="89"/>
      <c r="O252" s="89"/>
      <c r="P252" s="89"/>
      <c r="Q252" s="89"/>
      <c r="R252" s="89"/>
      <c r="S252" s="89"/>
      <c r="T252" s="89"/>
      <c r="U252" s="89"/>
      <c r="V252" s="89"/>
      <c r="W252" s="89"/>
      <c r="X252" s="89"/>
      <c r="Y252" s="89"/>
      <c r="Z252" s="89"/>
      <c r="AA252" s="89"/>
      <c r="AB252" s="89"/>
      <c r="AC252" s="89"/>
      <c r="AD252" s="89"/>
    </row>
    <row r="253">
      <c r="A253" s="89"/>
      <c r="B253" s="89"/>
      <c r="C253" s="140"/>
      <c r="D253" s="89"/>
      <c r="E253" s="89"/>
      <c r="F253" s="89"/>
      <c r="G253" s="89"/>
      <c r="H253" s="89"/>
      <c r="I253" s="89"/>
      <c r="J253" s="89"/>
      <c r="K253" s="89"/>
      <c r="L253" s="89"/>
      <c r="M253" s="89"/>
      <c r="N253" s="89"/>
      <c r="O253" s="89"/>
      <c r="P253" s="89"/>
      <c r="Q253" s="89"/>
      <c r="R253" s="89"/>
      <c r="S253" s="89"/>
      <c r="T253" s="89"/>
      <c r="U253" s="89"/>
      <c r="V253" s="89"/>
      <c r="W253" s="89"/>
      <c r="X253" s="89"/>
      <c r="Y253" s="89"/>
      <c r="Z253" s="89"/>
      <c r="AA253" s="89"/>
      <c r="AB253" s="89"/>
      <c r="AC253" s="89"/>
      <c r="AD253" s="89"/>
    </row>
    <row r="254">
      <c r="A254" s="89"/>
      <c r="B254" s="89"/>
      <c r="C254" s="140"/>
      <c r="D254" s="89"/>
      <c r="E254" s="89"/>
      <c r="F254" s="89"/>
      <c r="G254" s="89"/>
      <c r="H254" s="89"/>
      <c r="I254" s="89"/>
      <c r="J254" s="89"/>
      <c r="K254" s="89"/>
      <c r="L254" s="89"/>
      <c r="M254" s="89"/>
      <c r="N254" s="89"/>
      <c r="O254" s="89"/>
      <c r="P254" s="89"/>
      <c r="Q254" s="89"/>
      <c r="R254" s="89"/>
      <c r="S254" s="89"/>
      <c r="T254" s="89"/>
      <c r="U254" s="89"/>
      <c r="V254" s="89"/>
      <c r="W254" s="89"/>
      <c r="X254" s="89"/>
      <c r="Y254" s="89"/>
      <c r="Z254" s="89"/>
      <c r="AA254" s="89"/>
      <c r="AB254" s="89"/>
      <c r="AC254" s="89"/>
      <c r="AD254" s="89"/>
    </row>
    <row r="255">
      <c r="A255" s="89"/>
      <c r="B255" s="89"/>
      <c r="C255" s="140"/>
      <c r="D255" s="89"/>
      <c r="E255" s="89"/>
      <c r="F255" s="89"/>
      <c r="G255" s="89"/>
      <c r="H255" s="89"/>
      <c r="I255" s="89"/>
      <c r="J255" s="89"/>
      <c r="K255" s="89"/>
      <c r="L255" s="89"/>
      <c r="M255" s="89"/>
      <c r="N255" s="89"/>
      <c r="O255" s="89"/>
      <c r="P255" s="89"/>
      <c r="Q255" s="89"/>
      <c r="R255" s="89"/>
      <c r="S255" s="89"/>
      <c r="T255" s="89"/>
      <c r="U255" s="89"/>
      <c r="V255" s="89"/>
      <c r="W255" s="89"/>
      <c r="X255" s="89"/>
      <c r="Y255" s="89"/>
      <c r="Z255" s="89"/>
      <c r="AA255" s="89"/>
      <c r="AB255" s="89"/>
      <c r="AC255" s="89"/>
      <c r="AD255" s="89"/>
    </row>
    <row r="256">
      <c r="A256" s="89"/>
      <c r="B256" s="89"/>
      <c r="C256" s="140"/>
      <c r="D256" s="89"/>
      <c r="E256" s="89"/>
      <c r="F256" s="89"/>
      <c r="G256" s="89"/>
      <c r="H256" s="89"/>
      <c r="I256" s="89"/>
      <c r="J256" s="89"/>
      <c r="K256" s="89"/>
      <c r="L256" s="89"/>
      <c r="M256" s="89"/>
      <c r="N256" s="89"/>
      <c r="O256" s="89"/>
      <c r="P256" s="89"/>
      <c r="Q256" s="89"/>
      <c r="R256" s="89"/>
      <c r="S256" s="89"/>
      <c r="T256" s="89"/>
      <c r="U256" s="89"/>
      <c r="V256" s="89"/>
      <c r="W256" s="89"/>
      <c r="X256" s="89"/>
      <c r="Y256" s="89"/>
      <c r="Z256" s="89"/>
      <c r="AA256" s="89"/>
      <c r="AB256" s="89"/>
      <c r="AC256" s="89"/>
      <c r="AD256" s="89"/>
    </row>
    <row r="257">
      <c r="A257" s="89"/>
      <c r="B257" s="89"/>
      <c r="C257" s="140"/>
      <c r="D257" s="89"/>
      <c r="E257" s="89"/>
      <c r="F257" s="89"/>
      <c r="G257" s="89"/>
      <c r="H257" s="89"/>
      <c r="I257" s="89"/>
      <c r="J257" s="89"/>
      <c r="K257" s="89"/>
      <c r="L257" s="89"/>
      <c r="M257" s="89"/>
      <c r="N257" s="89"/>
      <c r="O257" s="89"/>
      <c r="P257" s="89"/>
      <c r="Q257" s="89"/>
      <c r="R257" s="89"/>
      <c r="S257" s="89"/>
      <c r="T257" s="89"/>
      <c r="U257" s="89"/>
      <c r="V257" s="89"/>
      <c r="W257" s="89"/>
      <c r="X257" s="89"/>
      <c r="Y257" s="89"/>
      <c r="Z257" s="89"/>
      <c r="AA257" s="89"/>
      <c r="AB257" s="89"/>
      <c r="AC257" s="89"/>
      <c r="AD257" s="89"/>
    </row>
    <row r="258">
      <c r="A258" s="89"/>
      <c r="B258" s="89"/>
      <c r="C258" s="140"/>
      <c r="D258" s="89"/>
      <c r="E258" s="89"/>
      <c r="F258" s="89"/>
      <c r="G258" s="89"/>
      <c r="H258" s="89"/>
      <c r="I258" s="89"/>
      <c r="J258" s="89"/>
      <c r="K258" s="89"/>
      <c r="L258" s="89"/>
      <c r="M258" s="89"/>
      <c r="N258" s="89"/>
      <c r="O258" s="89"/>
      <c r="P258" s="89"/>
      <c r="Q258" s="89"/>
      <c r="R258" s="89"/>
      <c r="S258" s="89"/>
      <c r="T258" s="89"/>
      <c r="U258" s="89"/>
      <c r="V258" s="89"/>
      <c r="W258" s="89"/>
      <c r="X258" s="89"/>
      <c r="Y258" s="89"/>
      <c r="Z258" s="89"/>
      <c r="AA258" s="89"/>
      <c r="AB258" s="89"/>
      <c r="AC258" s="89"/>
      <c r="AD258" s="89"/>
    </row>
    <row r="259">
      <c r="A259" s="89"/>
      <c r="B259" s="89"/>
      <c r="C259" s="140"/>
      <c r="D259" s="89"/>
      <c r="E259" s="89"/>
      <c r="F259" s="89"/>
      <c r="G259" s="89"/>
      <c r="H259" s="89"/>
      <c r="I259" s="89"/>
      <c r="J259" s="89"/>
      <c r="K259" s="89"/>
      <c r="L259" s="89"/>
      <c r="M259" s="89"/>
      <c r="N259" s="89"/>
      <c r="O259" s="89"/>
      <c r="P259" s="89"/>
      <c r="Q259" s="89"/>
      <c r="R259" s="89"/>
      <c r="S259" s="89"/>
      <c r="T259" s="89"/>
      <c r="U259" s="89"/>
      <c r="V259" s="89"/>
      <c r="W259" s="89"/>
      <c r="X259" s="89"/>
      <c r="Y259" s="89"/>
      <c r="Z259" s="89"/>
      <c r="AA259" s="89"/>
      <c r="AB259" s="89"/>
      <c r="AC259" s="89"/>
      <c r="AD259" s="89"/>
    </row>
    <row r="260">
      <c r="A260" s="89"/>
      <c r="B260" s="89"/>
      <c r="C260" s="140"/>
      <c r="D260" s="89"/>
      <c r="E260" s="89"/>
      <c r="F260" s="89"/>
      <c r="G260" s="89"/>
      <c r="H260" s="89"/>
      <c r="I260" s="89"/>
      <c r="J260" s="89"/>
      <c r="K260" s="89"/>
      <c r="L260" s="89"/>
      <c r="M260" s="89"/>
      <c r="N260" s="89"/>
      <c r="O260" s="89"/>
      <c r="P260" s="89"/>
      <c r="Q260" s="89"/>
      <c r="R260" s="89"/>
      <c r="S260" s="89"/>
      <c r="T260" s="89"/>
      <c r="U260" s="89"/>
      <c r="V260" s="89"/>
      <c r="W260" s="89"/>
      <c r="X260" s="89"/>
      <c r="Y260" s="89"/>
      <c r="Z260" s="89"/>
      <c r="AA260" s="89"/>
      <c r="AB260" s="89"/>
      <c r="AC260" s="89"/>
      <c r="AD260" s="89"/>
    </row>
    <row r="261">
      <c r="A261" s="89"/>
      <c r="B261" s="89"/>
      <c r="C261" s="140"/>
      <c r="D261" s="89"/>
      <c r="E261" s="89"/>
      <c r="F261" s="89"/>
      <c r="G261" s="89"/>
      <c r="H261" s="89"/>
      <c r="I261" s="89"/>
      <c r="J261" s="89"/>
      <c r="K261" s="89"/>
      <c r="L261" s="89"/>
      <c r="M261" s="89"/>
      <c r="N261" s="89"/>
      <c r="O261" s="89"/>
      <c r="P261" s="89"/>
      <c r="Q261" s="89"/>
      <c r="R261" s="89"/>
      <c r="S261" s="89"/>
      <c r="T261" s="89"/>
      <c r="U261" s="89"/>
      <c r="V261" s="89"/>
      <c r="W261" s="89"/>
      <c r="X261" s="89"/>
      <c r="Y261" s="89"/>
      <c r="Z261" s="89"/>
      <c r="AA261" s="89"/>
      <c r="AB261" s="89"/>
      <c r="AC261" s="89"/>
      <c r="AD261" s="89"/>
    </row>
    <row r="262">
      <c r="A262" s="89"/>
      <c r="B262" s="89"/>
      <c r="C262" s="140"/>
      <c r="D262" s="89"/>
      <c r="E262" s="89"/>
      <c r="F262" s="89"/>
      <c r="G262" s="89"/>
      <c r="H262" s="89"/>
      <c r="I262" s="89"/>
      <c r="J262" s="89"/>
      <c r="K262" s="89"/>
      <c r="L262" s="89"/>
      <c r="M262" s="89"/>
      <c r="N262" s="89"/>
      <c r="O262" s="89"/>
      <c r="P262" s="89"/>
      <c r="Q262" s="89"/>
      <c r="R262" s="89"/>
      <c r="S262" s="89"/>
      <c r="T262" s="89"/>
      <c r="U262" s="89"/>
      <c r="V262" s="89"/>
      <c r="W262" s="89"/>
      <c r="X262" s="89"/>
      <c r="Y262" s="89"/>
      <c r="Z262" s="89"/>
      <c r="AA262" s="89"/>
      <c r="AB262" s="89"/>
      <c r="AC262" s="89"/>
      <c r="AD262" s="89"/>
    </row>
    <row r="263">
      <c r="A263" s="89"/>
      <c r="B263" s="89"/>
      <c r="C263" s="140"/>
      <c r="D263" s="89"/>
      <c r="E263" s="89"/>
      <c r="F263" s="89"/>
      <c r="G263" s="89"/>
      <c r="H263" s="89"/>
      <c r="I263" s="89"/>
      <c r="J263" s="89"/>
      <c r="K263" s="89"/>
      <c r="L263" s="89"/>
      <c r="M263" s="89"/>
      <c r="N263" s="89"/>
      <c r="O263" s="89"/>
      <c r="P263" s="89"/>
      <c r="Q263" s="89"/>
      <c r="R263" s="89"/>
      <c r="S263" s="89"/>
      <c r="T263" s="89"/>
      <c r="U263" s="89"/>
      <c r="V263" s="89"/>
      <c r="W263" s="89"/>
      <c r="X263" s="89"/>
      <c r="Y263" s="89"/>
      <c r="Z263" s="89"/>
      <c r="AA263" s="89"/>
      <c r="AB263" s="89"/>
      <c r="AC263" s="89"/>
      <c r="AD263" s="89"/>
    </row>
    <row r="264">
      <c r="A264" s="89"/>
      <c r="B264" s="89"/>
      <c r="C264" s="140"/>
      <c r="D264" s="89"/>
      <c r="E264" s="89"/>
      <c r="F264" s="89"/>
      <c r="G264" s="89"/>
      <c r="H264" s="89"/>
      <c r="I264" s="89"/>
      <c r="J264" s="89"/>
      <c r="K264" s="89"/>
      <c r="L264" s="89"/>
      <c r="M264" s="89"/>
      <c r="N264" s="89"/>
      <c r="O264" s="89"/>
      <c r="P264" s="89"/>
      <c r="Q264" s="89"/>
      <c r="R264" s="89"/>
      <c r="S264" s="89"/>
      <c r="T264" s="89"/>
      <c r="U264" s="89"/>
      <c r="V264" s="89"/>
      <c r="W264" s="89"/>
      <c r="X264" s="89"/>
      <c r="Y264" s="89"/>
      <c r="Z264" s="89"/>
      <c r="AA264" s="89"/>
      <c r="AB264" s="89"/>
      <c r="AC264" s="89"/>
      <c r="AD264" s="89"/>
    </row>
    <row r="265">
      <c r="A265" s="89"/>
      <c r="B265" s="89"/>
      <c r="C265" s="140"/>
      <c r="D265" s="89"/>
      <c r="E265" s="89"/>
      <c r="F265" s="89"/>
      <c r="G265" s="89"/>
      <c r="H265" s="89"/>
      <c r="I265" s="89"/>
      <c r="J265" s="89"/>
      <c r="K265" s="89"/>
      <c r="L265" s="89"/>
      <c r="M265" s="89"/>
      <c r="N265" s="89"/>
      <c r="O265" s="89"/>
      <c r="P265" s="89"/>
      <c r="Q265" s="89"/>
      <c r="R265" s="89"/>
      <c r="S265" s="89"/>
      <c r="T265" s="89"/>
      <c r="U265" s="89"/>
      <c r="V265" s="89"/>
      <c r="W265" s="89"/>
      <c r="X265" s="89"/>
      <c r="Y265" s="89"/>
      <c r="Z265" s="89"/>
      <c r="AA265" s="89"/>
      <c r="AB265" s="89"/>
      <c r="AC265" s="89"/>
      <c r="AD265" s="89"/>
    </row>
    <row r="266">
      <c r="A266" s="89"/>
      <c r="B266" s="89"/>
      <c r="C266" s="140"/>
      <c r="D266" s="89"/>
      <c r="E266" s="89"/>
      <c r="F266" s="89"/>
      <c r="G266" s="89"/>
      <c r="H266" s="89"/>
      <c r="I266" s="89"/>
      <c r="J266" s="89"/>
      <c r="K266" s="89"/>
      <c r="L266" s="89"/>
      <c r="M266" s="89"/>
      <c r="N266" s="89"/>
      <c r="O266" s="89"/>
      <c r="P266" s="89"/>
      <c r="Q266" s="89"/>
      <c r="R266" s="89"/>
      <c r="S266" s="89"/>
      <c r="T266" s="89"/>
      <c r="U266" s="89"/>
      <c r="V266" s="89"/>
      <c r="W266" s="89"/>
      <c r="X266" s="89"/>
      <c r="Y266" s="89"/>
      <c r="Z266" s="89"/>
      <c r="AA266" s="89"/>
      <c r="AB266" s="89"/>
      <c r="AC266" s="89"/>
      <c r="AD266" s="89"/>
    </row>
    <row r="267">
      <c r="A267" s="89"/>
      <c r="B267" s="89"/>
      <c r="C267" s="140"/>
      <c r="D267" s="89"/>
      <c r="E267" s="89"/>
      <c r="F267" s="89"/>
      <c r="G267" s="89"/>
      <c r="H267" s="89"/>
      <c r="I267" s="89"/>
      <c r="J267" s="89"/>
      <c r="K267" s="89"/>
      <c r="L267" s="89"/>
      <c r="M267" s="89"/>
      <c r="N267" s="89"/>
      <c r="O267" s="89"/>
      <c r="P267" s="89"/>
      <c r="Q267" s="89"/>
      <c r="R267" s="89"/>
      <c r="S267" s="89"/>
      <c r="T267" s="89"/>
      <c r="U267" s="89"/>
      <c r="V267" s="89"/>
      <c r="W267" s="89"/>
      <c r="X267" s="89"/>
      <c r="Y267" s="89"/>
      <c r="Z267" s="89"/>
      <c r="AA267" s="89"/>
      <c r="AB267" s="89"/>
      <c r="AC267" s="89"/>
      <c r="AD267" s="89"/>
    </row>
    <row r="268">
      <c r="A268" s="89"/>
      <c r="B268" s="89"/>
      <c r="C268" s="140"/>
      <c r="D268" s="89"/>
      <c r="E268" s="89"/>
      <c r="F268" s="89"/>
      <c r="G268" s="89"/>
      <c r="H268" s="89"/>
      <c r="I268" s="89"/>
      <c r="J268" s="89"/>
      <c r="K268" s="89"/>
      <c r="L268" s="89"/>
      <c r="M268" s="89"/>
      <c r="N268" s="89"/>
      <c r="O268" s="89"/>
      <c r="P268" s="89"/>
      <c r="Q268" s="89"/>
      <c r="R268" s="89"/>
      <c r="S268" s="89"/>
      <c r="T268" s="89"/>
      <c r="U268" s="89"/>
      <c r="V268" s="89"/>
      <c r="W268" s="89"/>
      <c r="X268" s="89"/>
      <c r="Y268" s="89"/>
      <c r="Z268" s="89"/>
      <c r="AA268" s="89"/>
      <c r="AB268" s="89"/>
      <c r="AC268" s="89"/>
      <c r="AD268" s="89"/>
    </row>
    <row r="269">
      <c r="A269" s="89"/>
      <c r="B269" s="89"/>
      <c r="C269" s="140"/>
      <c r="D269" s="89"/>
      <c r="E269" s="89"/>
      <c r="F269" s="89"/>
      <c r="G269" s="89"/>
      <c r="H269" s="89"/>
      <c r="I269" s="89"/>
      <c r="J269" s="89"/>
      <c r="K269" s="89"/>
      <c r="L269" s="89"/>
      <c r="M269" s="89"/>
      <c r="N269" s="89"/>
      <c r="O269" s="89"/>
      <c r="P269" s="89"/>
      <c r="Q269" s="89"/>
      <c r="R269" s="89"/>
      <c r="S269" s="89"/>
      <c r="T269" s="89"/>
      <c r="U269" s="89"/>
      <c r="V269" s="89"/>
      <c r="W269" s="89"/>
      <c r="X269" s="89"/>
      <c r="Y269" s="89"/>
      <c r="Z269" s="89"/>
      <c r="AA269" s="89"/>
      <c r="AB269" s="89"/>
      <c r="AC269" s="89"/>
      <c r="AD269" s="89"/>
    </row>
    <row r="270">
      <c r="A270" s="89"/>
      <c r="B270" s="89"/>
      <c r="C270" s="140"/>
      <c r="D270" s="89"/>
      <c r="E270" s="89"/>
      <c r="F270" s="89"/>
      <c r="G270" s="89"/>
      <c r="H270" s="89"/>
      <c r="I270" s="89"/>
      <c r="J270" s="89"/>
      <c r="K270" s="89"/>
      <c r="L270" s="89"/>
      <c r="M270" s="89"/>
      <c r="N270" s="89"/>
      <c r="O270" s="89"/>
      <c r="P270" s="89"/>
      <c r="Q270" s="89"/>
      <c r="R270" s="89"/>
      <c r="S270" s="89"/>
      <c r="T270" s="89"/>
      <c r="U270" s="89"/>
      <c r="V270" s="89"/>
      <c r="W270" s="89"/>
      <c r="X270" s="89"/>
      <c r="Y270" s="89"/>
      <c r="Z270" s="89"/>
      <c r="AA270" s="89"/>
      <c r="AB270" s="89"/>
      <c r="AC270" s="89"/>
      <c r="AD270" s="89"/>
    </row>
    <row r="271">
      <c r="A271" s="89"/>
      <c r="B271" s="89"/>
      <c r="C271" s="140"/>
      <c r="D271" s="89"/>
      <c r="E271" s="89"/>
      <c r="F271" s="89"/>
      <c r="G271" s="89"/>
      <c r="H271" s="89"/>
      <c r="I271" s="89"/>
      <c r="J271" s="89"/>
      <c r="K271" s="89"/>
      <c r="L271" s="89"/>
      <c r="M271" s="89"/>
      <c r="N271" s="89"/>
      <c r="O271" s="89"/>
      <c r="P271" s="89"/>
      <c r="Q271" s="89"/>
      <c r="R271" s="89"/>
      <c r="S271" s="89"/>
      <c r="T271" s="89"/>
      <c r="U271" s="89"/>
      <c r="V271" s="89"/>
      <c r="W271" s="89"/>
      <c r="X271" s="89"/>
      <c r="Y271" s="89"/>
      <c r="Z271" s="89"/>
      <c r="AA271" s="89"/>
      <c r="AB271" s="89"/>
      <c r="AC271" s="89"/>
      <c r="AD271" s="89"/>
    </row>
    <row r="272">
      <c r="A272" s="89"/>
      <c r="B272" s="89"/>
      <c r="C272" s="140"/>
      <c r="D272" s="89"/>
      <c r="E272" s="89"/>
      <c r="F272" s="89"/>
      <c r="G272" s="89"/>
      <c r="H272" s="89"/>
      <c r="I272" s="89"/>
      <c r="J272" s="89"/>
      <c r="K272" s="89"/>
      <c r="L272" s="89"/>
      <c r="M272" s="89"/>
      <c r="N272" s="89"/>
      <c r="O272" s="89"/>
      <c r="P272" s="89"/>
      <c r="Q272" s="89"/>
      <c r="R272" s="89"/>
      <c r="S272" s="89"/>
      <c r="T272" s="89"/>
      <c r="U272" s="89"/>
      <c r="V272" s="89"/>
      <c r="W272" s="89"/>
      <c r="X272" s="89"/>
      <c r="Y272" s="89"/>
      <c r="Z272" s="89"/>
      <c r="AA272" s="89"/>
      <c r="AB272" s="89"/>
      <c r="AC272" s="89"/>
      <c r="AD272" s="89"/>
    </row>
    <row r="273">
      <c r="A273" s="89"/>
      <c r="B273" s="89"/>
      <c r="C273" s="140"/>
      <c r="D273" s="89"/>
      <c r="E273" s="89"/>
      <c r="F273" s="89"/>
      <c r="G273" s="89"/>
      <c r="H273" s="89"/>
      <c r="I273" s="89"/>
      <c r="J273" s="89"/>
      <c r="K273" s="89"/>
      <c r="L273" s="89"/>
      <c r="M273" s="89"/>
      <c r="N273" s="89"/>
      <c r="O273" s="89"/>
      <c r="P273" s="89"/>
      <c r="Q273" s="89"/>
      <c r="R273" s="89"/>
      <c r="S273" s="89"/>
      <c r="T273" s="89"/>
      <c r="U273" s="89"/>
      <c r="V273" s="89"/>
      <c r="W273" s="89"/>
      <c r="X273" s="89"/>
      <c r="Y273" s="89"/>
      <c r="Z273" s="89"/>
      <c r="AA273" s="89"/>
      <c r="AB273" s="89"/>
      <c r="AC273" s="89"/>
      <c r="AD273" s="89"/>
    </row>
    <row r="274">
      <c r="A274" s="89"/>
      <c r="B274" s="89"/>
      <c r="C274" s="140"/>
      <c r="D274" s="89"/>
      <c r="E274" s="89"/>
      <c r="F274" s="89"/>
      <c r="G274" s="89"/>
      <c r="H274" s="89"/>
      <c r="I274" s="89"/>
      <c r="J274" s="89"/>
      <c r="K274" s="89"/>
      <c r="L274" s="89"/>
      <c r="M274" s="89"/>
      <c r="N274" s="89"/>
      <c r="O274" s="89"/>
      <c r="P274" s="89"/>
      <c r="Q274" s="89"/>
      <c r="R274" s="89"/>
      <c r="S274" s="89"/>
      <c r="T274" s="89"/>
      <c r="U274" s="89"/>
      <c r="V274" s="89"/>
      <c r="W274" s="89"/>
      <c r="X274" s="89"/>
      <c r="Y274" s="89"/>
      <c r="Z274" s="89"/>
      <c r="AA274" s="89"/>
      <c r="AB274" s="89"/>
      <c r="AC274" s="89"/>
      <c r="AD274" s="89"/>
    </row>
    <row r="275">
      <c r="A275" s="89"/>
      <c r="B275" s="89"/>
      <c r="C275" s="140"/>
      <c r="D275" s="89"/>
      <c r="E275" s="89"/>
      <c r="F275" s="89"/>
      <c r="G275" s="89"/>
      <c r="H275" s="89"/>
      <c r="I275" s="89"/>
      <c r="J275" s="89"/>
      <c r="K275" s="89"/>
      <c r="L275" s="89"/>
      <c r="M275" s="89"/>
      <c r="N275" s="89"/>
      <c r="O275" s="89"/>
      <c r="P275" s="89"/>
      <c r="Q275" s="89"/>
      <c r="R275" s="89"/>
      <c r="S275" s="89"/>
      <c r="T275" s="89"/>
      <c r="U275" s="89"/>
      <c r="V275" s="89"/>
      <c r="W275" s="89"/>
      <c r="X275" s="89"/>
      <c r="Y275" s="89"/>
      <c r="Z275" s="89"/>
      <c r="AA275" s="89"/>
      <c r="AB275" s="89"/>
      <c r="AC275" s="89"/>
      <c r="AD275" s="89"/>
    </row>
    <row r="276">
      <c r="A276" s="89"/>
      <c r="B276" s="89"/>
      <c r="C276" s="140"/>
      <c r="D276" s="89"/>
      <c r="E276" s="89"/>
      <c r="F276" s="89"/>
      <c r="G276" s="89"/>
      <c r="H276" s="89"/>
      <c r="I276" s="89"/>
      <c r="J276" s="89"/>
      <c r="K276" s="89"/>
      <c r="L276" s="89"/>
      <c r="M276" s="89"/>
      <c r="N276" s="89"/>
      <c r="O276" s="89"/>
      <c r="P276" s="89"/>
      <c r="Q276" s="89"/>
      <c r="R276" s="89"/>
      <c r="S276" s="89"/>
      <c r="T276" s="89"/>
      <c r="U276" s="89"/>
      <c r="V276" s="89"/>
      <c r="W276" s="89"/>
      <c r="X276" s="89"/>
      <c r="Y276" s="89"/>
      <c r="Z276" s="89"/>
      <c r="AA276" s="89"/>
      <c r="AB276" s="89"/>
      <c r="AC276" s="89"/>
      <c r="AD276" s="89"/>
    </row>
    <row r="277">
      <c r="A277" s="89"/>
      <c r="B277" s="89"/>
      <c r="C277" s="140"/>
      <c r="D277" s="89"/>
      <c r="E277" s="89"/>
      <c r="F277" s="89"/>
      <c r="G277" s="89"/>
      <c r="H277" s="89"/>
      <c r="I277" s="89"/>
      <c r="J277" s="89"/>
      <c r="K277" s="89"/>
      <c r="L277" s="89"/>
      <c r="M277" s="89"/>
      <c r="N277" s="89"/>
      <c r="O277" s="89"/>
      <c r="P277" s="89"/>
      <c r="Q277" s="89"/>
      <c r="R277" s="89"/>
      <c r="S277" s="89"/>
      <c r="T277" s="89"/>
      <c r="U277" s="89"/>
      <c r="V277" s="89"/>
      <c r="W277" s="89"/>
      <c r="X277" s="89"/>
      <c r="Y277" s="89"/>
      <c r="Z277" s="89"/>
      <c r="AA277" s="89"/>
      <c r="AB277" s="89"/>
      <c r="AC277" s="89"/>
      <c r="AD277" s="89"/>
    </row>
    <row r="278">
      <c r="A278" s="89"/>
      <c r="B278" s="89"/>
      <c r="C278" s="140"/>
      <c r="D278" s="89"/>
      <c r="E278" s="89"/>
      <c r="F278" s="89"/>
      <c r="G278" s="89"/>
      <c r="H278" s="89"/>
      <c r="I278" s="89"/>
      <c r="J278" s="89"/>
      <c r="K278" s="89"/>
      <c r="L278" s="89"/>
      <c r="M278" s="89"/>
      <c r="N278" s="89"/>
      <c r="O278" s="89"/>
      <c r="P278" s="89"/>
      <c r="Q278" s="89"/>
      <c r="R278" s="89"/>
      <c r="S278" s="89"/>
      <c r="T278" s="89"/>
      <c r="U278" s="89"/>
      <c r="V278" s="89"/>
      <c r="W278" s="89"/>
      <c r="X278" s="89"/>
      <c r="Y278" s="89"/>
      <c r="Z278" s="89"/>
      <c r="AA278" s="89"/>
      <c r="AB278" s="89"/>
      <c r="AC278" s="89"/>
      <c r="AD278" s="89"/>
    </row>
    <row r="279">
      <c r="A279" s="89"/>
      <c r="B279" s="89"/>
      <c r="C279" s="140"/>
      <c r="D279" s="89"/>
      <c r="E279" s="89"/>
      <c r="F279" s="89"/>
      <c r="G279" s="89"/>
      <c r="H279" s="89"/>
      <c r="I279" s="89"/>
      <c r="J279" s="89"/>
      <c r="K279" s="89"/>
      <c r="L279" s="89"/>
      <c r="M279" s="89"/>
      <c r="N279" s="89"/>
      <c r="O279" s="89"/>
      <c r="P279" s="89"/>
      <c r="Q279" s="89"/>
      <c r="R279" s="89"/>
      <c r="S279" s="89"/>
      <c r="T279" s="89"/>
      <c r="U279" s="89"/>
      <c r="V279" s="89"/>
      <c r="W279" s="89"/>
      <c r="X279" s="89"/>
      <c r="Y279" s="89"/>
      <c r="Z279" s="89"/>
      <c r="AA279" s="89"/>
      <c r="AB279" s="89"/>
      <c r="AC279" s="89"/>
      <c r="AD279" s="89"/>
    </row>
    <row r="280">
      <c r="A280" s="89"/>
      <c r="B280" s="89"/>
      <c r="C280" s="140"/>
      <c r="D280" s="89"/>
      <c r="E280" s="89"/>
      <c r="F280" s="89"/>
      <c r="G280" s="89"/>
      <c r="H280" s="89"/>
      <c r="I280" s="89"/>
      <c r="J280" s="89"/>
      <c r="K280" s="89"/>
      <c r="L280" s="89"/>
      <c r="M280" s="89"/>
      <c r="N280" s="89"/>
      <c r="O280" s="89"/>
      <c r="P280" s="89"/>
      <c r="Q280" s="89"/>
      <c r="R280" s="89"/>
      <c r="S280" s="89"/>
      <c r="T280" s="89"/>
      <c r="U280" s="89"/>
      <c r="V280" s="89"/>
      <c r="W280" s="89"/>
      <c r="X280" s="89"/>
      <c r="Y280" s="89"/>
      <c r="Z280" s="89"/>
      <c r="AA280" s="89"/>
      <c r="AB280" s="89"/>
      <c r="AC280" s="89"/>
      <c r="AD280" s="89"/>
    </row>
    <row r="281">
      <c r="A281" s="89"/>
      <c r="B281" s="89"/>
      <c r="C281" s="140"/>
      <c r="D281" s="89"/>
      <c r="E281" s="89"/>
      <c r="F281" s="89"/>
      <c r="G281" s="89"/>
      <c r="H281" s="89"/>
      <c r="I281" s="89"/>
      <c r="J281" s="89"/>
      <c r="K281" s="89"/>
      <c r="L281" s="89"/>
      <c r="M281" s="89"/>
      <c r="N281" s="89"/>
      <c r="O281" s="89"/>
      <c r="P281" s="89"/>
      <c r="Q281" s="89"/>
      <c r="R281" s="89"/>
      <c r="S281" s="89"/>
      <c r="T281" s="89"/>
      <c r="U281" s="89"/>
      <c r="V281" s="89"/>
      <c r="W281" s="89"/>
      <c r="X281" s="89"/>
      <c r="Y281" s="89"/>
      <c r="Z281" s="89"/>
      <c r="AA281" s="89"/>
      <c r="AB281" s="89"/>
      <c r="AC281" s="89"/>
      <c r="AD281" s="89"/>
    </row>
    <row r="282">
      <c r="A282" s="89"/>
      <c r="B282" s="89"/>
      <c r="C282" s="140"/>
      <c r="D282" s="89"/>
      <c r="E282" s="89"/>
      <c r="F282" s="89"/>
      <c r="G282" s="89"/>
      <c r="H282" s="89"/>
      <c r="I282" s="89"/>
      <c r="J282" s="89"/>
      <c r="K282" s="89"/>
      <c r="L282" s="89"/>
      <c r="M282" s="89"/>
      <c r="N282" s="89"/>
      <c r="O282" s="89"/>
      <c r="P282" s="89"/>
      <c r="Q282" s="89"/>
      <c r="R282" s="89"/>
      <c r="S282" s="89"/>
      <c r="T282" s="89"/>
      <c r="U282" s="89"/>
      <c r="V282" s="89"/>
      <c r="W282" s="89"/>
      <c r="X282" s="89"/>
      <c r="Y282" s="89"/>
      <c r="Z282" s="89"/>
      <c r="AA282" s="89"/>
      <c r="AB282" s="89"/>
      <c r="AC282" s="89"/>
      <c r="AD282" s="89"/>
    </row>
    <row r="283">
      <c r="A283" s="89"/>
      <c r="B283" s="89"/>
      <c r="C283" s="140"/>
      <c r="D283" s="89"/>
      <c r="E283" s="89"/>
      <c r="F283" s="89"/>
      <c r="G283" s="89"/>
      <c r="H283" s="89"/>
      <c r="I283" s="89"/>
      <c r="J283" s="89"/>
      <c r="K283" s="89"/>
      <c r="L283" s="89"/>
      <c r="M283" s="89"/>
      <c r="N283" s="89"/>
      <c r="O283" s="89"/>
      <c r="P283" s="89"/>
      <c r="Q283" s="89"/>
      <c r="R283" s="89"/>
      <c r="S283" s="89"/>
      <c r="T283" s="89"/>
      <c r="U283" s="89"/>
      <c r="V283" s="89"/>
      <c r="W283" s="89"/>
      <c r="X283" s="89"/>
      <c r="Y283" s="89"/>
      <c r="Z283" s="89"/>
      <c r="AA283" s="89"/>
      <c r="AB283" s="89"/>
      <c r="AC283" s="89"/>
      <c r="AD283" s="89"/>
    </row>
    <row r="284">
      <c r="A284" s="89"/>
      <c r="B284" s="89"/>
      <c r="C284" s="140"/>
      <c r="D284" s="89"/>
      <c r="E284" s="89"/>
      <c r="F284" s="89"/>
      <c r="G284" s="89"/>
      <c r="H284" s="89"/>
      <c r="I284" s="89"/>
      <c r="J284" s="89"/>
      <c r="K284" s="89"/>
      <c r="L284" s="89"/>
      <c r="M284" s="89"/>
      <c r="N284" s="89"/>
      <c r="O284" s="89"/>
      <c r="P284" s="89"/>
      <c r="Q284" s="89"/>
      <c r="R284" s="89"/>
      <c r="S284" s="89"/>
      <c r="T284" s="89"/>
      <c r="U284" s="89"/>
      <c r="V284" s="89"/>
      <c r="W284" s="89"/>
      <c r="X284" s="89"/>
      <c r="Y284" s="89"/>
      <c r="Z284" s="89"/>
      <c r="AA284" s="89"/>
      <c r="AB284" s="89"/>
      <c r="AC284" s="89"/>
      <c r="AD284" s="89"/>
    </row>
    <row r="285">
      <c r="A285" s="89"/>
      <c r="B285" s="89"/>
      <c r="C285" s="140"/>
      <c r="D285" s="89"/>
      <c r="E285" s="89"/>
      <c r="F285" s="89"/>
      <c r="G285" s="89"/>
      <c r="H285" s="89"/>
      <c r="I285" s="89"/>
      <c r="J285" s="89"/>
      <c r="K285" s="89"/>
      <c r="L285" s="89"/>
      <c r="M285" s="89"/>
      <c r="N285" s="89"/>
      <c r="O285" s="89"/>
      <c r="P285" s="89"/>
      <c r="Q285" s="89"/>
      <c r="R285" s="89"/>
      <c r="S285" s="89"/>
      <c r="T285" s="89"/>
      <c r="U285" s="89"/>
      <c r="V285" s="89"/>
      <c r="W285" s="89"/>
      <c r="X285" s="89"/>
      <c r="Y285" s="89"/>
      <c r="Z285" s="89"/>
      <c r="AA285" s="89"/>
      <c r="AB285" s="89"/>
      <c r="AC285" s="89"/>
      <c r="AD285" s="89"/>
    </row>
    <row r="286">
      <c r="A286" s="89"/>
      <c r="B286" s="89"/>
      <c r="C286" s="140"/>
      <c r="D286" s="89"/>
      <c r="E286" s="89"/>
      <c r="F286" s="89"/>
      <c r="G286" s="89"/>
      <c r="H286" s="89"/>
      <c r="I286" s="89"/>
      <c r="J286" s="89"/>
      <c r="K286" s="89"/>
      <c r="L286" s="89"/>
      <c r="M286" s="89"/>
      <c r="N286" s="89"/>
      <c r="O286" s="89"/>
      <c r="P286" s="89"/>
      <c r="Q286" s="89"/>
      <c r="R286" s="89"/>
      <c r="S286" s="89"/>
      <c r="T286" s="89"/>
      <c r="U286" s="89"/>
      <c r="V286" s="89"/>
      <c r="W286" s="89"/>
      <c r="X286" s="89"/>
      <c r="Y286" s="89"/>
      <c r="Z286" s="89"/>
      <c r="AA286" s="89"/>
      <c r="AB286" s="89"/>
      <c r="AC286" s="89"/>
      <c r="AD286" s="89"/>
    </row>
    <row r="287">
      <c r="A287" s="89"/>
      <c r="B287" s="89"/>
      <c r="C287" s="140"/>
      <c r="D287" s="89"/>
      <c r="E287" s="89"/>
      <c r="F287" s="89"/>
      <c r="G287" s="89"/>
      <c r="H287" s="89"/>
      <c r="I287" s="89"/>
      <c r="J287" s="89"/>
      <c r="K287" s="89"/>
      <c r="L287" s="89"/>
      <c r="M287" s="89"/>
      <c r="N287" s="89"/>
      <c r="O287" s="89"/>
      <c r="P287" s="89"/>
      <c r="Q287" s="89"/>
      <c r="R287" s="89"/>
      <c r="S287" s="89"/>
      <c r="T287" s="89"/>
      <c r="U287" s="89"/>
      <c r="V287" s="89"/>
      <c r="W287" s="89"/>
      <c r="X287" s="89"/>
      <c r="Y287" s="89"/>
      <c r="Z287" s="89"/>
      <c r="AA287" s="89"/>
      <c r="AB287" s="89"/>
      <c r="AC287" s="89"/>
      <c r="AD287" s="89"/>
    </row>
    <row r="288">
      <c r="A288" s="89"/>
      <c r="B288" s="89"/>
      <c r="C288" s="140"/>
      <c r="D288" s="89"/>
      <c r="E288" s="89"/>
      <c r="F288" s="89"/>
      <c r="G288" s="89"/>
      <c r="H288" s="89"/>
      <c r="I288" s="89"/>
      <c r="J288" s="89"/>
      <c r="K288" s="89"/>
      <c r="L288" s="89"/>
      <c r="M288" s="89"/>
      <c r="N288" s="89"/>
      <c r="O288" s="89"/>
      <c r="P288" s="89"/>
      <c r="Q288" s="89"/>
      <c r="R288" s="89"/>
      <c r="S288" s="89"/>
      <c r="T288" s="89"/>
      <c r="U288" s="89"/>
      <c r="V288" s="89"/>
      <c r="W288" s="89"/>
      <c r="X288" s="89"/>
      <c r="Y288" s="89"/>
      <c r="Z288" s="89"/>
      <c r="AA288" s="89"/>
      <c r="AB288" s="89"/>
      <c r="AC288" s="89"/>
      <c r="AD288" s="89"/>
    </row>
    <row r="289">
      <c r="A289" s="89"/>
      <c r="B289" s="89"/>
      <c r="C289" s="140"/>
      <c r="D289" s="89"/>
      <c r="E289" s="89"/>
      <c r="F289" s="89"/>
      <c r="G289" s="89"/>
      <c r="H289" s="89"/>
      <c r="I289" s="89"/>
      <c r="J289" s="89"/>
      <c r="K289" s="89"/>
      <c r="L289" s="89"/>
      <c r="M289" s="89"/>
      <c r="N289" s="89"/>
      <c r="O289" s="89"/>
      <c r="P289" s="89"/>
      <c r="Q289" s="89"/>
      <c r="R289" s="89"/>
      <c r="S289" s="89"/>
      <c r="T289" s="89"/>
      <c r="U289" s="89"/>
      <c r="V289" s="89"/>
      <c r="W289" s="89"/>
      <c r="X289" s="89"/>
      <c r="Y289" s="89"/>
      <c r="Z289" s="89"/>
      <c r="AA289" s="89"/>
      <c r="AB289" s="89"/>
      <c r="AC289" s="89"/>
      <c r="AD289" s="89"/>
    </row>
    <row r="290">
      <c r="A290" s="89"/>
      <c r="B290" s="89"/>
      <c r="C290" s="140"/>
      <c r="D290" s="89"/>
      <c r="E290" s="89"/>
      <c r="F290" s="89"/>
      <c r="G290" s="89"/>
      <c r="H290" s="89"/>
      <c r="I290" s="89"/>
      <c r="J290" s="89"/>
      <c r="K290" s="89"/>
      <c r="L290" s="89"/>
      <c r="M290" s="89"/>
      <c r="N290" s="89"/>
      <c r="O290" s="89"/>
      <c r="P290" s="89"/>
      <c r="Q290" s="89"/>
      <c r="R290" s="89"/>
      <c r="S290" s="89"/>
      <c r="T290" s="89"/>
      <c r="U290" s="89"/>
      <c r="V290" s="89"/>
      <c r="W290" s="89"/>
      <c r="X290" s="89"/>
      <c r="Y290" s="89"/>
      <c r="Z290" s="89"/>
      <c r="AA290" s="89"/>
      <c r="AB290" s="89"/>
      <c r="AC290" s="89"/>
      <c r="AD290" s="89"/>
    </row>
    <row r="291">
      <c r="A291" s="89"/>
      <c r="B291" s="89"/>
      <c r="C291" s="140"/>
      <c r="D291" s="89"/>
      <c r="E291" s="89"/>
      <c r="F291" s="89"/>
      <c r="G291" s="89"/>
      <c r="H291" s="89"/>
      <c r="I291" s="89"/>
      <c r="J291" s="89"/>
      <c r="K291" s="89"/>
      <c r="L291" s="89"/>
      <c r="M291" s="89"/>
      <c r="N291" s="89"/>
      <c r="O291" s="89"/>
      <c r="P291" s="89"/>
      <c r="Q291" s="89"/>
      <c r="R291" s="89"/>
      <c r="S291" s="89"/>
      <c r="T291" s="89"/>
      <c r="U291" s="89"/>
      <c r="V291" s="89"/>
      <c r="W291" s="89"/>
      <c r="X291" s="89"/>
      <c r="Y291" s="89"/>
      <c r="Z291" s="89"/>
      <c r="AA291" s="89"/>
      <c r="AB291" s="89"/>
      <c r="AC291" s="89"/>
      <c r="AD291" s="89"/>
    </row>
    <row r="292">
      <c r="A292" s="89"/>
      <c r="B292" s="89"/>
      <c r="C292" s="140"/>
      <c r="D292" s="89"/>
      <c r="E292" s="89"/>
      <c r="F292" s="89"/>
      <c r="G292" s="89"/>
      <c r="H292" s="89"/>
      <c r="I292" s="89"/>
      <c r="J292" s="89"/>
      <c r="K292" s="89"/>
      <c r="L292" s="89"/>
      <c r="M292" s="89"/>
      <c r="N292" s="89"/>
      <c r="O292" s="89"/>
      <c r="P292" s="89"/>
      <c r="Q292" s="89"/>
      <c r="R292" s="89"/>
      <c r="S292" s="89"/>
      <c r="T292" s="89"/>
      <c r="U292" s="89"/>
      <c r="V292" s="89"/>
      <c r="W292" s="89"/>
      <c r="X292" s="89"/>
      <c r="Y292" s="89"/>
      <c r="Z292" s="89"/>
      <c r="AA292" s="89"/>
      <c r="AB292" s="89"/>
      <c r="AC292" s="89"/>
      <c r="AD292" s="89"/>
    </row>
    <row r="293">
      <c r="A293" s="89"/>
      <c r="B293" s="89"/>
      <c r="C293" s="140"/>
      <c r="D293" s="89"/>
      <c r="E293" s="89"/>
      <c r="F293" s="89"/>
      <c r="G293" s="89"/>
      <c r="H293" s="89"/>
      <c r="I293" s="89"/>
      <c r="J293" s="89"/>
      <c r="K293" s="89"/>
      <c r="L293" s="89"/>
      <c r="M293" s="89"/>
      <c r="N293" s="89"/>
      <c r="O293" s="89"/>
      <c r="P293" s="89"/>
      <c r="Q293" s="89"/>
      <c r="R293" s="89"/>
      <c r="S293" s="89"/>
      <c r="T293" s="89"/>
      <c r="U293" s="89"/>
      <c r="V293" s="89"/>
      <c r="W293" s="89"/>
      <c r="X293" s="89"/>
      <c r="Y293" s="89"/>
      <c r="Z293" s="89"/>
      <c r="AA293" s="89"/>
      <c r="AB293" s="89"/>
      <c r="AC293" s="89"/>
      <c r="AD293" s="89"/>
    </row>
    <row r="294">
      <c r="A294" s="89"/>
      <c r="B294" s="89"/>
      <c r="C294" s="140"/>
      <c r="D294" s="89"/>
      <c r="E294" s="89"/>
      <c r="F294" s="89"/>
      <c r="G294" s="89"/>
      <c r="H294" s="89"/>
      <c r="I294" s="89"/>
      <c r="J294" s="89"/>
      <c r="K294" s="89"/>
      <c r="L294" s="89"/>
      <c r="M294" s="89"/>
      <c r="N294" s="89"/>
      <c r="O294" s="89"/>
      <c r="P294" s="89"/>
      <c r="Q294" s="89"/>
      <c r="R294" s="89"/>
      <c r="S294" s="89"/>
      <c r="T294" s="89"/>
      <c r="U294" s="89"/>
      <c r="V294" s="89"/>
      <c r="W294" s="89"/>
      <c r="X294" s="89"/>
      <c r="Y294" s="89"/>
      <c r="Z294" s="89"/>
      <c r="AA294" s="89"/>
      <c r="AB294" s="89"/>
      <c r="AC294" s="89"/>
      <c r="AD294" s="89"/>
    </row>
    <row r="295">
      <c r="A295" s="89"/>
      <c r="B295" s="89"/>
      <c r="C295" s="140"/>
      <c r="D295" s="89"/>
      <c r="E295" s="89"/>
      <c r="F295" s="89"/>
      <c r="G295" s="89"/>
      <c r="H295" s="89"/>
      <c r="I295" s="89"/>
      <c r="J295" s="89"/>
      <c r="K295" s="89"/>
      <c r="L295" s="89"/>
      <c r="M295" s="89"/>
      <c r="N295" s="89"/>
      <c r="O295" s="89"/>
      <c r="P295" s="89"/>
      <c r="Q295" s="89"/>
      <c r="R295" s="89"/>
      <c r="S295" s="89"/>
      <c r="T295" s="89"/>
      <c r="U295" s="89"/>
      <c r="V295" s="89"/>
      <c r="W295" s="89"/>
      <c r="X295" s="89"/>
      <c r="Y295" s="89"/>
      <c r="Z295" s="89"/>
      <c r="AA295" s="89"/>
      <c r="AB295" s="89"/>
      <c r="AC295" s="89"/>
      <c r="AD295" s="89"/>
    </row>
    <row r="296">
      <c r="A296" s="89"/>
      <c r="B296" s="89"/>
      <c r="C296" s="140"/>
      <c r="D296" s="89"/>
      <c r="E296" s="89"/>
      <c r="F296" s="89"/>
      <c r="G296" s="89"/>
      <c r="H296" s="89"/>
      <c r="I296" s="89"/>
      <c r="J296" s="89"/>
      <c r="K296" s="89"/>
      <c r="L296" s="89"/>
      <c r="M296" s="89"/>
      <c r="N296" s="89"/>
      <c r="O296" s="89"/>
      <c r="P296" s="89"/>
      <c r="Q296" s="89"/>
      <c r="R296" s="89"/>
      <c r="S296" s="89"/>
      <c r="T296" s="89"/>
      <c r="U296" s="89"/>
      <c r="V296" s="89"/>
      <c r="W296" s="89"/>
      <c r="X296" s="89"/>
      <c r="Y296" s="89"/>
      <c r="Z296" s="89"/>
      <c r="AA296" s="89"/>
      <c r="AB296" s="89"/>
      <c r="AC296" s="89"/>
      <c r="AD296" s="89"/>
    </row>
    <row r="297">
      <c r="A297" s="89"/>
      <c r="B297" s="89"/>
      <c r="C297" s="140"/>
      <c r="D297" s="89"/>
      <c r="E297" s="89"/>
      <c r="F297" s="89"/>
      <c r="G297" s="89"/>
      <c r="H297" s="89"/>
      <c r="I297" s="89"/>
      <c r="J297" s="89"/>
      <c r="K297" s="89"/>
      <c r="L297" s="89"/>
      <c r="M297" s="89"/>
      <c r="N297" s="89"/>
      <c r="O297" s="89"/>
      <c r="P297" s="89"/>
      <c r="Q297" s="89"/>
      <c r="R297" s="89"/>
      <c r="S297" s="89"/>
      <c r="T297" s="89"/>
      <c r="U297" s="89"/>
      <c r="V297" s="89"/>
      <c r="W297" s="89"/>
      <c r="X297" s="89"/>
      <c r="Y297" s="89"/>
      <c r="Z297" s="89"/>
      <c r="AA297" s="89"/>
      <c r="AB297" s="89"/>
      <c r="AC297" s="89"/>
      <c r="AD297" s="89"/>
    </row>
    <row r="298">
      <c r="A298" s="89"/>
      <c r="B298" s="89"/>
      <c r="C298" s="140"/>
      <c r="D298" s="89"/>
      <c r="E298" s="89"/>
      <c r="F298" s="89"/>
      <c r="G298" s="89"/>
      <c r="H298" s="89"/>
      <c r="I298" s="89"/>
      <c r="J298" s="89"/>
      <c r="K298" s="89"/>
      <c r="L298" s="89"/>
      <c r="M298" s="89"/>
      <c r="N298" s="89"/>
      <c r="O298" s="89"/>
      <c r="P298" s="89"/>
      <c r="Q298" s="89"/>
      <c r="R298" s="89"/>
      <c r="S298" s="89"/>
      <c r="T298" s="89"/>
      <c r="U298" s="89"/>
      <c r="V298" s="89"/>
      <c r="W298" s="89"/>
      <c r="X298" s="89"/>
      <c r="Y298" s="89"/>
      <c r="Z298" s="89"/>
      <c r="AA298" s="89"/>
      <c r="AB298" s="89"/>
      <c r="AC298" s="89"/>
      <c r="AD298" s="89"/>
    </row>
    <row r="299">
      <c r="A299" s="89"/>
      <c r="B299" s="89"/>
      <c r="C299" s="140"/>
      <c r="D299" s="89"/>
      <c r="E299" s="89"/>
      <c r="F299" s="89"/>
      <c r="G299" s="89"/>
      <c r="H299" s="89"/>
      <c r="I299" s="89"/>
      <c r="J299" s="89"/>
      <c r="K299" s="89"/>
      <c r="L299" s="89"/>
      <c r="M299" s="89"/>
      <c r="N299" s="89"/>
      <c r="O299" s="89"/>
      <c r="P299" s="89"/>
      <c r="Q299" s="89"/>
      <c r="R299" s="89"/>
      <c r="S299" s="89"/>
      <c r="T299" s="89"/>
      <c r="U299" s="89"/>
      <c r="V299" s="89"/>
      <c r="W299" s="89"/>
      <c r="X299" s="89"/>
      <c r="Y299" s="89"/>
      <c r="Z299" s="89"/>
      <c r="AA299" s="89"/>
      <c r="AB299" s="89"/>
      <c r="AC299" s="89"/>
      <c r="AD299" s="89"/>
    </row>
    <row r="300">
      <c r="A300" s="89"/>
      <c r="B300" s="89"/>
      <c r="C300" s="140"/>
      <c r="D300" s="89"/>
      <c r="E300" s="89"/>
      <c r="F300" s="89"/>
      <c r="G300" s="89"/>
      <c r="H300" s="89"/>
      <c r="I300" s="89"/>
      <c r="J300" s="89"/>
      <c r="K300" s="89"/>
      <c r="L300" s="89"/>
      <c r="M300" s="89"/>
      <c r="N300" s="89"/>
      <c r="O300" s="89"/>
      <c r="P300" s="89"/>
      <c r="Q300" s="89"/>
      <c r="R300" s="89"/>
      <c r="S300" s="89"/>
      <c r="T300" s="89"/>
      <c r="U300" s="89"/>
      <c r="V300" s="89"/>
      <c r="W300" s="89"/>
      <c r="X300" s="89"/>
      <c r="Y300" s="89"/>
      <c r="Z300" s="89"/>
      <c r="AA300" s="89"/>
      <c r="AB300" s="89"/>
      <c r="AC300" s="89"/>
      <c r="AD300" s="89"/>
    </row>
    <row r="301">
      <c r="A301" s="89"/>
      <c r="B301" s="89"/>
      <c r="C301" s="140"/>
      <c r="D301" s="89"/>
      <c r="E301" s="89"/>
      <c r="F301" s="89"/>
      <c r="G301" s="89"/>
      <c r="H301" s="89"/>
      <c r="I301" s="89"/>
      <c r="J301" s="89"/>
      <c r="K301" s="89"/>
      <c r="L301" s="89"/>
      <c r="M301" s="89"/>
      <c r="N301" s="89"/>
      <c r="O301" s="89"/>
      <c r="P301" s="89"/>
      <c r="Q301" s="89"/>
      <c r="R301" s="89"/>
      <c r="S301" s="89"/>
      <c r="T301" s="89"/>
      <c r="U301" s="89"/>
      <c r="V301" s="89"/>
      <c r="W301" s="89"/>
      <c r="X301" s="89"/>
      <c r="Y301" s="89"/>
      <c r="Z301" s="89"/>
      <c r="AA301" s="89"/>
      <c r="AB301" s="89"/>
      <c r="AC301" s="89"/>
      <c r="AD301" s="89"/>
    </row>
    <row r="302">
      <c r="A302" s="89"/>
      <c r="B302" s="89"/>
      <c r="C302" s="140"/>
      <c r="D302" s="89"/>
      <c r="E302" s="89"/>
      <c r="F302" s="89"/>
      <c r="G302" s="89"/>
      <c r="H302" s="89"/>
      <c r="I302" s="89"/>
      <c r="J302" s="89"/>
      <c r="K302" s="89"/>
      <c r="L302" s="89"/>
      <c r="M302" s="89"/>
      <c r="N302" s="89"/>
      <c r="O302" s="89"/>
      <c r="P302" s="89"/>
      <c r="Q302" s="89"/>
      <c r="R302" s="89"/>
      <c r="S302" s="89"/>
      <c r="T302" s="89"/>
      <c r="U302" s="89"/>
      <c r="V302" s="89"/>
      <c r="W302" s="89"/>
      <c r="X302" s="89"/>
      <c r="Y302" s="89"/>
      <c r="Z302" s="89"/>
      <c r="AA302" s="89"/>
      <c r="AB302" s="89"/>
      <c r="AC302" s="89"/>
      <c r="AD302" s="89"/>
    </row>
    <row r="303">
      <c r="A303" s="89"/>
      <c r="B303" s="89"/>
      <c r="C303" s="140"/>
      <c r="D303" s="89"/>
      <c r="E303" s="89"/>
      <c r="F303" s="89"/>
      <c r="G303" s="89"/>
      <c r="H303" s="89"/>
      <c r="I303" s="89"/>
      <c r="J303" s="89"/>
      <c r="K303" s="89"/>
      <c r="L303" s="89"/>
      <c r="M303" s="89"/>
      <c r="N303" s="89"/>
      <c r="O303" s="89"/>
      <c r="P303" s="89"/>
      <c r="Q303" s="89"/>
      <c r="R303" s="89"/>
      <c r="S303" s="89"/>
      <c r="T303" s="89"/>
      <c r="U303" s="89"/>
      <c r="V303" s="89"/>
      <c r="W303" s="89"/>
      <c r="X303" s="89"/>
      <c r="Y303" s="89"/>
      <c r="Z303" s="89"/>
      <c r="AA303" s="89"/>
      <c r="AB303" s="89"/>
      <c r="AC303" s="89"/>
      <c r="AD303" s="89"/>
    </row>
    <row r="304">
      <c r="A304" s="89"/>
      <c r="B304" s="89"/>
      <c r="C304" s="140"/>
      <c r="D304" s="89"/>
      <c r="E304" s="89"/>
      <c r="F304" s="89"/>
      <c r="G304" s="89"/>
      <c r="H304" s="89"/>
      <c r="I304" s="89"/>
      <c r="J304" s="89"/>
      <c r="K304" s="89"/>
      <c r="L304" s="89"/>
      <c r="M304" s="89"/>
      <c r="N304" s="89"/>
      <c r="O304" s="89"/>
      <c r="P304" s="89"/>
      <c r="Q304" s="89"/>
      <c r="R304" s="89"/>
      <c r="S304" s="89"/>
      <c r="T304" s="89"/>
      <c r="U304" s="89"/>
      <c r="V304" s="89"/>
      <c r="W304" s="89"/>
      <c r="X304" s="89"/>
      <c r="Y304" s="89"/>
      <c r="Z304" s="89"/>
      <c r="AA304" s="89"/>
      <c r="AB304" s="89"/>
      <c r="AC304" s="89"/>
      <c r="AD304" s="89"/>
    </row>
    <row r="305">
      <c r="A305" s="89"/>
      <c r="B305" s="89"/>
      <c r="C305" s="140"/>
      <c r="D305" s="89"/>
      <c r="E305" s="89"/>
      <c r="F305" s="89"/>
      <c r="G305" s="89"/>
      <c r="H305" s="89"/>
      <c r="I305" s="89"/>
      <c r="J305" s="89"/>
      <c r="K305" s="89"/>
      <c r="L305" s="89"/>
      <c r="M305" s="89"/>
      <c r="N305" s="89"/>
      <c r="O305" s="89"/>
      <c r="P305" s="89"/>
      <c r="Q305" s="89"/>
      <c r="R305" s="89"/>
      <c r="S305" s="89"/>
      <c r="T305" s="89"/>
      <c r="U305" s="89"/>
      <c r="V305" s="89"/>
      <c r="W305" s="89"/>
      <c r="X305" s="89"/>
      <c r="Y305" s="89"/>
      <c r="Z305" s="89"/>
      <c r="AA305" s="89"/>
      <c r="AB305" s="89"/>
      <c r="AC305" s="89"/>
      <c r="AD305" s="89"/>
    </row>
    <row r="306">
      <c r="A306" s="89"/>
      <c r="B306" s="89"/>
      <c r="C306" s="140"/>
      <c r="D306" s="89"/>
      <c r="E306" s="89"/>
      <c r="F306" s="89"/>
      <c r="G306" s="89"/>
      <c r="H306" s="89"/>
      <c r="I306" s="89"/>
      <c r="J306" s="89"/>
      <c r="K306" s="89"/>
      <c r="L306" s="89"/>
      <c r="M306" s="89"/>
      <c r="N306" s="89"/>
      <c r="O306" s="89"/>
      <c r="P306" s="89"/>
      <c r="Q306" s="89"/>
      <c r="R306" s="89"/>
      <c r="S306" s="89"/>
      <c r="T306" s="89"/>
      <c r="U306" s="89"/>
      <c r="V306" s="89"/>
      <c r="W306" s="89"/>
      <c r="X306" s="89"/>
      <c r="Y306" s="89"/>
      <c r="Z306" s="89"/>
      <c r="AA306" s="89"/>
      <c r="AB306" s="89"/>
      <c r="AC306" s="89"/>
      <c r="AD306" s="89"/>
    </row>
    <row r="307">
      <c r="A307" s="89"/>
      <c r="B307" s="89"/>
      <c r="C307" s="140"/>
      <c r="D307" s="89"/>
      <c r="E307" s="89"/>
      <c r="F307" s="89"/>
      <c r="G307" s="89"/>
      <c r="H307" s="89"/>
      <c r="I307" s="89"/>
      <c r="J307" s="89"/>
      <c r="K307" s="89"/>
      <c r="L307" s="89"/>
      <c r="M307" s="89"/>
      <c r="N307" s="89"/>
      <c r="O307" s="89"/>
      <c r="P307" s="89"/>
      <c r="Q307" s="89"/>
      <c r="R307" s="89"/>
      <c r="S307" s="89"/>
      <c r="T307" s="89"/>
      <c r="U307" s="89"/>
      <c r="V307" s="89"/>
      <c r="W307" s="89"/>
      <c r="X307" s="89"/>
      <c r="Y307" s="89"/>
      <c r="Z307" s="89"/>
      <c r="AA307" s="89"/>
      <c r="AB307" s="89"/>
      <c r="AC307" s="89"/>
      <c r="AD307" s="89"/>
    </row>
    <row r="308">
      <c r="A308" s="89"/>
      <c r="B308" s="89"/>
      <c r="C308" s="140"/>
      <c r="D308" s="89"/>
      <c r="E308" s="89"/>
      <c r="F308" s="89"/>
      <c r="G308" s="89"/>
      <c r="H308" s="89"/>
      <c r="I308" s="89"/>
      <c r="J308" s="89"/>
      <c r="K308" s="89"/>
      <c r="L308" s="89"/>
      <c r="M308" s="89"/>
      <c r="N308" s="89"/>
      <c r="O308" s="89"/>
      <c r="P308" s="89"/>
      <c r="Q308" s="89"/>
      <c r="R308" s="89"/>
      <c r="S308" s="89"/>
      <c r="T308" s="89"/>
      <c r="U308" s="89"/>
      <c r="V308" s="89"/>
      <c r="W308" s="89"/>
      <c r="X308" s="89"/>
      <c r="Y308" s="89"/>
      <c r="Z308" s="89"/>
      <c r="AA308" s="89"/>
      <c r="AB308" s="89"/>
      <c r="AC308" s="89"/>
      <c r="AD308" s="89"/>
    </row>
    <row r="309">
      <c r="A309" s="89"/>
      <c r="B309" s="89"/>
      <c r="C309" s="140"/>
      <c r="D309" s="89"/>
      <c r="E309" s="89"/>
      <c r="F309" s="89"/>
      <c r="G309" s="89"/>
      <c r="H309" s="89"/>
      <c r="I309" s="89"/>
      <c r="J309" s="89"/>
      <c r="K309" s="89"/>
      <c r="L309" s="89"/>
      <c r="M309" s="89"/>
      <c r="N309" s="89"/>
      <c r="O309" s="89"/>
      <c r="P309" s="89"/>
      <c r="Q309" s="89"/>
      <c r="R309" s="89"/>
      <c r="S309" s="89"/>
      <c r="T309" s="89"/>
      <c r="U309" s="89"/>
      <c r="V309" s="89"/>
      <c r="W309" s="89"/>
      <c r="X309" s="89"/>
      <c r="Y309" s="89"/>
      <c r="Z309" s="89"/>
      <c r="AA309" s="89"/>
      <c r="AB309" s="89"/>
      <c r="AC309" s="89"/>
      <c r="AD309" s="89"/>
    </row>
    <row r="310">
      <c r="A310" s="89"/>
      <c r="B310" s="89"/>
      <c r="C310" s="140"/>
      <c r="D310" s="89"/>
      <c r="E310" s="89"/>
      <c r="F310" s="89"/>
      <c r="G310" s="89"/>
      <c r="H310" s="89"/>
      <c r="I310" s="89"/>
      <c r="J310" s="89"/>
      <c r="K310" s="89"/>
      <c r="L310" s="89"/>
      <c r="M310" s="89"/>
      <c r="N310" s="89"/>
      <c r="O310" s="89"/>
      <c r="P310" s="89"/>
      <c r="Q310" s="89"/>
      <c r="R310" s="89"/>
      <c r="S310" s="89"/>
      <c r="T310" s="89"/>
      <c r="U310" s="89"/>
      <c r="V310" s="89"/>
      <c r="W310" s="89"/>
      <c r="X310" s="89"/>
      <c r="Y310" s="89"/>
      <c r="Z310" s="89"/>
      <c r="AA310" s="89"/>
      <c r="AB310" s="89"/>
      <c r="AC310" s="89"/>
      <c r="AD310" s="89"/>
    </row>
    <row r="311">
      <c r="A311" s="89"/>
      <c r="B311" s="89"/>
      <c r="C311" s="140"/>
      <c r="D311" s="89"/>
      <c r="E311" s="89"/>
      <c r="F311" s="89"/>
      <c r="G311" s="89"/>
      <c r="H311" s="89"/>
      <c r="I311" s="89"/>
      <c r="J311" s="89"/>
      <c r="K311" s="89"/>
      <c r="L311" s="89"/>
      <c r="M311" s="89"/>
      <c r="N311" s="89"/>
      <c r="O311" s="89"/>
      <c r="P311" s="89"/>
      <c r="Q311" s="89"/>
      <c r="R311" s="89"/>
      <c r="S311" s="89"/>
      <c r="T311" s="89"/>
      <c r="U311" s="89"/>
      <c r="V311" s="89"/>
      <c r="W311" s="89"/>
      <c r="X311" s="89"/>
      <c r="Y311" s="89"/>
      <c r="Z311" s="89"/>
      <c r="AA311" s="89"/>
      <c r="AB311" s="89"/>
      <c r="AC311" s="89"/>
      <c r="AD311" s="89"/>
    </row>
    <row r="312">
      <c r="A312" s="89"/>
      <c r="B312" s="89"/>
      <c r="C312" s="140"/>
      <c r="D312" s="89"/>
      <c r="E312" s="89"/>
      <c r="F312" s="89"/>
      <c r="G312" s="89"/>
      <c r="H312" s="89"/>
      <c r="I312" s="89"/>
      <c r="J312" s="89"/>
      <c r="K312" s="89"/>
      <c r="L312" s="89"/>
      <c r="M312" s="89"/>
      <c r="N312" s="89"/>
      <c r="O312" s="89"/>
      <c r="P312" s="89"/>
      <c r="Q312" s="89"/>
      <c r="R312" s="89"/>
      <c r="S312" s="89"/>
      <c r="T312" s="89"/>
      <c r="U312" s="89"/>
      <c r="V312" s="89"/>
      <c r="W312" s="89"/>
      <c r="X312" s="89"/>
      <c r="Y312" s="89"/>
      <c r="Z312" s="89"/>
      <c r="AA312" s="89"/>
      <c r="AB312" s="89"/>
      <c r="AC312" s="89"/>
      <c r="AD312" s="89"/>
    </row>
    <row r="313">
      <c r="A313" s="89"/>
      <c r="B313" s="89"/>
      <c r="C313" s="140"/>
      <c r="D313" s="89"/>
      <c r="E313" s="89"/>
      <c r="F313" s="89"/>
      <c r="G313" s="89"/>
      <c r="H313" s="89"/>
      <c r="I313" s="89"/>
      <c r="J313" s="89"/>
      <c r="K313" s="89"/>
      <c r="L313" s="89"/>
      <c r="M313" s="89"/>
      <c r="N313" s="89"/>
      <c r="O313" s="89"/>
      <c r="P313" s="89"/>
      <c r="Q313" s="89"/>
      <c r="R313" s="89"/>
      <c r="S313" s="89"/>
      <c r="T313" s="89"/>
      <c r="U313" s="89"/>
      <c r="V313" s="89"/>
      <c r="W313" s="89"/>
      <c r="X313" s="89"/>
      <c r="Y313" s="89"/>
      <c r="Z313" s="89"/>
      <c r="AA313" s="89"/>
      <c r="AB313" s="89"/>
      <c r="AC313" s="89"/>
      <c r="AD313" s="89"/>
    </row>
    <row r="314">
      <c r="A314" s="89"/>
      <c r="B314" s="89"/>
      <c r="C314" s="140"/>
      <c r="D314" s="89"/>
      <c r="E314" s="89"/>
      <c r="F314" s="89"/>
      <c r="G314" s="89"/>
      <c r="H314" s="89"/>
      <c r="I314" s="89"/>
      <c r="J314" s="89"/>
      <c r="K314" s="89"/>
      <c r="L314" s="89"/>
      <c r="M314" s="89"/>
      <c r="N314" s="89"/>
      <c r="O314" s="89"/>
      <c r="P314" s="89"/>
      <c r="Q314" s="89"/>
      <c r="R314" s="89"/>
      <c r="S314" s="89"/>
      <c r="T314" s="89"/>
      <c r="U314" s="89"/>
      <c r="V314" s="89"/>
      <c r="W314" s="89"/>
      <c r="X314" s="89"/>
      <c r="Y314" s="89"/>
      <c r="Z314" s="89"/>
      <c r="AA314" s="89"/>
      <c r="AB314" s="89"/>
      <c r="AC314" s="89"/>
      <c r="AD314" s="89"/>
    </row>
    <row r="315">
      <c r="A315" s="89"/>
      <c r="B315" s="89"/>
      <c r="C315" s="140"/>
      <c r="D315" s="89"/>
      <c r="E315" s="89"/>
      <c r="F315" s="89"/>
      <c r="G315" s="89"/>
      <c r="H315" s="89"/>
      <c r="I315" s="89"/>
      <c r="J315" s="89"/>
      <c r="K315" s="89"/>
      <c r="L315" s="89"/>
      <c r="M315" s="89"/>
      <c r="N315" s="89"/>
      <c r="O315" s="89"/>
      <c r="P315" s="89"/>
      <c r="Q315" s="89"/>
      <c r="R315" s="89"/>
      <c r="S315" s="89"/>
      <c r="T315" s="89"/>
      <c r="U315" s="89"/>
      <c r="V315" s="89"/>
      <c r="W315" s="89"/>
      <c r="X315" s="89"/>
      <c r="Y315" s="89"/>
      <c r="Z315" s="89"/>
      <c r="AA315" s="89"/>
      <c r="AB315" s="89"/>
      <c r="AC315" s="89"/>
      <c r="AD315" s="89"/>
    </row>
    <row r="316">
      <c r="A316" s="89"/>
      <c r="B316" s="89"/>
      <c r="C316" s="140"/>
      <c r="D316" s="89"/>
      <c r="E316" s="89"/>
      <c r="F316" s="89"/>
      <c r="G316" s="89"/>
      <c r="H316" s="89"/>
      <c r="I316" s="89"/>
      <c r="J316" s="89"/>
      <c r="K316" s="89"/>
      <c r="L316" s="89"/>
      <c r="M316" s="89"/>
      <c r="N316" s="89"/>
      <c r="O316" s="89"/>
      <c r="P316" s="89"/>
      <c r="Q316" s="89"/>
      <c r="R316" s="89"/>
      <c r="S316" s="89"/>
      <c r="T316" s="89"/>
      <c r="U316" s="89"/>
      <c r="V316" s="89"/>
      <c r="W316" s="89"/>
      <c r="X316" s="89"/>
      <c r="Y316" s="89"/>
      <c r="Z316" s="89"/>
      <c r="AA316" s="89"/>
      <c r="AB316" s="89"/>
      <c r="AC316" s="89"/>
      <c r="AD316" s="89"/>
    </row>
    <row r="317">
      <c r="A317" s="89"/>
      <c r="B317" s="89"/>
      <c r="C317" s="140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89"/>
      <c r="W317" s="89"/>
      <c r="X317" s="89"/>
      <c r="Y317" s="89"/>
      <c r="Z317" s="89"/>
      <c r="AA317" s="89"/>
      <c r="AB317" s="89"/>
      <c r="AC317" s="89"/>
      <c r="AD317" s="89"/>
    </row>
    <row r="318">
      <c r="A318" s="89"/>
      <c r="B318" s="89"/>
      <c r="C318" s="140"/>
      <c r="D318" s="89"/>
      <c r="E318" s="89"/>
      <c r="F318" s="89"/>
      <c r="G318" s="89"/>
      <c r="H318" s="89"/>
      <c r="I318" s="89"/>
      <c r="J318" s="89"/>
      <c r="K318" s="89"/>
      <c r="L318" s="89"/>
      <c r="M318" s="89"/>
      <c r="N318" s="89"/>
      <c r="O318" s="89"/>
      <c r="P318" s="89"/>
      <c r="Q318" s="89"/>
      <c r="R318" s="89"/>
      <c r="S318" s="89"/>
      <c r="T318" s="89"/>
      <c r="U318" s="89"/>
      <c r="V318" s="89"/>
      <c r="W318" s="89"/>
      <c r="X318" s="89"/>
      <c r="Y318" s="89"/>
      <c r="Z318" s="89"/>
      <c r="AA318" s="89"/>
      <c r="AB318" s="89"/>
      <c r="AC318" s="89"/>
      <c r="AD318" s="89"/>
    </row>
    <row r="319">
      <c r="A319" s="89"/>
      <c r="B319" s="89"/>
      <c r="C319" s="140"/>
      <c r="D319" s="89"/>
      <c r="E319" s="89"/>
      <c r="F319" s="89"/>
      <c r="G319" s="89"/>
      <c r="H319" s="89"/>
      <c r="I319" s="89"/>
      <c r="J319" s="89"/>
      <c r="K319" s="89"/>
      <c r="L319" s="89"/>
      <c r="M319" s="89"/>
      <c r="N319" s="89"/>
      <c r="O319" s="89"/>
      <c r="P319" s="89"/>
      <c r="Q319" s="89"/>
      <c r="R319" s="89"/>
      <c r="S319" s="89"/>
      <c r="T319" s="89"/>
      <c r="U319" s="89"/>
      <c r="V319" s="89"/>
      <c r="W319" s="89"/>
      <c r="X319" s="89"/>
      <c r="Y319" s="89"/>
      <c r="Z319" s="89"/>
      <c r="AA319" s="89"/>
      <c r="AB319" s="89"/>
      <c r="AC319" s="89"/>
      <c r="AD319" s="89"/>
    </row>
    <row r="320">
      <c r="A320" s="89"/>
      <c r="B320" s="89"/>
      <c r="C320" s="140"/>
      <c r="D320" s="89"/>
      <c r="E320" s="89"/>
      <c r="F320" s="89"/>
      <c r="G320" s="89"/>
      <c r="H320" s="89"/>
      <c r="I320" s="89"/>
      <c r="J320" s="89"/>
      <c r="K320" s="89"/>
      <c r="L320" s="89"/>
      <c r="M320" s="89"/>
      <c r="N320" s="89"/>
      <c r="O320" s="89"/>
      <c r="P320" s="89"/>
      <c r="Q320" s="89"/>
      <c r="R320" s="89"/>
      <c r="S320" s="89"/>
      <c r="T320" s="89"/>
      <c r="U320" s="89"/>
      <c r="V320" s="89"/>
      <c r="W320" s="89"/>
      <c r="X320" s="89"/>
      <c r="Y320" s="89"/>
      <c r="Z320" s="89"/>
      <c r="AA320" s="89"/>
      <c r="AB320" s="89"/>
      <c r="AC320" s="89"/>
      <c r="AD320" s="89"/>
    </row>
    <row r="321">
      <c r="A321" s="89"/>
      <c r="B321" s="89"/>
      <c r="C321" s="140"/>
      <c r="D321" s="89"/>
      <c r="E321" s="89"/>
      <c r="F321" s="89"/>
      <c r="G321" s="89"/>
      <c r="H321" s="89"/>
      <c r="I321" s="89"/>
      <c r="J321" s="89"/>
      <c r="K321" s="89"/>
      <c r="L321" s="89"/>
      <c r="M321" s="89"/>
      <c r="N321" s="89"/>
      <c r="O321" s="89"/>
      <c r="P321" s="89"/>
      <c r="Q321" s="89"/>
      <c r="R321" s="89"/>
      <c r="S321" s="89"/>
      <c r="T321" s="89"/>
      <c r="U321" s="89"/>
      <c r="V321" s="89"/>
      <c r="W321" s="89"/>
      <c r="X321" s="89"/>
      <c r="Y321" s="89"/>
      <c r="Z321" s="89"/>
      <c r="AA321" s="89"/>
      <c r="AB321" s="89"/>
      <c r="AC321" s="89"/>
      <c r="AD321" s="89"/>
    </row>
    <row r="322">
      <c r="A322" s="89"/>
      <c r="B322" s="89"/>
      <c r="C322" s="140"/>
      <c r="D322" s="89"/>
      <c r="E322" s="89"/>
      <c r="F322" s="89"/>
      <c r="G322" s="89"/>
      <c r="H322" s="89"/>
      <c r="I322" s="89"/>
      <c r="J322" s="89"/>
      <c r="K322" s="89"/>
      <c r="L322" s="89"/>
      <c r="M322" s="89"/>
      <c r="N322" s="89"/>
      <c r="O322" s="89"/>
      <c r="P322" s="89"/>
      <c r="Q322" s="89"/>
      <c r="R322" s="89"/>
      <c r="S322" s="89"/>
      <c r="T322" s="89"/>
      <c r="U322" s="89"/>
      <c r="V322" s="89"/>
      <c r="W322" s="89"/>
      <c r="X322" s="89"/>
      <c r="Y322" s="89"/>
      <c r="Z322" s="89"/>
      <c r="AA322" s="89"/>
      <c r="AB322" s="89"/>
      <c r="AC322" s="89"/>
      <c r="AD322" s="89"/>
    </row>
    <row r="323">
      <c r="A323" s="89"/>
      <c r="B323" s="89"/>
      <c r="C323" s="140"/>
      <c r="D323" s="89"/>
      <c r="E323" s="89"/>
      <c r="F323" s="89"/>
      <c r="G323" s="89"/>
      <c r="H323" s="89"/>
      <c r="I323" s="89"/>
      <c r="J323" s="89"/>
      <c r="K323" s="89"/>
      <c r="L323" s="89"/>
      <c r="M323" s="89"/>
      <c r="N323" s="89"/>
      <c r="O323" s="89"/>
      <c r="P323" s="89"/>
      <c r="Q323" s="89"/>
      <c r="R323" s="89"/>
      <c r="S323" s="89"/>
      <c r="T323" s="89"/>
      <c r="U323" s="89"/>
      <c r="V323" s="89"/>
      <c r="W323" s="89"/>
      <c r="X323" s="89"/>
      <c r="Y323" s="89"/>
      <c r="Z323" s="89"/>
      <c r="AA323" s="89"/>
      <c r="AB323" s="89"/>
      <c r="AC323" s="89"/>
      <c r="AD323" s="89"/>
    </row>
    <row r="324">
      <c r="A324" s="89"/>
      <c r="B324" s="89"/>
      <c r="C324" s="140"/>
      <c r="D324" s="89"/>
      <c r="E324" s="89"/>
      <c r="F324" s="89"/>
      <c r="G324" s="89"/>
      <c r="H324" s="89"/>
      <c r="I324" s="89"/>
      <c r="J324" s="89"/>
      <c r="K324" s="89"/>
      <c r="L324" s="89"/>
      <c r="M324" s="89"/>
      <c r="N324" s="89"/>
      <c r="O324" s="89"/>
      <c r="P324" s="89"/>
      <c r="Q324" s="89"/>
      <c r="R324" s="89"/>
      <c r="S324" s="89"/>
      <c r="T324" s="89"/>
      <c r="U324" s="89"/>
      <c r="V324" s="89"/>
      <c r="W324" s="89"/>
      <c r="X324" s="89"/>
      <c r="Y324" s="89"/>
      <c r="Z324" s="89"/>
      <c r="AA324" s="89"/>
      <c r="AB324" s="89"/>
      <c r="AC324" s="89"/>
      <c r="AD324" s="89"/>
    </row>
    <row r="325">
      <c r="A325" s="89"/>
      <c r="B325" s="89"/>
      <c r="C325" s="140"/>
      <c r="D325" s="89"/>
      <c r="E325" s="89"/>
      <c r="F325" s="89"/>
      <c r="G325" s="89"/>
      <c r="H325" s="89"/>
      <c r="I325" s="89"/>
      <c r="J325" s="89"/>
      <c r="K325" s="89"/>
      <c r="L325" s="89"/>
      <c r="M325" s="89"/>
      <c r="N325" s="89"/>
      <c r="O325" s="89"/>
      <c r="P325" s="89"/>
      <c r="Q325" s="89"/>
      <c r="R325" s="89"/>
      <c r="S325" s="89"/>
      <c r="T325" s="89"/>
      <c r="U325" s="89"/>
      <c r="V325" s="89"/>
      <c r="W325" s="89"/>
      <c r="X325" s="89"/>
      <c r="Y325" s="89"/>
      <c r="Z325" s="89"/>
      <c r="AA325" s="89"/>
      <c r="AB325" s="89"/>
      <c r="AC325" s="89"/>
      <c r="AD325" s="89"/>
    </row>
    <row r="326">
      <c r="A326" s="89"/>
      <c r="B326" s="89"/>
      <c r="C326" s="140"/>
      <c r="D326" s="89"/>
      <c r="E326" s="89"/>
      <c r="F326" s="89"/>
      <c r="G326" s="89"/>
      <c r="H326" s="89"/>
      <c r="I326" s="89"/>
      <c r="J326" s="89"/>
      <c r="K326" s="89"/>
      <c r="L326" s="89"/>
      <c r="M326" s="89"/>
      <c r="N326" s="89"/>
      <c r="O326" s="89"/>
      <c r="P326" s="89"/>
      <c r="Q326" s="89"/>
      <c r="R326" s="89"/>
      <c r="S326" s="89"/>
      <c r="T326" s="89"/>
      <c r="U326" s="89"/>
      <c r="V326" s="89"/>
      <c r="W326" s="89"/>
      <c r="X326" s="89"/>
      <c r="Y326" s="89"/>
      <c r="Z326" s="89"/>
      <c r="AA326" s="89"/>
      <c r="AB326" s="89"/>
      <c r="AC326" s="89"/>
      <c r="AD326" s="89"/>
    </row>
    <row r="327">
      <c r="A327" s="89"/>
      <c r="B327" s="89"/>
      <c r="C327" s="140"/>
      <c r="D327" s="89"/>
      <c r="E327" s="89"/>
      <c r="F327" s="89"/>
      <c r="G327" s="89"/>
      <c r="H327" s="89"/>
      <c r="I327" s="89"/>
      <c r="J327" s="89"/>
      <c r="K327" s="89"/>
      <c r="L327" s="89"/>
      <c r="M327" s="89"/>
      <c r="N327" s="89"/>
      <c r="O327" s="89"/>
      <c r="P327" s="89"/>
      <c r="Q327" s="89"/>
      <c r="R327" s="89"/>
      <c r="S327" s="89"/>
      <c r="T327" s="89"/>
      <c r="U327" s="89"/>
      <c r="V327" s="89"/>
      <c r="W327" s="89"/>
      <c r="X327" s="89"/>
      <c r="Y327" s="89"/>
      <c r="Z327" s="89"/>
      <c r="AA327" s="89"/>
      <c r="AB327" s="89"/>
      <c r="AC327" s="89"/>
      <c r="AD327" s="89"/>
    </row>
    <row r="328">
      <c r="A328" s="89"/>
      <c r="B328" s="89"/>
      <c r="C328" s="140"/>
      <c r="D328" s="89"/>
      <c r="E328" s="89"/>
      <c r="F328" s="89"/>
      <c r="G328" s="89"/>
      <c r="H328" s="89"/>
      <c r="I328" s="89"/>
      <c r="J328" s="89"/>
      <c r="K328" s="89"/>
      <c r="L328" s="89"/>
      <c r="M328" s="89"/>
      <c r="N328" s="89"/>
      <c r="O328" s="89"/>
      <c r="P328" s="89"/>
      <c r="Q328" s="89"/>
      <c r="R328" s="89"/>
      <c r="S328" s="89"/>
      <c r="T328" s="89"/>
      <c r="U328" s="89"/>
      <c r="V328" s="89"/>
      <c r="W328" s="89"/>
      <c r="X328" s="89"/>
      <c r="Y328" s="89"/>
      <c r="Z328" s="89"/>
      <c r="AA328" s="89"/>
      <c r="AB328" s="89"/>
      <c r="AC328" s="89"/>
      <c r="AD328" s="89"/>
    </row>
    <row r="329">
      <c r="A329" s="89"/>
      <c r="B329" s="89"/>
      <c r="C329" s="140"/>
      <c r="D329" s="89"/>
      <c r="E329" s="89"/>
      <c r="F329" s="89"/>
      <c r="G329" s="89"/>
      <c r="H329" s="89"/>
      <c r="I329" s="89"/>
      <c r="J329" s="89"/>
      <c r="K329" s="89"/>
      <c r="L329" s="89"/>
      <c r="M329" s="89"/>
      <c r="N329" s="89"/>
      <c r="O329" s="89"/>
      <c r="P329" s="89"/>
      <c r="Q329" s="89"/>
      <c r="R329" s="89"/>
      <c r="S329" s="89"/>
      <c r="T329" s="89"/>
      <c r="U329" s="89"/>
      <c r="V329" s="89"/>
      <c r="W329" s="89"/>
      <c r="X329" s="89"/>
      <c r="Y329" s="89"/>
      <c r="Z329" s="89"/>
      <c r="AA329" s="89"/>
      <c r="AB329" s="89"/>
      <c r="AC329" s="89"/>
      <c r="AD329" s="89"/>
    </row>
    <row r="330">
      <c r="A330" s="89"/>
      <c r="B330" s="89"/>
      <c r="C330" s="140"/>
      <c r="D330" s="89"/>
      <c r="E330" s="89"/>
      <c r="F330" s="89"/>
      <c r="G330" s="89"/>
      <c r="H330" s="89"/>
      <c r="I330" s="89"/>
      <c r="J330" s="89"/>
      <c r="K330" s="89"/>
      <c r="L330" s="89"/>
      <c r="M330" s="89"/>
      <c r="N330" s="89"/>
      <c r="O330" s="89"/>
      <c r="P330" s="89"/>
      <c r="Q330" s="89"/>
      <c r="R330" s="89"/>
      <c r="S330" s="89"/>
      <c r="T330" s="89"/>
      <c r="U330" s="89"/>
      <c r="V330" s="89"/>
      <c r="W330" s="89"/>
      <c r="X330" s="89"/>
      <c r="Y330" s="89"/>
      <c r="Z330" s="89"/>
      <c r="AA330" s="89"/>
      <c r="AB330" s="89"/>
      <c r="AC330" s="89"/>
      <c r="AD330" s="89"/>
    </row>
    <row r="331">
      <c r="A331" s="89"/>
      <c r="B331" s="89"/>
      <c r="C331" s="140"/>
      <c r="D331" s="89"/>
      <c r="E331" s="89"/>
      <c r="F331" s="89"/>
      <c r="G331" s="89"/>
      <c r="H331" s="89"/>
      <c r="I331" s="89"/>
      <c r="J331" s="89"/>
      <c r="K331" s="89"/>
      <c r="L331" s="89"/>
      <c r="M331" s="89"/>
      <c r="N331" s="89"/>
      <c r="O331" s="89"/>
      <c r="P331" s="89"/>
      <c r="Q331" s="89"/>
      <c r="R331" s="89"/>
      <c r="S331" s="89"/>
      <c r="T331" s="89"/>
      <c r="U331" s="89"/>
      <c r="V331" s="89"/>
      <c r="W331" s="89"/>
      <c r="X331" s="89"/>
      <c r="Y331" s="89"/>
      <c r="Z331" s="89"/>
      <c r="AA331" s="89"/>
      <c r="AB331" s="89"/>
      <c r="AC331" s="89"/>
      <c r="AD331" s="89"/>
    </row>
    <row r="332">
      <c r="A332" s="89"/>
      <c r="B332" s="89"/>
      <c r="C332" s="140"/>
      <c r="D332" s="89"/>
      <c r="E332" s="89"/>
      <c r="F332" s="89"/>
      <c r="G332" s="89"/>
      <c r="H332" s="89"/>
      <c r="I332" s="89"/>
      <c r="J332" s="89"/>
      <c r="K332" s="89"/>
      <c r="L332" s="89"/>
      <c r="M332" s="89"/>
      <c r="N332" s="89"/>
      <c r="O332" s="89"/>
      <c r="P332" s="89"/>
      <c r="Q332" s="89"/>
      <c r="R332" s="89"/>
      <c r="S332" s="89"/>
      <c r="T332" s="89"/>
      <c r="U332" s="89"/>
      <c r="V332" s="89"/>
      <c r="W332" s="89"/>
      <c r="X332" s="89"/>
      <c r="Y332" s="89"/>
      <c r="Z332" s="89"/>
      <c r="AA332" s="89"/>
      <c r="AB332" s="89"/>
      <c r="AC332" s="89"/>
      <c r="AD332" s="89"/>
    </row>
    <row r="333">
      <c r="A333" s="89"/>
      <c r="B333" s="89"/>
      <c r="C333" s="140"/>
      <c r="D333" s="89"/>
      <c r="E333" s="89"/>
      <c r="F333" s="89"/>
      <c r="G333" s="89"/>
      <c r="H333" s="89"/>
      <c r="I333" s="89"/>
      <c r="J333" s="89"/>
      <c r="K333" s="89"/>
      <c r="L333" s="89"/>
      <c r="M333" s="89"/>
      <c r="N333" s="89"/>
      <c r="O333" s="89"/>
      <c r="P333" s="89"/>
      <c r="Q333" s="89"/>
      <c r="R333" s="89"/>
      <c r="S333" s="89"/>
      <c r="T333" s="89"/>
      <c r="U333" s="89"/>
      <c r="V333" s="89"/>
      <c r="W333" s="89"/>
      <c r="X333" s="89"/>
      <c r="Y333" s="89"/>
      <c r="Z333" s="89"/>
      <c r="AA333" s="89"/>
      <c r="AB333" s="89"/>
      <c r="AC333" s="89"/>
      <c r="AD333" s="89"/>
    </row>
    <row r="334">
      <c r="A334" s="89"/>
      <c r="B334" s="89"/>
      <c r="C334" s="140"/>
      <c r="D334" s="89"/>
      <c r="E334" s="89"/>
      <c r="F334" s="89"/>
      <c r="G334" s="89"/>
      <c r="H334" s="89"/>
      <c r="I334" s="89"/>
      <c r="J334" s="89"/>
      <c r="K334" s="89"/>
      <c r="L334" s="89"/>
      <c r="M334" s="89"/>
      <c r="N334" s="89"/>
      <c r="O334" s="89"/>
      <c r="P334" s="89"/>
      <c r="Q334" s="89"/>
      <c r="R334" s="89"/>
      <c r="S334" s="89"/>
      <c r="T334" s="89"/>
      <c r="U334" s="89"/>
      <c r="V334" s="89"/>
      <c r="W334" s="89"/>
      <c r="X334" s="89"/>
      <c r="Y334" s="89"/>
      <c r="Z334" s="89"/>
      <c r="AA334" s="89"/>
      <c r="AB334" s="89"/>
      <c r="AC334" s="89"/>
      <c r="AD334" s="89"/>
    </row>
    <row r="335">
      <c r="A335" s="89"/>
      <c r="B335" s="89"/>
      <c r="C335" s="140"/>
      <c r="D335" s="89"/>
      <c r="E335" s="89"/>
      <c r="F335" s="89"/>
      <c r="G335" s="89"/>
      <c r="H335" s="89"/>
      <c r="I335" s="89"/>
      <c r="J335" s="89"/>
      <c r="K335" s="89"/>
      <c r="L335" s="89"/>
      <c r="M335" s="89"/>
      <c r="N335" s="89"/>
      <c r="O335" s="89"/>
      <c r="P335" s="89"/>
      <c r="Q335" s="89"/>
      <c r="R335" s="89"/>
      <c r="S335" s="89"/>
      <c r="T335" s="89"/>
      <c r="U335" s="89"/>
      <c r="V335" s="89"/>
      <c r="W335" s="89"/>
      <c r="X335" s="89"/>
      <c r="Y335" s="89"/>
      <c r="Z335" s="89"/>
      <c r="AA335" s="89"/>
      <c r="AB335" s="89"/>
      <c r="AC335" s="89"/>
      <c r="AD335" s="89"/>
    </row>
    <row r="336">
      <c r="A336" s="89"/>
      <c r="B336" s="89"/>
      <c r="C336" s="140"/>
      <c r="D336" s="89"/>
      <c r="E336" s="89"/>
      <c r="F336" s="89"/>
      <c r="G336" s="89"/>
      <c r="H336" s="89"/>
      <c r="I336" s="89"/>
      <c r="J336" s="89"/>
      <c r="K336" s="89"/>
      <c r="L336" s="89"/>
      <c r="M336" s="89"/>
      <c r="N336" s="89"/>
      <c r="O336" s="89"/>
      <c r="P336" s="89"/>
      <c r="Q336" s="89"/>
      <c r="R336" s="89"/>
      <c r="S336" s="89"/>
      <c r="T336" s="89"/>
      <c r="U336" s="89"/>
      <c r="V336" s="89"/>
      <c r="W336" s="89"/>
      <c r="X336" s="89"/>
      <c r="Y336" s="89"/>
      <c r="Z336" s="89"/>
      <c r="AA336" s="89"/>
      <c r="AB336" s="89"/>
      <c r="AC336" s="89"/>
      <c r="AD336" s="89"/>
    </row>
    <row r="337">
      <c r="A337" s="89"/>
      <c r="B337" s="89"/>
      <c r="C337" s="140"/>
      <c r="D337" s="89"/>
      <c r="E337" s="89"/>
      <c r="F337" s="89"/>
      <c r="G337" s="89"/>
      <c r="H337" s="89"/>
      <c r="I337" s="89"/>
      <c r="J337" s="89"/>
      <c r="K337" s="89"/>
      <c r="L337" s="89"/>
      <c r="M337" s="89"/>
      <c r="N337" s="89"/>
      <c r="O337" s="89"/>
      <c r="P337" s="89"/>
      <c r="Q337" s="89"/>
      <c r="R337" s="89"/>
      <c r="S337" s="89"/>
      <c r="T337" s="89"/>
      <c r="U337" s="89"/>
      <c r="V337" s="89"/>
      <c r="W337" s="89"/>
      <c r="X337" s="89"/>
      <c r="Y337" s="89"/>
      <c r="Z337" s="89"/>
      <c r="AA337" s="89"/>
      <c r="AB337" s="89"/>
      <c r="AC337" s="89"/>
      <c r="AD337" s="89"/>
    </row>
    <row r="338">
      <c r="A338" s="89"/>
      <c r="B338" s="89"/>
      <c r="C338" s="140"/>
      <c r="D338" s="89"/>
      <c r="E338" s="89"/>
      <c r="F338" s="89"/>
      <c r="G338" s="89"/>
      <c r="H338" s="89"/>
      <c r="I338" s="89"/>
      <c r="J338" s="89"/>
      <c r="K338" s="89"/>
      <c r="L338" s="89"/>
      <c r="M338" s="89"/>
      <c r="N338" s="89"/>
      <c r="O338" s="89"/>
      <c r="P338" s="89"/>
      <c r="Q338" s="89"/>
      <c r="R338" s="89"/>
      <c r="S338" s="89"/>
      <c r="T338" s="89"/>
      <c r="U338" s="89"/>
      <c r="V338" s="89"/>
      <c r="W338" s="89"/>
      <c r="X338" s="89"/>
      <c r="Y338" s="89"/>
      <c r="Z338" s="89"/>
      <c r="AA338" s="89"/>
      <c r="AB338" s="89"/>
      <c r="AC338" s="89"/>
      <c r="AD338" s="89"/>
    </row>
    <row r="339">
      <c r="A339" s="89"/>
      <c r="B339" s="89"/>
      <c r="C339" s="140"/>
      <c r="D339" s="89"/>
      <c r="E339" s="89"/>
      <c r="F339" s="89"/>
      <c r="G339" s="89"/>
      <c r="H339" s="89"/>
      <c r="I339" s="89"/>
      <c r="J339" s="89"/>
      <c r="K339" s="89"/>
      <c r="L339" s="89"/>
      <c r="M339" s="89"/>
      <c r="N339" s="89"/>
      <c r="O339" s="89"/>
      <c r="P339" s="89"/>
      <c r="Q339" s="89"/>
      <c r="R339" s="89"/>
      <c r="S339" s="89"/>
      <c r="T339" s="89"/>
      <c r="U339" s="89"/>
      <c r="V339" s="89"/>
      <c r="W339" s="89"/>
      <c r="X339" s="89"/>
      <c r="Y339" s="89"/>
      <c r="Z339" s="89"/>
      <c r="AA339" s="89"/>
      <c r="AB339" s="89"/>
      <c r="AC339" s="89"/>
      <c r="AD339" s="89"/>
    </row>
    <row r="340">
      <c r="A340" s="89"/>
      <c r="B340" s="89"/>
      <c r="C340" s="140"/>
      <c r="D340" s="89"/>
      <c r="E340" s="89"/>
      <c r="F340" s="89"/>
      <c r="G340" s="89"/>
      <c r="H340" s="89"/>
      <c r="I340" s="89"/>
      <c r="J340" s="89"/>
      <c r="K340" s="89"/>
      <c r="L340" s="89"/>
      <c r="M340" s="89"/>
      <c r="N340" s="89"/>
      <c r="O340" s="89"/>
      <c r="P340" s="89"/>
      <c r="Q340" s="89"/>
      <c r="R340" s="89"/>
      <c r="S340" s="89"/>
      <c r="T340" s="89"/>
      <c r="U340" s="89"/>
      <c r="V340" s="89"/>
      <c r="W340" s="89"/>
      <c r="X340" s="89"/>
      <c r="Y340" s="89"/>
      <c r="Z340" s="89"/>
      <c r="AA340" s="89"/>
      <c r="AB340" s="89"/>
      <c r="AC340" s="89"/>
      <c r="AD340" s="89"/>
    </row>
    <row r="341">
      <c r="A341" s="89"/>
      <c r="B341" s="89"/>
      <c r="C341" s="140"/>
      <c r="D341" s="89"/>
      <c r="E341" s="89"/>
      <c r="F341" s="89"/>
      <c r="G341" s="89"/>
      <c r="H341" s="89"/>
      <c r="I341" s="89"/>
      <c r="J341" s="89"/>
      <c r="K341" s="89"/>
      <c r="L341" s="89"/>
      <c r="M341" s="89"/>
      <c r="N341" s="89"/>
      <c r="O341" s="89"/>
      <c r="P341" s="89"/>
      <c r="Q341" s="89"/>
      <c r="R341" s="89"/>
      <c r="S341" s="89"/>
      <c r="T341" s="89"/>
      <c r="U341" s="89"/>
      <c r="V341" s="89"/>
      <c r="W341" s="89"/>
      <c r="X341" s="89"/>
      <c r="Y341" s="89"/>
      <c r="Z341" s="89"/>
      <c r="AA341" s="89"/>
      <c r="AB341" s="89"/>
      <c r="AC341" s="89"/>
      <c r="AD341" s="89"/>
    </row>
    <row r="342">
      <c r="A342" s="89"/>
      <c r="B342" s="89"/>
      <c r="C342" s="140"/>
      <c r="D342" s="89"/>
      <c r="E342" s="89"/>
      <c r="F342" s="89"/>
      <c r="G342" s="89"/>
      <c r="H342" s="89"/>
      <c r="I342" s="89"/>
      <c r="J342" s="89"/>
      <c r="K342" s="89"/>
      <c r="L342" s="89"/>
      <c r="M342" s="89"/>
      <c r="N342" s="89"/>
      <c r="O342" s="89"/>
      <c r="P342" s="89"/>
      <c r="Q342" s="89"/>
      <c r="R342" s="89"/>
      <c r="S342" s="89"/>
      <c r="T342" s="89"/>
      <c r="U342" s="89"/>
      <c r="V342" s="89"/>
      <c r="W342" s="89"/>
      <c r="X342" s="89"/>
      <c r="Y342" s="89"/>
      <c r="Z342" s="89"/>
      <c r="AA342" s="89"/>
      <c r="AB342" s="89"/>
      <c r="AC342" s="89"/>
      <c r="AD342" s="89"/>
    </row>
    <row r="343">
      <c r="A343" s="89"/>
      <c r="B343" s="89"/>
      <c r="C343" s="140"/>
      <c r="D343" s="89"/>
      <c r="E343" s="89"/>
      <c r="F343" s="89"/>
      <c r="G343" s="89"/>
      <c r="H343" s="89"/>
      <c r="I343" s="89"/>
      <c r="J343" s="89"/>
      <c r="K343" s="89"/>
      <c r="L343" s="89"/>
      <c r="M343" s="89"/>
      <c r="N343" s="89"/>
      <c r="O343" s="89"/>
      <c r="P343" s="89"/>
      <c r="Q343" s="89"/>
      <c r="R343" s="89"/>
      <c r="S343" s="89"/>
      <c r="T343" s="89"/>
      <c r="U343" s="89"/>
      <c r="V343" s="89"/>
      <c r="W343" s="89"/>
      <c r="X343" s="89"/>
      <c r="Y343" s="89"/>
      <c r="Z343" s="89"/>
      <c r="AA343" s="89"/>
      <c r="AB343" s="89"/>
      <c r="AC343" s="89"/>
      <c r="AD343" s="89"/>
    </row>
    <row r="344">
      <c r="A344" s="89"/>
      <c r="B344" s="89"/>
      <c r="C344" s="140"/>
      <c r="D344" s="89"/>
      <c r="E344" s="89"/>
      <c r="F344" s="89"/>
      <c r="G344" s="89"/>
      <c r="H344" s="89"/>
      <c r="I344" s="89"/>
      <c r="J344" s="89"/>
      <c r="K344" s="89"/>
      <c r="L344" s="89"/>
      <c r="M344" s="89"/>
      <c r="N344" s="89"/>
      <c r="O344" s="89"/>
      <c r="P344" s="89"/>
      <c r="Q344" s="89"/>
      <c r="R344" s="89"/>
      <c r="S344" s="89"/>
      <c r="T344" s="89"/>
      <c r="U344" s="89"/>
      <c r="V344" s="89"/>
      <c r="W344" s="89"/>
      <c r="X344" s="89"/>
      <c r="Y344" s="89"/>
      <c r="Z344" s="89"/>
      <c r="AA344" s="89"/>
      <c r="AB344" s="89"/>
      <c r="AC344" s="89"/>
      <c r="AD344" s="89"/>
    </row>
    <row r="345">
      <c r="A345" s="89"/>
      <c r="B345" s="89"/>
      <c r="C345" s="140"/>
      <c r="D345" s="89"/>
      <c r="E345" s="89"/>
      <c r="F345" s="89"/>
      <c r="G345" s="89"/>
      <c r="H345" s="89"/>
      <c r="I345" s="89"/>
      <c r="J345" s="89"/>
      <c r="K345" s="89"/>
      <c r="L345" s="89"/>
      <c r="M345" s="89"/>
      <c r="N345" s="89"/>
      <c r="O345" s="89"/>
      <c r="P345" s="89"/>
      <c r="Q345" s="89"/>
      <c r="R345" s="89"/>
      <c r="S345" s="89"/>
      <c r="T345" s="89"/>
      <c r="U345" s="89"/>
      <c r="V345" s="89"/>
      <c r="W345" s="89"/>
      <c r="X345" s="89"/>
      <c r="Y345" s="89"/>
      <c r="Z345" s="89"/>
      <c r="AA345" s="89"/>
      <c r="AB345" s="89"/>
      <c r="AC345" s="89"/>
      <c r="AD345" s="89"/>
    </row>
    <row r="346">
      <c r="A346" s="89"/>
      <c r="B346" s="89"/>
      <c r="C346" s="140"/>
      <c r="D346" s="89"/>
      <c r="E346" s="89"/>
      <c r="F346" s="89"/>
      <c r="G346" s="89"/>
      <c r="H346" s="89"/>
      <c r="I346" s="89"/>
      <c r="J346" s="89"/>
      <c r="K346" s="89"/>
      <c r="L346" s="89"/>
      <c r="M346" s="89"/>
      <c r="N346" s="89"/>
      <c r="O346" s="89"/>
      <c r="P346" s="89"/>
      <c r="Q346" s="89"/>
      <c r="R346" s="89"/>
      <c r="S346" s="89"/>
      <c r="T346" s="89"/>
      <c r="U346" s="89"/>
      <c r="V346" s="89"/>
      <c r="W346" s="89"/>
      <c r="X346" s="89"/>
      <c r="Y346" s="89"/>
      <c r="Z346" s="89"/>
      <c r="AA346" s="89"/>
      <c r="AB346" s="89"/>
      <c r="AC346" s="89"/>
      <c r="AD346" s="89"/>
    </row>
    <row r="347">
      <c r="A347" s="89"/>
      <c r="B347" s="89"/>
      <c r="C347" s="140"/>
      <c r="D347" s="89"/>
      <c r="E347" s="89"/>
      <c r="F347" s="89"/>
      <c r="G347" s="89"/>
      <c r="H347" s="89"/>
      <c r="I347" s="89"/>
      <c r="J347" s="89"/>
      <c r="K347" s="89"/>
      <c r="L347" s="89"/>
      <c r="M347" s="89"/>
      <c r="N347" s="89"/>
      <c r="O347" s="89"/>
      <c r="P347" s="89"/>
      <c r="Q347" s="89"/>
      <c r="R347" s="89"/>
      <c r="S347" s="89"/>
      <c r="T347" s="89"/>
      <c r="U347" s="89"/>
      <c r="V347" s="89"/>
      <c r="W347" s="89"/>
      <c r="X347" s="89"/>
      <c r="Y347" s="89"/>
      <c r="Z347" s="89"/>
      <c r="AA347" s="89"/>
      <c r="AB347" s="89"/>
      <c r="AC347" s="89"/>
      <c r="AD347" s="89"/>
    </row>
    <row r="348">
      <c r="A348" s="89"/>
      <c r="B348" s="89"/>
      <c r="C348" s="140"/>
      <c r="D348" s="89"/>
      <c r="E348" s="89"/>
      <c r="F348" s="89"/>
      <c r="G348" s="89"/>
      <c r="H348" s="89"/>
      <c r="I348" s="89"/>
      <c r="J348" s="89"/>
      <c r="K348" s="89"/>
      <c r="L348" s="89"/>
      <c r="M348" s="89"/>
      <c r="N348" s="89"/>
      <c r="O348" s="89"/>
      <c r="P348" s="89"/>
      <c r="Q348" s="89"/>
      <c r="R348" s="89"/>
      <c r="S348" s="89"/>
      <c r="T348" s="89"/>
      <c r="U348" s="89"/>
      <c r="V348" s="89"/>
      <c r="W348" s="89"/>
      <c r="X348" s="89"/>
      <c r="Y348" s="89"/>
      <c r="Z348" s="89"/>
      <c r="AA348" s="89"/>
      <c r="AB348" s="89"/>
      <c r="AC348" s="89"/>
      <c r="AD348" s="89"/>
    </row>
    <row r="349">
      <c r="A349" s="89"/>
      <c r="B349" s="89"/>
      <c r="C349" s="140"/>
      <c r="D349" s="89"/>
      <c r="E349" s="89"/>
      <c r="F349" s="89"/>
      <c r="G349" s="89"/>
      <c r="H349" s="89"/>
      <c r="I349" s="89"/>
      <c r="J349" s="89"/>
      <c r="K349" s="89"/>
      <c r="L349" s="89"/>
      <c r="M349" s="89"/>
      <c r="N349" s="89"/>
      <c r="O349" s="89"/>
      <c r="P349" s="89"/>
      <c r="Q349" s="89"/>
      <c r="R349" s="89"/>
      <c r="S349" s="89"/>
      <c r="T349" s="89"/>
      <c r="U349" s="89"/>
      <c r="V349" s="89"/>
      <c r="W349" s="89"/>
      <c r="X349" s="89"/>
      <c r="Y349" s="89"/>
      <c r="Z349" s="89"/>
      <c r="AA349" s="89"/>
      <c r="AB349" s="89"/>
      <c r="AC349" s="89"/>
      <c r="AD349" s="89"/>
    </row>
    <row r="350">
      <c r="A350" s="89"/>
      <c r="B350" s="89"/>
      <c r="C350" s="140"/>
      <c r="D350" s="89"/>
      <c r="E350" s="89"/>
      <c r="F350" s="89"/>
      <c r="G350" s="89"/>
      <c r="H350" s="89"/>
      <c r="I350" s="89"/>
      <c r="J350" s="89"/>
      <c r="K350" s="89"/>
      <c r="L350" s="89"/>
      <c r="M350" s="89"/>
      <c r="N350" s="89"/>
      <c r="O350" s="89"/>
      <c r="P350" s="89"/>
      <c r="Q350" s="89"/>
      <c r="R350" s="89"/>
      <c r="S350" s="89"/>
      <c r="T350" s="89"/>
      <c r="U350" s="89"/>
      <c r="V350" s="89"/>
      <c r="W350" s="89"/>
      <c r="X350" s="89"/>
      <c r="Y350" s="89"/>
      <c r="Z350" s="89"/>
      <c r="AA350" s="89"/>
      <c r="AB350" s="89"/>
      <c r="AC350" s="89"/>
      <c r="AD350" s="89"/>
    </row>
    <row r="351">
      <c r="A351" s="89"/>
      <c r="B351" s="89"/>
      <c r="C351" s="140"/>
      <c r="D351" s="89"/>
      <c r="E351" s="89"/>
      <c r="F351" s="89"/>
      <c r="G351" s="89"/>
      <c r="H351" s="89"/>
      <c r="I351" s="89"/>
      <c r="J351" s="89"/>
      <c r="K351" s="89"/>
      <c r="L351" s="89"/>
      <c r="M351" s="89"/>
      <c r="N351" s="89"/>
      <c r="O351" s="89"/>
      <c r="P351" s="89"/>
      <c r="Q351" s="89"/>
      <c r="R351" s="89"/>
      <c r="S351" s="89"/>
      <c r="T351" s="89"/>
      <c r="U351" s="89"/>
      <c r="V351" s="89"/>
      <c r="W351" s="89"/>
      <c r="X351" s="89"/>
      <c r="Y351" s="89"/>
      <c r="Z351" s="89"/>
      <c r="AA351" s="89"/>
      <c r="AB351" s="89"/>
      <c r="AC351" s="89"/>
      <c r="AD351" s="89"/>
    </row>
    <row r="352">
      <c r="A352" s="89"/>
      <c r="B352" s="89"/>
      <c r="C352" s="140"/>
      <c r="D352" s="89"/>
      <c r="E352" s="89"/>
      <c r="F352" s="89"/>
      <c r="G352" s="89"/>
      <c r="H352" s="89"/>
      <c r="I352" s="89"/>
      <c r="J352" s="89"/>
      <c r="K352" s="89"/>
      <c r="L352" s="89"/>
      <c r="M352" s="89"/>
      <c r="N352" s="89"/>
      <c r="O352" s="89"/>
      <c r="P352" s="89"/>
      <c r="Q352" s="89"/>
      <c r="R352" s="89"/>
      <c r="S352" s="89"/>
      <c r="T352" s="89"/>
      <c r="U352" s="89"/>
      <c r="V352" s="89"/>
      <c r="W352" s="89"/>
      <c r="X352" s="89"/>
      <c r="Y352" s="89"/>
      <c r="Z352" s="89"/>
      <c r="AA352" s="89"/>
      <c r="AB352" s="89"/>
      <c r="AC352" s="89"/>
      <c r="AD352" s="89"/>
    </row>
    <row r="353">
      <c r="A353" s="89"/>
      <c r="B353" s="89"/>
      <c r="C353" s="140"/>
      <c r="D353" s="89"/>
      <c r="E353" s="89"/>
      <c r="F353" s="89"/>
      <c r="G353" s="89"/>
      <c r="H353" s="89"/>
      <c r="I353" s="89"/>
      <c r="J353" s="89"/>
      <c r="K353" s="89"/>
      <c r="L353" s="89"/>
      <c r="M353" s="89"/>
      <c r="N353" s="89"/>
      <c r="O353" s="89"/>
      <c r="P353" s="89"/>
      <c r="Q353" s="89"/>
      <c r="R353" s="89"/>
      <c r="S353" s="89"/>
      <c r="T353" s="89"/>
      <c r="U353" s="89"/>
      <c r="V353" s="89"/>
      <c r="W353" s="89"/>
      <c r="X353" s="89"/>
      <c r="Y353" s="89"/>
      <c r="Z353" s="89"/>
      <c r="AA353" s="89"/>
      <c r="AB353" s="89"/>
      <c r="AC353" s="89"/>
      <c r="AD353" s="89"/>
    </row>
    <row r="354">
      <c r="A354" s="89"/>
      <c r="B354" s="89"/>
      <c r="C354" s="140"/>
      <c r="D354" s="89"/>
      <c r="E354" s="89"/>
      <c r="F354" s="89"/>
      <c r="G354" s="89"/>
      <c r="H354" s="89"/>
      <c r="I354" s="89"/>
      <c r="J354" s="89"/>
      <c r="K354" s="89"/>
      <c r="L354" s="89"/>
      <c r="M354" s="89"/>
      <c r="N354" s="89"/>
      <c r="O354" s="89"/>
      <c r="P354" s="89"/>
      <c r="Q354" s="89"/>
      <c r="R354" s="89"/>
      <c r="S354" s="89"/>
      <c r="T354" s="89"/>
      <c r="U354" s="89"/>
      <c r="V354" s="89"/>
      <c r="W354" s="89"/>
      <c r="X354" s="89"/>
      <c r="Y354" s="89"/>
      <c r="Z354" s="89"/>
      <c r="AA354" s="89"/>
      <c r="AB354" s="89"/>
      <c r="AC354" s="89"/>
      <c r="AD354" s="89"/>
    </row>
    <row r="355">
      <c r="A355" s="89"/>
      <c r="B355" s="89"/>
      <c r="C355" s="140"/>
      <c r="D355" s="89"/>
      <c r="E355" s="89"/>
      <c r="F355" s="89"/>
      <c r="G355" s="89"/>
      <c r="H355" s="89"/>
      <c r="I355" s="89"/>
      <c r="J355" s="89"/>
      <c r="K355" s="89"/>
      <c r="L355" s="89"/>
      <c r="M355" s="89"/>
      <c r="N355" s="89"/>
      <c r="O355" s="89"/>
      <c r="P355" s="89"/>
      <c r="Q355" s="89"/>
      <c r="R355" s="89"/>
      <c r="S355" s="89"/>
      <c r="T355" s="89"/>
      <c r="U355" s="89"/>
      <c r="V355" s="89"/>
      <c r="W355" s="89"/>
      <c r="X355" s="89"/>
      <c r="Y355" s="89"/>
      <c r="Z355" s="89"/>
      <c r="AA355" s="89"/>
      <c r="AB355" s="89"/>
      <c r="AC355" s="89"/>
      <c r="AD355" s="89"/>
    </row>
    <row r="356">
      <c r="A356" s="89"/>
      <c r="B356" s="89"/>
      <c r="C356" s="140"/>
      <c r="D356" s="89"/>
      <c r="E356" s="89"/>
      <c r="F356" s="89"/>
      <c r="G356" s="89"/>
      <c r="H356" s="89"/>
      <c r="I356" s="89"/>
      <c r="J356" s="89"/>
      <c r="K356" s="89"/>
      <c r="L356" s="89"/>
      <c r="M356" s="89"/>
      <c r="N356" s="89"/>
      <c r="O356" s="89"/>
      <c r="P356" s="89"/>
      <c r="Q356" s="89"/>
      <c r="R356" s="89"/>
      <c r="S356" s="89"/>
      <c r="T356" s="89"/>
      <c r="U356" s="89"/>
      <c r="V356" s="89"/>
      <c r="W356" s="89"/>
      <c r="X356" s="89"/>
      <c r="Y356" s="89"/>
      <c r="Z356" s="89"/>
      <c r="AA356" s="89"/>
      <c r="AB356" s="89"/>
      <c r="AC356" s="89"/>
      <c r="AD356" s="89"/>
    </row>
    <row r="357">
      <c r="A357" s="89"/>
      <c r="B357" s="89"/>
      <c r="C357" s="140"/>
      <c r="D357" s="89"/>
      <c r="E357" s="89"/>
      <c r="F357" s="89"/>
      <c r="G357" s="89"/>
      <c r="H357" s="89"/>
      <c r="I357" s="89"/>
      <c r="J357" s="89"/>
      <c r="K357" s="89"/>
      <c r="L357" s="89"/>
      <c r="M357" s="89"/>
      <c r="N357" s="89"/>
      <c r="O357" s="89"/>
      <c r="P357" s="89"/>
      <c r="Q357" s="89"/>
      <c r="R357" s="89"/>
      <c r="S357" s="89"/>
      <c r="T357" s="89"/>
      <c r="U357" s="89"/>
      <c r="V357" s="89"/>
      <c r="W357" s="89"/>
      <c r="X357" s="89"/>
      <c r="Y357" s="89"/>
      <c r="Z357" s="89"/>
      <c r="AA357" s="89"/>
      <c r="AB357" s="89"/>
      <c r="AC357" s="89"/>
      <c r="AD357" s="89"/>
    </row>
    <row r="358">
      <c r="A358" s="89"/>
      <c r="B358" s="89"/>
      <c r="C358" s="140"/>
      <c r="D358" s="89"/>
      <c r="E358" s="89"/>
      <c r="F358" s="89"/>
      <c r="G358" s="89"/>
      <c r="H358" s="89"/>
      <c r="I358" s="89"/>
      <c r="J358" s="89"/>
      <c r="K358" s="89"/>
      <c r="L358" s="89"/>
      <c r="M358" s="89"/>
      <c r="N358" s="89"/>
      <c r="O358" s="89"/>
      <c r="P358" s="89"/>
      <c r="Q358" s="89"/>
      <c r="R358" s="89"/>
      <c r="S358" s="89"/>
      <c r="T358" s="89"/>
      <c r="U358" s="89"/>
      <c r="V358" s="89"/>
      <c r="W358" s="89"/>
      <c r="X358" s="89"/>
      <c r="Y358" s="89"/>
      <c r="Z358" s="89"/>
      <c r="AA358" s="89"/>
      <c r="AB358" s="89"/>
      <c r="AC358" s="89"/>
      <c r="AD358" s="89"/>
    </row>
    <row r="359">
      <c r="A359" s="89"/>
      <c r="B359" s="89"/>
      <c r="C359" s="140"/>
      <c r="D359" s="89"/>
      <c r="E359" s="89"/>
      <c r="F359" s="89"/>
      <c r="G359" s="89"/>
      <c r="H359" s="89"/>
      <c r="I359" s="89"/>
      <c r="J359" s="89"/>
      <c r="K359" s="89"/>
      <c r="L359" s="89"/>
      <c r="M359" s="89"/>
      <c r="N359" s="89"/>
      <c r="O359" s="89"/>
      <c r="P359" s="89"/>
      <c r="Q359" s="89"/>
      <c r="R359" s="89"/>
      <c r="S359" s="89"/>
      <c r="T359" s="89"/>
      <c r="U359" s="89"/>
      <c r="V359" s="89"/>
      <c r="W359" s="89"/>
      <c r="X359" s="89"/>
      <c r="Y359" s="89"/>
      <c r="Z359" s="89"/>
      <c r="AA359" s="89"/>
      <c r="AB359" s="89"/>
      <c r="AC359" s="89"/>
      <c r="AD359" s="89"/>
    </row>
    <row r="360">
      <c r="A360" s="89"/>
      <c r="B360" s="89"/>
      <c r="C360" s="140"/>
      <c r="D360" s="89"/>
      <c r="E360" s="89"/>
      <c r="F360" s="89"/>
      <c r="G360" s="89"/>
      <c r="H360" s="89"/>
      <c r="I360" s="89"/>
      <c r="J360" s="89"/>
      <c r="K360" s="89"/>
      <c r="L360" s="89"/>
      <c r="M360" s="89"/>
      <c r="N360" s="89"/>
      <c r="O360" s="89"/>
      <c r="P360" s="89"/>
      <c r="Q360" s="89"/>
      <c r="R360" s="89"/>
      <c r="S360" s="89"/>
      <c r="T360" s="89"/>
      <c r="U360" s="89"/>
      <c r="V360" s="89"/>
      <c r="W360" s="89"/>
      <c r="X360" s="89"/>
      <c r="Y360" s="89"/>
      <c r="Z360" s="89"/>
      <c r="AA360" s="89"/>
      <c r="AB360" s="89"/>
      <c r="AC360" s="89"/>
      <c r="AD360" s="89"/>
    </row>
    <row r="361">
      <c r="A361" s="89"/>
      <c r="B361" s="89"/>
      <c r="C361" s="140"/>
      <c r="D361" s="89"/>
      <c r="E361" s="89"/>
      <c r="F361" s="89"/>
      <c r="G361" s="89"/>
      <c r="H361" s="89"/>
      <c r="I361" s="89"/>
      <c r="J361" s="89"/>
      <c r="K361" s="89"/>
      <c r="L361" s="89"/>
      <c r="M361" s="89"/>
      <c r="N361" s="89"/>
      <c r="O361" s="89"/>
      <c r="P361" s="89"/>
      <c r="Q361" s="89"/>
      <c r="R361" s="89"/>
      <c r="S361" s="89"/>
      <c r="T361" s="89"/>
      <c r="U361" s="89"/>
      <c r="V361" s="89"/>
      <c r="W361" s="89"/>
      <c r="X361" s="89"/>
      <c r="Y361" s="89"/>
      <c r="Z361" s="89"/>
      <c r="AA361" s="89"/>
      <c r="AB361" s="89"/>
      <c r="AC361" s="89"/>
      <c r="AD361" s="89"/>
    </row>
    <row r="362">
      <c r="A362" s="89"/>
      <c r="B362" s="89"/>
      <c r="C362" s="140"/>
      <c r="D362" s="89"/>
      <c r="E362" s="89"/>
      <c r="F362" s="89"/>
      <c r="G362" s="89"/>
      <c r="H362" s="89"/>
      <c r="I362" s="89"/>
      <c r="J362" s="89"/>
      <c r="K362" s="89"/>
      <c r="L362" s="89"/>
      <c r="M362" s="89"/>
      <c r="N362" s="89"/>
      <c r="O362" s="89"/>
      <c r="P362" s="89"/>
      <c r="Q362" s="89"/>
      <c r="R362" s="89"/>
      <c r="S362" s="89"/>
      <c r="T362" s="89"/>
      <c r="U362" s="89"/>
      <c r="V362" s="89"/>
      <c r="W362" s="89"/>
      <c r="X362" s="89"/>
      <c r="Y362" s="89"/>
      <c r="Z362" s="89"/>
      <c r="AA362" s="89"/>
      <c r="AB362" s="89"/>
      <c r="AC362" s="89"/>
      <c r="AD362" s="89"/>
    </row>
    <row r="363">
      <c r="A363" s="89"/>
      <c r="B363" s="89"/>
      <c r="C363" s="140"/>
      <c r="D363" s="89"/>
      <c r="E363" s="89"/>
      <c r="F363" s="89"/>
      <c r="G363" s="89"/>
      <c r="H363" s="89"/>
      <c r="I363" s="89"/>
      <c r="J363" s="89"/>
      <c r="K363" s="89"/>
      <c r="L363" s="89"/>
      <c r="M363" s="89"/>
      <c r="N363" s="89"/>
      <c r="O363" s="89"/>
      <c r="P363" s="89"/>
      <c r="Q363" s="89"/>
      <c r="R363" s="89"/>
      <c r="S363" s="89"/>
      <c r="T363" s="89"/>
      <c r="U363" s="89"/>
      <c r="V363" s="89"/>
      <c r="W363" s="89"/>
      <c r="X363" s="89"/>
      <c r="Y363" s="89"/>
      <c r="Z363" s="89"/>
      <c r="AA363" s="89"/>
      <c r="AB363" s="89"/>
      <c r="AC363" s="89"/>
      <c r="AD363" s="89"/>
    </row>
    <row r="364">
      <c r="A364" s="89"/>
      <c r="B364" s="89"/>
      <c r="C364" s="140"/>
      <c r="D364" s="89"/>
      <c r="E364" s="89"/>
      <c r="F364" s="89"/>
      <c r="G364" s="89"/>
      <c r="H364" s="89"/>
      <c r="I364" s="89"/>
      <c r="J364" s="89"/>
      <c r="K364" s="89"/>
      <c r="L364" s="89"/>
      <c r="M364" s="89"/>
      <c r="N364" s="89"/>
      <c r="O364" s="89"/>
      <c r="P364" s="89"/>
      <c r="Q364" s="89"/>
      <c r="R364" s="89"/>
      <c r="S364" s="89"/>
      <c r="T364" s="89"/>
      <c r="U364" s="89"/>
      <c r="V364" s="89"/>
      <c r="W364" s="89"/>
      <c r="X364" s="89"/>
      <c r="Y364" s="89"/>
      <c r="Z364" s="89"/>
      <c r="AA364" s="89"/>
      <c r="AB364" s="89"/>
      <c r="AC364" s="89"/>
      <c r="AD364" s="89"/>
    </row>
    <row r="365">
      <c r="A365" s="89"/>
      <c r="B365" s="89"/>
      <c r="C365" s="140"/>
      <c r="D365" s="89"/>
      <c r="E365" s="89"/>
      <c r="F365" s="89"/>
      <c r="G365" s="89"/>
      <c r="H365" s="89"/>
      <c r="I365" s="89"/>
      <c r="J365" s="89"/>
      <c r="K365" s="89"/>
      <c r="L365" s="89"/>
      <c r="M365" s="89"/>
      <c r="N365" s="89"/>
      <c r="O365" s="89"/>
      <c r="P365" s="89"/>
      <c r="Q365" s="89"/>
      <c r="R365" s="89"/>
      <c r="S365" s="89"/>
      <c r="T365" s="89"/>
      <c r="U365" s="89"/>
      <c r="V365" s="89"/>
      <c r="W365" s="89"/>
      <c r="X365" s="89"/>
      <c r="Y365" s="89"/>
      <c r="Z365" s="89"/>
      <c r="AA365" s="89"/>
      <c r="AB365" s="89"/>
      <c r="AC365" s="89"/>
      <c r="AD365" s="89"/>
    </row>
    <row r="366">
      <c r="A366" s="89"/>
      <c r="B366" s="89"/>
      <c r="C366" s="140"/>
      <c r="D366" s="89"/>
      <c r="E366" s="89"/>
      <c r="F366" s="89"/>
      <c r="G366" s="89"/>
      <c r="H366" s="89"/>
      <c r="I366" s="89"/>
      <c r="J366" s="89"/>
      <c r="K366" s="89"/>
      <c r="L366" s="89"/>
      <c r="M366" s="89"/>
      <c r="N366" s="89"/>
      <c r="O366" s="89"/>
      <c r="P366" s="89"/>
      <c r="Q366" s="89"/>
      <c r="R366" s="89"/>
      <c r="S366" s="89"/>
      <c r="T366" s="89"/>
      <c r="U366" s="89"/>
      <c r="V366" s="89"/>
      <c r="W366" s="89"/>
      <c r="X366" s="89"/>
      <c r="Y366" s="89"/>
      <c r="Z366" s="89"/>
      <c r="AA366" s="89"/>
      <c r="AB366" s="89"/>
      <c r="AC366" s="89"/>
      <c r="AD366" s="89"/>
    </row>
    <row r="367">
      <c r="A367" s="89"/>
      <c r="B367" s="89"/>
      <c r="C367" s="140"/>
      <c r="D367" s="89"/>
      <c r="E367" s="89"/>
      <c r="F367" s="89"/>
      <c r="G367" s="89"/>
      <c r="H367" s="89"/>
      <c r="I367" s="89"/>
      <c r="J367" s="89"/>
      <c r="K367" s="89"/>
      <c r="L367" s="89"/>
      <c r="M367" s="89"/>
      <c r="N367" s="89"/>
      <c r="O367" s="89"/>
      <c r="P367" s="89"/>
      <c r="Q367" s="89"/>
      <c r="R367" s="89"/>
      <c r="S367" s="89"/>
      <c r="T367" s="89"/>
      <c r="U367" s="89"/>
      <c r="V367" s="89"/>
      <c r="W367" s="89"/>
      <c r="X367" s="89"/>
      <c r="Y367" s="89"/>
      <c r="Z367" s="89"/>
      <c r="AA367" s="89"/>
      <c r="AB367" s="89"/>
      <c r="AC367" s="89"/>
      <c r="AD367" s="89"/>
    </row>
    <row r="368">
      <c r="A368" s="89"/>
      <c r="B368" s="89"/>
      <c r="C368" s="140"/>
      <c r="D368" s="89"/>
      <c r="E368" s="89"/>
      <c r="F368" s="89"/>
      <c r="G368" s="89"/>
      <c r="H368" s="89"/>
      <c r="I368" s="89"/>
      <c r="J368" s="89"/>
      <c r="K368" s="89"/>
      <c r="L368" s="89"/>
      <c r="M368" s="89"/>
      <c r="N368" s="89"/>
      <c r="O368" s="89"/>
      <c r="P368" s="89"/>
      <c r="Q368" s="89"/>
      <c r="R368" s="89"/>
      <c r="S368" s="89"/>
      <c r="T368" s="89"/>
      <c r="U368" s="89"/>
      <c r="V368" s="89"/>
      <c r="W368" s="89"/>
      <c r="X368" s="89"/>
      <c r="Y368" s="89"/>
      <c r="Z368" s="89"/>
      <c r="AA368" s="89"/>
      <c r="AB368" s="89"/>
      <c r="AC368" s="89"/>
      <c r="AD368" s="89"/>
    </row>
    <row r="369">
      <c r="A369" s="89"/>
      <c r="B369" s="89"/>
      <c r="C369" s="140"/>
      <c r="D369" s="89"/>
      <c r="E369" s="89"/>
      <c r="F369" s="89"/>
      <c r="G369" s="89"/>
      <c r="H369" s="89"/>
      <c r="I369" s="89"/>
      <c r="J369" s="89"/>
      <c r="K369" s="89"/>
      <c r="L369" s="89"/>
      <c r="M369" s="89"/>
      <c r="N369" s="89"/>
      <c r="O369" s="89"/>
      <c r="P369" s="89"/>
      <c r="Q369" s="89"/>
      <c r="R369" s="89"/>
      <c r="S369" s="89"/>
      <c r="T369" s="89"/>
      <c r="U369" s="89"/>
      <c r="V369" s="89"/>
      <c r="W369" s="89"/>
      <c r="X369" s="89"/>
      <c r="Y369" s="89"/>
      <c r="Z369" s="89"/>
      <c r="AA369" s="89"/>
      <c r="AB369" s="89"/>
      <c r="AC369" s="89"/>
      <c r="AD369" s="89"/>
    </row>
    <row r="370">
      <c r="A370" s="89"/>
      <c r="B370" s="89"/>
      <c r="C370" s="140"/>
      <c r="D370" s="89"/>
      <c r="E370" s="89"/>
      <c r="F370" s="89"/>
      <c r="G370" s="89"/>
      <c r="H370" s="89"/>
      <c r="I370" s="89"/>
      <c r="J370" s="89"/>
      <c r="K370" s="89"/>
      <c r="L370" s="89"/>
      <c r="M370" s="89"/>
      <c r="N370" s="89"/>
      <c r="O370" s="89"/>
      <c r="P370" s="89"/>
      <c r="Q370" s="89"/>
      <c r="R370" s="89"/>
      <c r="S370" s="89"/>
      <c r="T370" s="89"/>
      <c r="U370" s="89"/>
      <c r="V370" s="89"/>
      <c r="W370" s="89"/>
      <c r="X370" s="89"/>
      <c r="Y370" s="89"/>
      <c r="Z370" s="89"/>
      <c r="AA370" s="89"/>
      <c r="AB370" s="89"/>
      <c r="AC370" s="89"/>
      <c r="AD370" s="89"/>
    </row>
    <row r="371">
      <c r="A371" s="89"/>
      <c r="B371" s="89"/>
      <c r="C371" s="140"/>
      <c r="D371" s="89"/>
      <c r="E371" s="89"/>
      <c r="F371" s="89"/>
      <c r="G371" s="89"/>
      <c r="H371" s="89"/>
      <c r="I371" s="89"/>
      <c r="J371" s="89"/>
      <c r="K371" s="89"/>
      <c r="L371" s="89"/>
      <c r="M371" s="89"/>
      <c r="N371" s="89"/>
      <c r="O371" s="89"/>
      <c r="P371" s="89"/>
      <c r="Q371" s="89"/>
      <c r="R371" s="89"/>
      <c r="S371" s="89"/>
      <c r="T371" s="89"/>
      <c r="U371" s="89"/>
      <c r="V371" s="89"/>
      <c r="W371" s="89"/>
      <c r="X371" s="89"/>
      <c r="Y371" s="89"/>
      <c r="Z371" s="89"/>
      <c r="AA371" s="89"/>
      <c r="AB371" s="89"/>
      <c r="AC371" s="89"/>
      <c r="AD371" s="89"/>
    </row>
    <row r="372">
      <c r="A372" s="89"/>
      <c r="B372" s="89"/>
      <c r="C372" s="140"/>
      <c r="D372" s="89"/>
      <c r="E372" s="89"/>
      <c r="F372" s="89"/>
      <c r="G372" s="89"/>
      <c r="H372" s="89"/>
      <c r="I372" s="89"/>
      <c r="J372" s="89"/>
      <c r="K372" s="89"/>
      <c r="L372" s="89"/>
      <c r="M372" s="89"/>
      <c r="N372" s="89"/>
      <c r="O372" s="89"/>
      <c r="P372" s="89"/>
      <c r="Q372" s="89"/>
      <c r="R372" s="89"/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</row>
    <row r="373">
      <c r="A373" s="89"/>
      <c r="B373" s="89"/>
      <c r="C373" s="140"/>
      <c r="D373" s="89"/>
      <c r="E373" s="89"/>
      <c r="F373" s="89"/>
      <c r="G373" s="89"/>
      <c r="H373" s="89"/>
      <c r="I373" s="89"/>
      <c r="J373" s="89"/>
      <c r="K373" s="89"/>
      <c r="L373" s="89"/>
      <c r="M373" s="89"/>
      <c r="N373" s="89"/>
      <c r="O373" s="89"/>
      <c r="P373" s="89"/>
      <c r="Q373" s="89"/>
      <c r="R373" s="89"/>
      <c r="S373" s="89"/>
      <c r="T373" s="89"/>
      <c r="U373" s="89"/>
      <c r="V373" s="89"/>
      <c r="W373" s="89"/>
      <c r="X373" s="89"/>
      <c r="Y373" s="89"/>
      <c r="Z373" s="89"/>
      <c r="AA373" s="89"/>
      <c r="AB373" s="89"/>
      <c r="AC373" s="89"/>
      <c r="AD373" s="89"/>
    </row>
    <row r="374">
      <c r="A374" s="89"/>
      <c r="B374" s="89"/>
      <c r="C374" s="140"/>
      <c r="D374" s="89"/>
      <c r="E374" s="89"/>
      <c r="F374" s="89"/>
      <c r="G374" s="89"/>
      <c r="H374" s="89"/>
      <c r="I374" s="89"/>
      <c r="J374" s="89"/>
      <c r="K374" s="89"/>
      <c r="L374" s="89"/>
      <c r="M374" s="89"/>
      <c r="N374" s="89"/>
      <c r="O374" s="89"/>
      <c r="P374" s="89"/>
      <c r="Q374" s="89"/>
      <c r="R374" s="89"/>
      <c r="S374" s="89"/>
      <c r="T374" s="89"/>
      <c r="U374" s="89"/>
      <c r="V374" s="89"/>
      <c r="W374" s="89"/>
      <c r="X374" s="89"/>
      <c r="Y374" s="89"/>
      <c r="Z374" s="89"/>
      <c r="AA374" s="89"/>
      <c r="AB374" s="89"/>
      <c r="AC374" s="89"/>
      <c r="AD374" s="89"/>
    </row>
    <row r="375">
      <c r="A375" s="89"/>
      <c r="B375" s="89"/>
      <c r="C375" s="140"/>
      <c r="D375" s="89"/>
      <c r="E375" s="89"/>
      <c r="F375" s="89"/>
      <c r="G375" s="89"/>
      <c r="H375" s="89"/>
      <c r="I375" s="89"/>
      <c r="J375" s="89"/>
      <c r="K375" s="89"/>
      <c r="L375" s="89"/>
      <c r="M375" s="89"/>
      <c r="N375" s="89"/>
      <c r="O375" s="89"/>
      <c r="P375" s="89"/>
      <c r="Q375" s="89"/>
      <c r="R375" s="89"/>
      <c r="S375" s="89"/>
      <c r="T375" s="89"/>
      <c r="U375" s="89"/>
      <c r="V375" s="89"/>
      <c r="W375" s="89"/>
      <c r="X375" s="89"/>
      <c r="Y375" s="89"/>
      <c r="Z375" s="89"/>
      <c r="AA375" s="89"/>
      <c r="AB375" s="89"/>
      <c r="AC375" s="89"/>
      <c r="AD375" s="89"/>
    </row>
    <row r="376">
      <c r="A376" s="89"/>
      <c r="B376" s="89"/>
      <c r="C376" s="140"/>
      <c r="D376" s="89"/>
      <c r="E376" s="89"/>
      <c r="F376" s="89"/>
      <c r="G376" s="89"/>
      <c r="H376" s="89"/>
      <c r="I376" s="89"/>
      <c r="J376" s="89"/>
      <c r="K376" s="89"/>
      <c r="L376" s="89"/>
      <c r="M376" s="89"/>
      <c r="N376" s="89"/>
      <c r="O376" s="89"/>
      <c r="P376" s="89"/>
      <c r="Q376" s="89"/>
      <c r="R376" s="89"/>
      <c r="S376" s="89"/>
      <c r="T376" s="89"/>
      <c r="U376" s="89"/>
      <c r="V376" s="89"/>
      <c r="W376" s="89"/>
      <c r="X376" s="89"/>
      <c r="Y376" s="89"/>
      <c r="Z376" s="89"/>
      <c r="AA376" s="89"/>
      <c r="AB376" s="89"/>
      <c r="AC376" s="89"/>
      <c r="AD376" s="89"/>
    </row>
    <row r="377">
      <c r="A377" s="89"/>
      <c r="B377" s="89"/>
      <c r="C377" s="140"/>
      <c r="D377" s="89"/>
      <c r="E377" s="89"/>
      <c r="F377" s="89"/>
      <c r="G377" s="89"/>
      <c r="H377" s="89"/>
      <c r="I377" s="89"/>
      <c r="J377" s="89"/>
      <c r="K377" s="89"/>
      <c r="L377" s="89"/>
      <c r="M377" s="89"/>
      <c r="N377" s="89"/>
      <c r="O377" s="89"/>
      <c r="P377" s="89"/>
      <c r="Q377" s="89"/>
      <c r="R377" s="89"/>
      <c r="S377" s="89"/>
      <c r="T377" s="89"/>
      <c r="U377" s="89"/>
      <c r="V377" s="89"/>
      <c r="W377" s="89"/>
      <c r="X377" s="89"/>
      <c r="Y377" s="89"/>
      <c r="Z377" s="89"/>
      <c r="AA377" s="89"/>
      <c r="AB377" s="89"/>
      <c r="AC377" s="89"/>
      <c r="AD377" s="89"/>
    </row>
    <row r="378">
      <c r="A378" s="89"/>
      <c r="B378" s="89"/>
      <c r="C378" s="140"/>
      <c r="D378" s="89"/>
      <c r="E378" s="89"/>
      <c r="F378" s="89"/>
      <c r="G378" s="89"/>
      <c r="H378" s="89"/>
      <c r="I378" s="89"/>
      <c r="J378" s="89"/>
      <c r="K378" s="89"/>
      <c r="L378" s="89"/>
      <c r="M378" s="89"/>
      <c r="N378" s="89"/>
      <c r="O378" s="89"/>
      <c r="P378" s="89"/>
      <c r="Q378" s="89"/>
      <c r="R378" s="89"/>
      <c r="S378" s="89"/>
      <c r="T378" s="89"/>
      <c r="U378" s="89"/>
      <c r="V378" s="89"/>
      <c r="W378" s="89"/>
      <c r="X378" s="89"/>
      <c r="Y378" s="89"/>
      <c r="Z378" s="89"/>
      <c r="AA378" s="89"/>
      <c r="AB378" s="89"/>
      <c r="AC378" s="89"/>
      <c r="AD378" s="89"/>
    </row>
    <row r="379">
      <c r="A379" s="89"/>
      <c r="B379" s="89"/>
      <c r="C379" s="140"/>
      <c r="D379" s="89"/>
      <c r="E379" s="89"/>
      <c r="F379" s="89"/>
      <c r="G379" s="89"/>
      <c r="H379" s="89"/>
      <c r="I379" s="89"/>
      <c r="J379" s="89"/>
      <c r="K379" s="89"/>
      <c r="L379" s="89"/>
      <c r="M379" s="89"/>
      <c r="N379" s="89"/>
      <c r="O379" s="89"/>
      <c r="P379" s="89"/>
      <c r="Q379" s="89"/>
      <c r="R379" s="89"/>
      <c r="S379" s="89"/>
      <c r="T379" s="89"/>
      <c r="U379" s="89"/>
      <c r="V379" s="89"/>
      <c r="W379" s="89"/>
      <c r="X379" s="89"/>
      <c r="Y379" s="89"/>
      <c r="Z379" s="89"/>
      <c r="AA379" s="89"/>
      <c r="AB379" s="89"/>
      <c r="AC379" s="89"/>
      <c r="AD379" s="89"/>
    </row>
    <row r="380">
      <c r="A380" s="89"/>
      <c r="B380" s="89"/>
      <c r="C380" s="140"/>
      <c r="D380" s="89"/>
      <c r="E380" s="89"/>
      <c r="F380" s="89"/>
      <c r="G380" s="89"/>
      <c r="H380" s="89"/>
      <c r="I380" s="89"/>
      <c r="J380" s="89"/>
      <c r="K380" s="89"/>
      <c r="L380" s="89"/>
      <c r="M380" s="89"/>
      <c r="N380" s="89"/>
      <c r="O380" s="89"/>
      <c r="P380" s="89"/>
      <c r="Q380" s="89"/>
      <c r="R380" s="89"/>
      <c r="S380" s="89"/>
      <c r="T380" s="89"/>
      <c r="U380" s="89"/>
      <c r="V380" s="89"/>
      <c r="W380" s="89"/>
      <c r="X380" s="89"/>
      <c r="Y380" s="89"/>
      <c r="Z380" s="89"/>
      <c r="AA380" s="89"/>
      <c r="AB380" s="89"/>
      <c r="AC380" s="89"/>
      <c r="AD380" s="89"/>
    </row>
    <row r="381">
      <c r="A381" s="89"/>
      <c r="B381" s="89"/>
      <c r="C381" s="140"/>
      <c r="D381" s="89"/>
      <c r="E381" s="89"/>
      <c r="F381" s="89"/>
      <c r="G381" s="89"/>
      <c r="H381" s="89"/>
      <c r="I381" s="89"/>
      <c r="J381" s="89"/>
      <c r="K381" s="89"/>
      <c r="L381" s="89"/>
      <c r="M381" s="89"/>
      <c r="N381" s="89"/>
      <c r="O381" s="89"/>
      <c r="P381" s="89"/>
      <c r="Q381" s="89"/>
      <c r="R381" s="89"/>
      <c r="S381" s="89"/>
      <c r="T381" s="89"/>
      <c r="U381" s="89"/>
      <c r="V381" s="89"/>
      <c r="W381" s="89"/>
      <c r="X381" s="89"/>
      <c r="Y381" s="89"/>
      <c r="Z381" s="89"/>
      <c r="AA381" s="89"/>
      <c r="AB381" s="89"/>
      <c r="AC381" s="89"/>
      <c r="AD381" s="89"/>
    </row>
    <row r="382">
      <c r="A382" s="89"/>
      <c r="B382" s="89"/>
      <c r="C382" s="140"/>
      <c r="D382" s="89"/>
      <c r="E382" s="89"/>
      <c r="F382" s="89"/>
      <c r="G382" s="89"/>
      <c r="H382" s="89"/>
      <c r="I382" s="89"/>
      <c r="J382" s="89"/>
      <c r="K382" s="89"/>
      <c r="L382" s="89"/>
      <c r="M382" s="89"/>
      <c r="N382" s="89"/>
      <c r="O382" s="89"/>
      <c r="P382" s="89"/>
      <c r="Q382" s="89"/>
      <c r="R382" s="89"/>
      <c r="S382" s="89"/>
      <c r="T382" s="89"/>
      <c r="U382" s="89"/>
      <c r="V382" s="89"/>
      <c r="W382" s="89"/>
      <c r="X382" s="89"/>
      <c r="Y382" s="89"/>
      <c r="Z382" s="89"/>
      <c r="AA382" s="89"/>
      <c r="AB382" s="89"/>
      <c r="AC382" s="89"/>
      <c r="AD382" s="89"/>
    </row>
    <row r="383">
      <c r="A383" s="89"/>
      <c r="B383" s="89"/>
      <c r="C383" s="140"/>
      <c r="D383" s="89"/>
      <c r="E383" s="89"/>
      <c r="F383" s="89"/>
      <c r="G383" s="89"/>
      <c r="H383" s="89"/>
      <c r="I383" s="89"/>
      <c r="J383" s="89"/>
      <c r="K383" s="89"/>
      <c r="L383" s="89"/>
      <c r="M383" s="89"/>
      <c r="N383" s="89"/>
      <c r="O383" s="89"/>
      <c r="P383" s="89"/>
      <c r="Q383" s="89"/>
      <c r="R383" s="89"/>
      <c r="S383" s="89"/>
      <c r="T383" s="89"/>
      <c r="U383" s="89"/>
      <c r="V383" s="89"/>
      <c r="W383" s="89"/>
      <c r="X383" s="89"/>
      <c r="Y383" s="89"/>
      <c r="Z383" s="89"/>
      <c r="AA383" s="89"/>
      <c r="AB383" s="89"/>
      <c r="AC383" s="89"/>
      <c r="AD383" s="89"/>
    </row>
    <row r="384">
      <c r="A384" s="89"/>
      <c r="B384" s="89"/>
      <c r="C384" s="140"/>
      <c r="D384" s="89"/>
      <c r="E384" s="89"/>
      <c r="F384" s="89"/>
      <c r="G384" s="89"/>
      <c r="H384" s="89"/>
      <c r="I384" s="89"/>
      <c r="J384" s="89"/>
      <c r="K384" s="89"/>
      <c r="L384" s="89"/>
      <c r="M384" s="89"/>
      <c r="N384" s="89"/>
      <c r="O384" s="89"/>
      <c r="P384" s="89"/>
      <c r="Q384" s="89"/>
      <c r="R384" s="89"/>
      <c r="S384" s="89"/>
      <c r="T384" s="89"/>
      <c r="U384" s="89"/>
      <c r="V384" s="89"/>
      <c r="W384" s="89"/>
      <c r="X384" s="89"/>
      <c r="Y384" s="89"/>
      <c r="Z384" s="89"/>
      <c r="AA384" s="89"/>
      <c r="AB384" s="89"/>
      <c r="AC384" s="89"/>
      <c r="AD384" s="89"/>
    </row>
    <row r="385">
      <c r="A385" s="89"/>
      <c r="B385" s="89"/>
      <c r="C385" s="140"/>
      <c r="D385" s="89"/>
      <c r="E385" s="89"/>
      <c r="F385" s="89"/>
      <c r="G385" s="89"/>
      <c r="H385" s="89"/>
      <c r="I385" s="89"/>
      <c r="J385" s="89"/>
      <c r="K385" s="89"/>
      <c r="L385" s="89"/>
      <c r="M385" s="89"/>
      <c r="N385" s="89"/>
      <c r="O385" s="89"/>
      <c r="P385" s="89"/>
      <c r="Q385" s="89"/>
      <c r="R385" s="89"/>
      <c r="S385" s="89"/>
      <c r="T385" s="89"/>
      <c r="U385" s="89"/>
      <c r="V385" s="89"/>
      <c r="W385" s="89"/>
      <c r="X385" s="89"/>
      <c r="Y385" s="89"/>
      <c r="Z385" s="89"/>
      <c r="AA385" s="89"/>
      <c r="AB385" s="89"/>
      <c r="AC385" s="89"/>
      <c r="AD385" s="89"/>
    </row>
    <row r="386">
      <c r="A386" s="89"/>
      <c r="B386" s="89"/>
      <c r="C386" s="140"/>
      <c r="D386" s="89"/>
      <c r="E386" s="89"/>
      <c r="F386" s="89"/>
      <c r="G386" s="89"/>
      <c r="H386" s="89"/>
      <c r="I386" s="89"/>
      <c r="J386" s="89"/>
      <c r="K386" s="89"/>
      <c r="L386" s="89"/>
      <c r="M386" s="89"/>
      <c r="N386" s="89"/>
      <c r="O386" s="89"/>
      <c r="P386" s="89"/>
      <c r="Q386" s="89"/>
      <c r="R386" s="89"/>
      <c r="S386" s="89"/>
      <c r="T386" s="89"/>
      <c r="U386" s="89"/>
      <c r="V386" s="89"/>
      <c r="W386" s="89"/>
      <c r="X386" s="89"/>
      <c r="Y386" s="89"/>
      <c r="Z386" s="89"/>
      <c r="AA386" s="89"/>
      <c r="AB386" s="89"/>
      <c r="AC386" s="89"/>
      <c r="AD386" s="89"/>
    </row>
    <row r="387">
      <c r="A387" s="89"/>
      <c r="B387" s="89"/>
      <c r="C387" s="140"/>
      <c r="D387" s="89"/>
      <c r="E387" s="89"/>
      <c r="F387" s="89"/>
      <c r="G387" s="89"/>
      <c r="H387" s="89"/>
      <c r="I387" s="89"/>
      <c r="J387" s="89"/>
      <c r="K387" s="89"/>
      <c r="L387" s="89"/>
      <c r="M387" s="89"/>
      <c r="N387" s="89"/>
      <c r="O387" s="89"/>
      <c r="P387" s="89"/>
      <c r="Q387" s="89"/>
      <c r="R387" s="89"/>
      <c r="S387" s="89"/>
      <c r="T387" s="89"/>
      <c r="U387" s="89"/>
      <c r="V387" s="89"/>
      <c r="W387" s="89"/>
      <c r="X387" s="89"/>
      <c r="Y387" s="89"/>
      <c r="Z387" s="89"/>
      <c r="AA387" s="89"/>
      <c r="AB387" s="89"/>
      <c r="AC387" s="89"/>
      <c r="AD387" s="89"/>
    </row>
    <row r="388">
      <c r="A388" s="89"/>
      <c r="B388" s="89"/>
      <c r="C388" s="140"/>
      <c r="D388" s="89"/>
      <c r="E388" s="89"/>
      <c r="F388" s="89"/>
      <c r="G388" s="89"/>
      <c r="H388" s="89"/>
      <c r="I388" s="89"/>
      <c r="J388" s="89"/>
      <c r="K388" s="89"/>
      <c r="L388" s="89"/>
      <c r="M388" s="89"/>
      <c r="N388" s="89"/>
      <c r="O388" s="89"/>
      <c r="P388" s="89"/>
      <c r="Q388" s="89"/>
      <c r="R388" s="89"/>
      <c r="S388" s="89"/>
      <c r="T388" s="89"/>
      <c r="U388" s="89"/>
      <c r="V388" s="89"/>
      <c r="W388" s="89"/>
      <c r="X388" s="89"/>
      <c r="Y388" s="89"/>
      <c r="Z388" s="89"/>
      <c r="AA388" s="89"/>
      <c r="AB388" s="89"/>
      <c r="AC388" s="89"/>
      <c r="AD388" s="89"/>
    </row>
    <row r="389">
      <c r="A389" s="89"/>
      <c r="B389" s="89"/>
      <c r="C389" s="140"/>
      <c r="D389" s="89"/>
      <c r="E389" s="89"/>
      <c r="F389" s="89"/>
      <c r="G389" s="89"/>
      <c r="H389" s="89"/>
      <c r="I389" s="89"/>
      <c r="J389" s="89"/>
      <c r="K389" s="89"/>
      <c r="L389" s="89"/>
      <c r="M389" s="89"/>
      <c r="N389" s="89"/>
      <c r="O389" s="89"/>
      <c r="P389" s="89"/>
      <c r="Q389" s="89"/>
      <c r="R389" s="89"/>
      <c r="S389" s="89"/>
      <c r="T389" s="89"/>
      <c r="U389" s="89"/>
      <c r="V389" s="89"/>
      <c r="W389" s="89"/>
      <c r="X389" s="89"/>
      <c r="Y389" s="89"/>
      <c r="Z389" s="89"/>
      <c r="AA389" s="89"/>
      <c r="AB389" s="89"/>
      <c r="AC389" s="89"/>
      <c r="AD389" s="89"/>
    </row>
    <row r="390">
      <c r="A390" s="89"/>
      <c r="B390" s="89"/>
      <c r="C390" s="140"/>
      <c r="D390" s="89"/>
      <c r="E390" s="89"/>
      <c r="F390" s="89"/>
      <c r="G390" s="89"/>
      <c r="H390" s="89"/>
      <c r="I390" s="89"/>
      <c r="J390" s="89"/>
      <c r="K390" s="89"/>
      <c r="L390" s="89"/>
      <c r="M390" s="89"/>
      <c r="N390" s="89"/>
      <c r="O390" s="89"/>
      <c r="P390" s="89"/>
      <c r="Q390" s="89"/>
      <c r="R390" s="89"/>
      <c r="S390" s="89"/>
      <c r="T390" s="89"/>
      <c r="U390" s="89"/>
      <c r="V390" s="89"/>
      <c r="W390" s="89"/>
      <c r="X390" s="89"/>
      <c r="Y390" s="89"/>
      <c r="Z390" s="89"/>
      <c r="AA390" s="89"/>
      <c r="AB390" s="89"/>
      <c r="AC390" s="89"/>
      <c r="AD390" s="89"/>
    </row>
    <row r="391">
      <c r="A391" s="89"/>
      <c r="B391" s="89"/>
      <c r="C391" s="140"/>
      <c r="D391" s="89"/>
      <c r="E391" s="89"/>
      <c r="F391" s="89"/>
      <c r="G391" s="89"/>
      <c r="H391" s="89"/>
      <c r="I391" s="89"/>
      <c r="J391" s="89"/>
      <c r="K391" s="89"/>
      <c r="L391" s="89"/>
      <c r="M391" s="89"/>
      <c r="N391" s="89"/>
      <c r="O391" s="89"/>
      <c r="P391" s="89"/>
      <c r="Q391" s="89"/>
      <c r="R391" s="89"/>
      <c r="S391" s="89"/>
      <c r="T391" s="89"/>
      <c r="U391" s="89"/>
      <c r="V391" s="89"/>
      <c r="W391" s="89"/>
      <c r="X391" s="89"/>
      <c r="Y391" s="89"/>
      <c r="Z391" s="89"/>
      <c r="AA391" s="89"/>
      <c r="AB391" s="89"/>
      <c r="AC391" s="89"/>
      <c r="AD391" s="89"/>
    </row>
    <row r="392">
      <c r="A392" s="89"/>
      <c r="B392" s="89"/>
      <c r="C392" s="140"/>
      <c r="D392" s="89"/>
      <c r="E392" s="89"/>
      <c r="F392" s="89"/>
      <c r="G392" s="89"/>
      <c r="H392" s="89"/>
      <c r="I392" s="89"/>
      <c r="J392" s="89"/>
      <c r="K392" s="89"/>
      <c r="L392" s="89"/>
      <c r="M392" s="89"/>
      <c r="N392" s="89"/>
      <c r="O392" s="89"/>
      <c r="P392" s="89"/>
      <c r="Q392" s="89"/>
      <c r="R392" s="89"/>
      <c r="S392" s="89"/>
      <c r="T392" s="89"/>
      <c r="U392" s="89"/>
      <c r="V392" s="89"/>
      <c r="W392" s="89"/>
      <c r="X392" s="89"/>
      <c r="Y392" s="89"/>
      <c r="Z392" s="89"/>
      <c r="AA392" s="89"/>
      <c r="AB392" s="89"/>
      <c r="AC392" s="89"/>
      <c r="AD392" s="89"/>
    </row>
    <row r="393">
      <c r="A393" s="89"/>
      <c r="B393" s="89"/>
      <c r="C393" s="140"/>
      <c r="D393" s="89"/>
      <c r="E393" s="89"/>
      <c r="F393" s="89"/>
      <c r="G393" s="89"/>
      <c r="H393" s="89"/>
      <c r="I393" s="89"/>
      <c r="J393" s="89"/>
      <c r="K393" s="89"/>
      <c r="L393" s="89"/>
      <c r="M393" s="89"/>
      <c r="N393" s="89"/>
      <c r="O393" s="89"/>
      <c r="P393" s="89"/>
      <c r="Q393" s="89"/>
      <c r="R393" s="89"/>
      <c r="S393" s="89"/>
      <c r="T393" s="89"/>
      <c r="U393" s="89"/>
      <c r="V393" s="89"/>
      <c r="W393" s="89"/>
      <c r="X393" s="89"/>
      <c r="Y393" s="89"/>
      <c r="Z393" s="89"/>
      <c r="AA393" s="89"/>
      <c r="AB393" s="89"/>
      <c r="AC393" s="89"/>
      <c r="AD393" s="89"/>
    </row>
    <row r="394">
      <c r="A394" s="89"/>
      <c r="B394" s="89"/>
      <c r="C394" s="140"/>
      <c r="D394" s="89"/>
      <c r="E394" s="89"/>
      <c r="F394" s="89"/>
      <c r="G394" s="89"/>
      <c r="H394" s="89"/>
      <c r="I394" s="89"/>
      <c r="J394" s="89"/>
      <c r="K394" s="89"/>
      <c r="L394" s="89"/>
      <c r="M394" s="89"/>
      <c r="N394" s="89"/>
      <c r="O394" s="89"/>
      <c r="P394" s="89"/>
      <c r="Q394" s="89"/>
      <c r="R394" s="89"/>
      <c r="S394" s="89"/>
      <c r="T394" s="89"/>
      <c r="U394" s="89"/>
      <c r="V394" s="89"/>
      <c r="W394" s="89"/>
      <c r="X394" s="89"/>
      <c r="Y394" s="89"/>
      <c r="Z394" s="89"/>
      <c r="AA394" s="89"/>
      <c r="AB394" s="89"/>
      <c r="AC394" s="89"/>
      <c r="AD394" s="89"/>
    </row>
    <row r="395">
      <c r="A395" s="89"/>
      <c r="B395" s="89"/>
      <c r="C395" s="140"/>
      <c r="D395" s="89"/>
      <c r="E395" s="89"/>
      <c r="F395" s="89"/>
      <c r="G395" s="89"/>
      <c r="H395" s="89"/>
      <c r="I395" s="89"/>
      <c r="J395" s="89"/>
      <c r="K395" s="89"/>
      <c r="L395" s="89"/>
      <c r="M395" s="89"/>
      <c r="N395" s="89"/>
      <c r="O395" s="89"/>
      <c r="P395" s="89"/>
      <c r="Q395" s="89"/>
      <c r="R395" s="89"/>
      <c r="S395" s="89"/>
      <c r="T395" s="89"/>
      <c r="U395" s="89"/>
      <c r="V395" s="89"/>
      <c r="W395" s="89"/>
      <c r="X395" s="89"/>
      <c r="Y395" s="89"/>
      <c r="Z395" s="89"/>
      <c r="AA395" s="89"/>
      <c r="AB395" s="89"/>
      <c r="AC395" s="89"/>
      <c r="AD395" s="89"/>
    </row>
    <row r="396">
      <c r="A396" s="89"/>
      <c r="B396" s="89"/>
      <c r="C396" s="140"/>
      <c r="D396" s="89"/>
      <c r="E396" s="89"/>
      <c r="F396" s="89"/>
      <c r="G396" s="89"/>
      <c r="H396" s="89"/>
      <c r="I396" s="89"/>
      <c r="J396" s="89"/>
      <c r="K396" s="89"/>
      <c r="L396" s="89"/>
      <c r="M396" s="89"/>
      <c r="N396" s="89"/>
      <c r="O396" s="89"/>
      <c r="P396" s="89"/>
      <c r="Q396" s="89"/>
      <c r="R396" s="89"/>
      <c r="S396" s="89"/>
      <c r="T396" s="89"/>
      <c r="U396" s="89"/>
      <c r="V396" s="89"/>
      <c r="W396" s="89"/>
      <c r="X396" s="89"/>
      <c r="Y396" s="89"/>
      <c r="Z396" s="89"/>
      <c r="AA396" s="89"/>
      <c r="AB396" s="89"/>
      <c r="AC396" s="89"/>
      <c r="AD396" s="89"/>
    </row>
    <row r="397">
      <c r="A397" s="89"/>
      <c r="B397" s="89"/>
      <c r="C397" s="140"/>
      <c r="D397" s="89"/>
      <c r="E397" s="89"/>
      <c r="F397" s="89"/>
      <c r="G397" s="89"/>
      <c r="H397" s="89"/>
      <c r="I397" s="89"/>
      <c r="J397" s="89"/>
      <c r="K397" s="89"/>
      <c r="L397" s="89"/>
      <c r="M397" s="89"/>
      <c r="N397" s="89"/>
      <c r="O397" s="89"/>
      <c r="P397" s="89"/>
      <c r="Q397" s="89"/>
      <c r="R397" s="89"/>
      <c r="S397" s="89"/>
      <c r="T397" s="89"/>
      <c r="U397" s="89"/>
      <c r="V397" s="89"/>
      <c r="W397" s="89"/>
      <c r="X397" s="89"/>
      <c r="Y397" s="89"/>
      <c r="Z397" s="89"/>
      <c r="AA397" s="89"/>
      <c r="AB397" s="89"/>
      <c r="AC397" s="89"/>
      <c r="AD397" s="89"/>
    </row>
    <row r="398">
      <c r="A398" s="89"/>
      <c r="B398" s="89"/>
      <c r="C398" s="140"/>
      <c r="D398" s="89"/>
      <c r="E398" s="89"/>
      <c r="F398" s="89"/>
      <c r="G398" s="89"/>
      <c r="H398" s="89"/>
      <c r="I398" s="89"/>
      <c r="J398" s="89"/>
      <c r="K398" s="89"/>
      <c r="L398" s="89"/>
      <c r="M398" s="89"/>
      <c r="N398" s="89"/>
      <c r="O398" s="89"/>
      <c r="P398" s="89"/>
      <c r="Q398" s="89"/>
      <c r="R398" s="89"/>
      <c r="S398" s="89"/>
      <c r="T398" s="89"/>
      <c r="U398" s="89"/>
      <c r="V398" s="89"/>
      <c r="W398" s="89"/>
      <c r="X398" s="89"/>
      <c r="Y398" s="89"/>
      <c r="Z398" s="89"/>
      <c r="AA398" s="89"/>
      <c r="AB398" s="89"/>
      <c r="AC398" s="89"/>
      <c r="AD398" s="89"/>
    </row>
    <row r="399">
      <c r="A399" s="89"/>
      <c r="B399" s="89"/>
      <c r="C399" s="140"/>
      <c r="D399" s="89"/>
      <c r="E399" s="89"/>
      <c r="F399" s="89"/>
      <c r="G399" s="89"/>
      <c r="H399" s="89"/>
      <c r="I399" s="89"/>
      <c r="J399" s="89"/>
      <c r="K399" s="89"/>
      <c r="L399" s="89"/>
      <c r="M399" s="89"/>
      <c r="N399" s="89"/>
      <c r="O399" s="89"/>
      <c r="P399" s="89"/>
      <c r="Q399" s="89"/>
      <c r="R399" s="89"/>
      <c r="S399" s="89"/>
      <c r="T399" s="89"/>
      <c r="U399" s="89"/>
      <c r="V399" s="89"/>
      <c r="W399" s="89"/>
      <c r="X399" s="89"/>
      <c r="Y399" s="89"/>
      <c r="Z399" s="89"/>
      <c r="AA399" s="89"/>
      <c r="AB399" s="89"/>
      <c r="AC399" s="89"/>
      <c r="AD399" s="89"/>
    </row>
    <row r="400">
      <c r="A400" s="89"/>
      <c r="B400" s="89"/>
      <c r="C400" s="140"/>
      <c r="D400" s="89"/>
      <c r="E400" s="89"/>
      <c r="F400" s="89"/>
      <c r="G400" s="89"/>
      <c r="H400" s="89"/>
      <c r="I400" s="89"/>
      <c r="J400" s="89"/>
      <c r="K400" s="89"/>
      <c r="L400" s="89"/>
      <c r="M400" s="89"/>
      <c r="N400" s="89"/>
      <c r="O400" s="89"/>
      <c r="P400" s="89"/>
      <c r="Q400" s="89"/>
      <c r="R400" s="89"/>
      <c r="S400" s="89"/>
      <c r="T400" s="89"/>
      <c r="U400" s="89"/>
      <c r="V400" s="89"/>
      <c r="W400" s="89"/>
      <c r="X400" s="89"/>
      <c r="Y400" s="89"/>
      <c r="Z400" s="89"/>
      <c r="AA400" s="89"/>
      <c r="AB400" s="89"/>
      <c r="AC400" s="89"/>
      <c r="AD400" s="89"/>
    </row>
    <row r="401">
      <c r="A401" s="89"/>
      <c r="B401" s="89"/>
      <c r="C401" s="140"/>
      <c r="D401" s="89"/>
      <c r="E401" s="89"/>
      <c r="F401" s="89"/>
      <c r="G401" s="89"/>
      <c r="H401" s="89"/>
      <c r="I401" s="89"/>
      <c r="J401" s="89"/>
      <c r="K401" s="89"/>
      <c r="L401" s="89"/>
      <c r="M401" s="89"/>
      <c r="N401" s="89"/>
      <c r="O401" s="89"/>
      <c r="P401" s="89"/>
      <c r="Q401" s="89"/>
      <c r="R401" s="89"/>
      <c r="S401" s="89"/>
      <c r="T401" s="89"/>
      <c r="U401" s="89"/>
      <c r="V401" s="89"/>
      <c r="W401" s="89"/>
      <c r="X401" s="89"/>
      <c r="Y401" s="89"/>
      <c r="Z401" s="89"/>
      <c r="AA401" s="89"/>
      <c r="AB401" s="89"/>
      <c r="AC401" s="89"/>
      <c r="AD401" s="89"/>
    </row>
    <row r="402">
      <c r="A402" s="89"/>
      <c r="B402" s="89"/>
      <c r="C402" s="140"/>
      <c r="D402" s="89"/>
      <c r="E402" s="89"/>
      <c r="F402" s="89"/>
      <c r="G402" s="89"/>
      <c r="H402" s="89"/>
      <c r="I402" s="89"/>
      <c r="J402" s="89"/>
      <c r="K402" s="89"/>
      <c r="L402" s="89"/>
      <c r="M402" s="89"/>
      <c r="N402" s="89"/>
      <c r="O402" s="89"/>
      <c r="P402" s="89"/>
      <c r="Q402" s="89"/>
      <c r="R402" s="89"/>
      <c r="S402" s="89"/>
      <c r="T402" s="89"/>
      <c r="U402" s="89"/>
      <c r="V402" s="89"/>
      <c r="W402" s="89"/>
      <c r="X402" s="89"/>
      <c r="Y402" s="89"/>
      <c r="Z402" s="89"/>
      <c r="AA402" s="89"/>
      <c r="AB402" s="89"/>
      <c r="AC402" s="89"/>
      <c r="AD402" s="89"/>
    </row>
    <row r="403">
      <c r="A403" s="89"/>
      <c r="B403" s="89"/>
      <c r="C403" s="140"/>
      <c r="D403" s="89"/>
      <c r="E403" s="89"/>
      <c r="F403" s="89"/>
      <c r="G403" s="89"/>
      <c r="H403" s="89"/>
      <c r="I403" s="89"/>
      <c r="J403" s="89"/>
      <c r="K403" s="89"/>
      <c r="L403" s="89"/>
      <c r="M403" s="89"/>
      <c r="N403" s="89"/>
      <c r="O403" s="89"/>
      <c r="P403" s="89"/>
      <c r="Q403" s="89"/>
      <c r="R403" s="89"/>
      <c r="S403" s="89"/>
      <c r="T403" s="89"/>
      <c r="U403" s="89"/>
      <c r="V403" s="89"/>
      <c r="W403" s="89"/>
      <c r="X403" s="89"/>
      <c r="Y403" s="89"/>
      <c r="Z403" s="89"/>
      <c r="AA403" s="89"/>
      <c r="AB403" s="89"/>
      <c r="AC403" s="89"/>
      <c r="AD403" s="89"/>
    </row>
    <row r="404">
      <c r="A404" s="89"/>
      <c r="B404" s="89"/>
      <c r="C404" s="140"/>
      <c r="D404" s="89"/>
      <c r="E404" s="89"/>
      <c r="F404" s="89"/>
      <c r="G404" s="89"/>
      <c r="H404" s="89"/>
      <c r="I404" s="89"/>
      <c r="J404" s="89"/>
      <c r="K404" s="89"/>
      <c r="L404" s="89"/>
      <c r="M404" s="89"/>
      <c r="N404" s="89"/>
      <c r="O404" s="89"/>
      <c r="P404" s="89"/>
      <c r="Q404" s="89"/>
      <c r="R404" s="89"/>
      <c r="S404" s="89"/>
      <c r="T404" s="89"/>
      <c r="U404" s="89"/>
      <c r="V404" s="89"/>
      <c r="W404" s="89"/>
      <c r="X404" s="89"/>
      <c r="Y404" s="89"/>
      <c r="Z404" s="89"/>
      <c r="AA404" s="89"/>
      <c r="AB404" s="89"/>
      <c r="AC404" s="89"/>
      <c r="AD404" s="89"/>
    </row>
    <row r="405">
      <c r="A405" s="89"/>
      <c r="B405" s="89"/>
      <c r="C405" s="140"/>
      <c r="D405" s="89"/>
      <c r="E405" s="89"/>
      <c r="F405" s="89"/>
      <c r="G405" s="89"/>
      <c r="H405" s="89"/>
      <c r="I405" s="89"/>
      <c r="J405" s="89"/>
      <c r="K405" s="89"/>
      <c r="L405" s="89"/>
      <c r="M405" s="89"/>
      <c r="N405" s="89"/>
      <c r="O405" s="89"/>
      <c r="P405" s="89"/>
      <c r="Q405" s="89"/>
      <c r="R405" s="89"/>
      <c r="S405" s="89"/>
      <c r="T405" s="89"/>
      <c r="U405" s="89"/>
      <c r="V405" s="89"/>
      <c r="W405" s="89"/>
      <c r="X405" s="89"/>
      <c r="Y405" s="89"/>
      <c r="Z405" s="89"/>
      <c r="AA405" s="89"/>
      <c r="AB405" s="89"/>
      <c r="AC405" s="89"/>
      <c r="AD405" s="89"/>
    </row>
    <row r="406">
      <c r="A406" s="89"/>
      <c r="B406" s="89"/>
      <c r="C406" s="140"/>
      <c r="D406" s="89"/>
      <c r="E406" s="89"/>
      <c r="F406" s="89"/>
      <c r="G406" s="89"/>
      <c r="H406" s="89"/>
      <c r="I406" s="89"/>
      <c r="J406" s="89"/>
      <c r="K406" s="89"/>
      <c r="L406" s="89"/>
      <c r="M406" s="89"/>
      <c r="N406" s="89"/>
      <c r="O406" s="89"/>
      <c r="P406" s="89"/>
      <c r="Q406" s="89"/>
      <c r="R406" s="89"/>
      <c r="S406" s="89"/>
      <c r="T406" s="89"/>
      <c r="U406" s="89"/>
      <c r="V406" s="89"/>
      <c r="W406" s="89"/>
      <c r="X406" s="89"/>
      <c r="Y406" s="89"/>
      <c r="Z406" s="89"/>
      <c r="AA406" s="89"/>
      <c r="AB406" s="89"/>
      <c r="AC406" s="89"/>
      <c r="AD406" s="89"/>
    </row>
    <row r="407">
      <c r="A407" s="89"/>
      <c r="B407" s="89"/>
      <c r="C407" s="140"/>
      <c r="D407" s="89"/>
      <c r="E407" s="89"/>
      <c r="F407" s="89"/>
      <c r="G407" s="89"/>
      <c r="H407" s="89"/>
      <c r="I407" s="89"/>
      <c r="J407" s="89"/>
      <c r="K407" s="89"/>
      <c r="L407" s="89"/>
      <c r="M407" s="89"/>
      <c r="N407" s="89"/>
      <c r="O407" s="89"/>
      <c r="P407" s="89"/>
      <c r="Q407" s="89"/>
      <c r="R407" s="89"/>
      <c r="S407" s="89"/>
      <c r="T407" s="89"/>
      <c r="U407" s="89"/>
      <c r="V407" s="89"/>
      <c r="W407" s="89"/>
      <c r="X407" s="89"/>
      <c r="Y407" s="89"/>
      <c r="Z407" s="89"/>
      <c r="AA407" s="89"/>
      <c r="AB407" s="89"/>
      <c r="AC407" s="89"/>
      <c r="AD407" s="89"/>
    </row>
    <row r="408">
      <c r="A408" s="89"/>
      <c r="B408" s="89"/>
      <c r="C408" s="140"/>
      <c r="D408" s="89"/>
      <c r="E408" s="89"/>
      <c r="F408" s="89"/>
      <c r="G408" s="89"/>
      <c r="H408" s="89"/>
      <c r="I408" s="89"/>
      <c r="J408" s="89"/>
      <c r="K408" s="89"/>
      <c r="L408" s="89"/>
      <c r="M408" s="89"/>
      <c r="N408" s="89"/>
      <c r="O408" s="89"/>
      <c r="P408" s="89"/>
      <c r="Q408" s="89"/>
      <c r="R408" s="89"/>
      <c r="S408" s="89"/>
      <c r="T408" s="89"/>
      <c r="U408" s="89"/>
      <c r="V408" s="89"/>
      <c r="W408" s="89"/>
      <c r="X408" s="89"/>
      <c r="Y408" s="89"/>
      <c r="Z408" s="89"/>
      <c r="AA408" s="89"/>
      <c r="AB408" s="89"/>
      <c r="AC408" s="89"/>
      <c r="AD408" s="89"/>
    </row>
    <row r="409">
      <c r="A409" s="89"/>
      <c r="B409" s="89"/>
      <c r="C409" s="140"/>
      <c r="D409" s="89"/>
      <c r="E409" s="89"/>
      <c r="F409" s="89"/>
      <c r="G409" s="89"/>
      <c r="H409" s="89"/>
      <c r="I409" s="89"/>
      <c r="J409" s="89"/>
      <c r="K409" s="89"/>
      <c r="L409" s="89"/>
      <c r="M409" s="89"/>
      <c r="N409" s="89"/>
      <c r="O409" s="89"/>
      <c r="P409" s="89"/>
      <c r="Q409" s="89"/>
      <c r="R409" s="89"/>
      <c r="S409" s="89"/>
      <c r="T409" s="89"/>
      <c r="U409" s="89"/>
      <c r="V409" s="89"/>
      <c r="W409" s="89"/>
      <c r="X409" s="89"/>
      <c r="Y409" s="89"/>
      <c r="Z409" s="89"/>
      <c r="AA409" s="89"/>
      <c r="AB409" s="89"/>
      <c r="AC409" s="89"/>
      <c r="AD409" s="89"/>
    </row>
    <row r="410">
      <c r="A410" s="89"/>
      <c r="B410" s="89"/>
      <c r="C410" s="140"/>
      <c r="D410" s="89"/>
      <c r="E410" s="89"/>
      <c r="F410" s="89"/>
      <c r="G410" s="89"/>
      <c r="H410" s="89"/>
      <c r="I410" s="89"/>
      <c r="J410" s="89"/>
      <c r="K410" s="89"/>
      <c r="L410" s="89"/>
      <c r="M410" s="89"/>
      <c r="N410" s="89"/>
      <c r="O410" s="89"/>
      <c r="P410" s="89"/>
      <c r="Q410" s="89"/>
      <c r="R410" s="89"/>
      <c r="S410" s="89"/>
      <c r="T410" s="89"/>
      <c r="U410" s="89"/>
      <c r="V410" s="89"/>
      <c r="W410" s="89"/>
      <c r="X410" s="89"/>
      <c r="Y410" s="89"/>
      <c r="Z410" s="89"/>
      <c r="AA410" s="89"/>
      <c r="AB410" s="89"/>
      <c r="AC410" s="89"/>
      <c r="AD410" s="89"/>
    </row>
    <row r="411">
      <c r="A411" s="89"/>
      <c r="B411" s="89"/>
      <c r="C411" s="140"/>
      <c r="D411" s="89"/>
      <c r="E411" s="89"/>
      <c r="F411" s="89"/>
      <c r="G411" s="89"/>
      <c r="H411" s="89"/>
      <c r="I411" s="89"/>
      <c r="J411" s="89"/>
      <c r="K411" s="89"/>
      <c r="L411" s="89"/>
      <c r="M411" s="89"/>
      <c r="N411" s="89"/>
      <c r="O411" s="89"/>
      <c r="P411" s="89"/>
      <c r="Q411" s="89"/>
      <c r="R411" s="89"/>
      <c r="S411" s="89"/>
      <c r="T411" s="89"/>
      <c r="U411" s="89"/>
      <c r="V411" s="89"/>
      <c r="W411" s="89"/>
      <c r="X411" s="89"/>
      <c r="Y411" s="89"/>
      <c r="Z411" s="89"/>
      <c r="AA411" s="89"/>
      <c r="AB411" s="89"/>
      <c r="AC411" s="89"/>
      <c r="AD411" s="89"/>
    </row>
    <row r="412">
      <c r="A412" s="89"/>
      <c r="B412" s="89"/>
      <c r="C412" s="140"/>
      <c r="D412" s="89"/>
      <c r="E412" s="89"/>
      <c r="F412" s="89"/>
      <c r="G412" s="89"/>
      <c r="H412" s="89"/>
      <c r="I412" s="89"/>
      <c r="J412" s="89"/>
      <c r="K412" s="89"/>
      <c r="L412" s="89"/>
      <c r="M412" s="89"/>
      <c r="N412" s="89"/>
      <c r="O412" s="89"/>
      <c r="P412" s="89"/>
      <c r="Q412" s="89"/>
      <c r="R412" s="89"/>
      <c r="S412" s="89"/>
      <c r="T412" s="89"/>
      <c r="U412" s="89"/>
      <c r="V412" s="89"/>
      <c r="W412" s="89"/>
      <c r="X412" s="89"/>
      <c r="Y412" s="89"/>
      <c r="Z412" s="89"/>
      <c r="AA412" s="89"/>
      <c r="AB412" s="89"/>
      <c r="AC412" s="89"/>
      <c r="AD412" s="89"/>
    </row>
    <row r="413">
      <c r="A413" s="89"/>
      <c r="B413" s="89"/>
      <c r="C413" s="140"/>
      <c r="D413" s="89"/>
      <c r="E413" s="89"/>
      <c r="F413" s="89"/>
      <c r="G413" s="89"/>
      <c r="H413" s="89"/>
      <c r="I413" s="89"/>
      <c r="J413" s="89"/>
      <c r="K413" s="89"/>
      <c r="L413" s="89"/>
      <c r="M413" s="89"/>
      <c r="N413" s="89"/>
      <c r="O413" s="89"/>
      <c r="P413" s="89"/>
      <c r="Q413" s="89"/>
      <c r="R413" s="89"/>
      <c r="S413" s="89"/>
      <c r="T413" s="89"/>
      <c r="U413" s="89"/>
      <c r="V413" s="89"/>
      <c r="W413" s="89"/>
      <c r="X413" s="89"/>
      <c r="Y413" s="89"/>
      <c r="Z413" s="89"/>
      <c r="AA413" s="89"/>
      <c r="AB413" s="89"/>
      <c r="AC413" s="89"/>
      <c r="AD413" s="89"/>
    </row>
    <row r="414">
      <c r="A414" s="89"/>
      <c r="B414" s="89"/>
      <c r="C414" s="140"/>
      <c r="D414" s="89"/>
      <c r="E414" s="89"/>
      <c r="F414" s="89"/>
      <c r="G414" s="89"/>
      <c r="H414" s="89"/>
      <c r="I414" s="89"/>
      <c r="J414" s="89"/>
      <c r="K414" s="89"/>
      <c r="L414" s="89"/>
      <c r="M414" s="89"/>
      <c r="N414" s="89"/>
      <c r="O414" s="89"/>
      <c r="P414" s="89"/>
      <c r="Q414" s="89"/>
      <c r="R414" s="89"/>
      <c r="S414" s="89"/>
      <c r="T414" s="89"/>
      <c r="U414" s="89"/>
      <c r="V414" s="89"/>
      <c r="W414" s="89"/>
      <c r="X414" s="89"/>
      <c r="Y414" s="89"/>
      <c r="Z414" s="89"/>
      <c r="AA414" s="89"/>
      <c r="AB414" s="89"/>
      <c r="AC414" s="89"/>
      <c r="AD414" s="89"/>
    </row>
    <row r="415">
      <c r="A415" s="89"/>
      <c r="B415" s="89"/>
      <c r="C415" s="140"/>
      <c r="D415" s="89"/>
      <c r="E415" s="89"/>
      <c r="F415" s="89"/>
      <c r="G415" s="89"/>
      <c r="H415" s="89"/>
      <c r="I415" s="89"/>
      <c r="J415" s="89"/>
      <c r="K415" s="89"/>
      <c r="L415" s="89"/>
      <c r="M415" s="89"/>
      <c r="N415" s="89"/>
      <c r="O415" s="89"/>
      <c r="P415" s="89"/>
      <c r="Q415" s="89"/>
      <c r="R415" s="89"/>
      <c r="S415" s="89"/>
      <c r="T415" s="89"/>
      <c r="U415" s="89"/>
      <c r="V415" s="89"/>
      <c r="W415" s="89"/>
      <c r="X415" s="89"/>
      <c r="Y415" s="89"/>
      <c r="Z415" s="89"/>
      <c r="AA415" s="89"/>
      <c r="AB415" s="89"/>
      <c r="AC415" s="89"/>
      <c r="AD415" s="89"/>
    </row>
    <row r="416">
      <c r="A416" s="89"/>
      <c r="B416" s="89"/>
      <c r="C416" s="140"/>
      <c r="D416" s="89"/>
      <c r="E416" s="89"/>
      <c r="F416" s="89"/>
      <c r="G416" s="89"/>
      <c r="H416" s="89"/>
      <c r="I416" s="89"/>
      <c r="J416" s="89"/>
      <c r="K416" s="89"/>
      <c r="L416" s="89"/>
      <c r="M416" s="89"/>
      <c r="N416" s="89"/>
      <c r="O416" s="89"/>
      <c r="P416" s="89"/>
      <c r="Q416" s="89"/>
      <c r="R416" s="89"/>
      <c r="S416" s="89"/>
      <c r="T416" s="89"/>
      <c r="U416" s="89"/>
      <c r="V416" s="89"/>
      <c r="W416" s="89"/>
      <c r="X416" s="89"/>
      <c r="Y416" s="89"/>
      <c r="Z416" s="89"/>
      <c r="AA416" s="89"/>
      <c r="AB416" s="89"/>
      <c r="AC416" s="89"/>
      <c r="AD416" s="89"/>
    </row>
    <row r="417">
      <c r="A417" s="89"/>
      <c r="B417" s="89"/>
      <c r="C417" s="140"/>
      <c r="D417" s="89"/>
      <c r="E417" s="89"/>
      <c r="F417" s="89"/>
      <c r="G417" s="89"/>
      <c r="H417" s="89"/>
      <c r="I417" s="89"/>
      <c r="J417" s="89"/>
      <c r="K417" s="89"/>
      <c r="L417" s="89"/>
      <c r="M417" s="89"/>
      <c r="N417" s="89"/>
      <c r="O417" s="89"/>
      <c r="P417" s="89"/>
      <c r="Q417" s="89"/>
      <c r="R417" s="89"/>
      <c r="S417" s="89"/>
      <c r="T417" s="89"/>
      <c r="U417" s="89"/>
      <c r="V417" s="89"/>
      <c r="W417" s="89"/>
      <c r="X417" s="89"/>
      <c r="Y417" s="89"/>
      <c r="Z417" s="89"/>
      <c r="AA417" s="89"/>
      <c r="AB417" s="89"/>
      <c r="AC417" s="89"/>
      <c r="AD417" s="89"/>
    </row>
    <row r="418">
      <c r="A418" s="89"/>
      <c r="B418" s="89"/>
      <c r="C418" s="140"/>
      <c r="D418" s="89"/>
      <c r="E418" s="89"/>
      <c r="F418" s="89"/>
      <c r="G418" s="89"/>
      <c r="H418" s="89"/>
      <c r="I418" s="89"/>
      <c r="J418" s="89"/>
      <c r="K418" s="89"/>
      <c r="L418" s="89"/>
      <c r="M418" s="89"/>
      <c r="N418" s="89"/>
      <c r="O418" s="89"/>
      <c r="P418" s="89"/>
      <c r="Q418" s="89"/>
      <c r="R418" s="89"/>
      <c r="S418" s="89"/>
      <c r="T418" s="89"/>
      <c r="U418" s="89"/>
      <c r="V418" s="89"/>
      <c r="W418" s="89"/>
      <c r="X418" s="89"/>
      <c r="Y418" s="89"/>
      <c r="Z418" s="89"/>
      <c r="AA418" s="89"/>
      <c r="AB418" s="89"/>
      <c r="AC418" s="89"/>
      <c r="AD418" s="89"/>
    </row>
    <row r="419">
      <c r="A419" s="89"/>
      <c r="B419" s="89"/>
      <c r="C419" s="140"/>
      <c r="D419" s="89"/>
      <c r="E419" s="89"/>
      <c r="F419" s="89"/>
      <c r="G419" s="89"/>
      <c r="H419" s="89"/>
      <c r="I419" s="89"/>
      <c r="J419" s="89"/>
      <c r="K419" s="89"/>
      <c r="L419" s="89"/>
      <c r="M419" s="89"/>
      <c r="N419" s="89"/>
      <c r="O419" s="89"/>
      <c r="P419" s="89"/>
      <c r="Q419" s="89"/>
      <c r="R419" s="89"/>
      <c r="S419" s="89"/>
      <c r="T419" s="89"/>
      <c r="U419" s="89"/>
      <c r="V419" s="89"/>
      <c r="W419" s="89"/>
      <c r="X419" s="89"/>
      <c r="Y419" s="89"/>
      <c r="Z419" s="89"/>
      <c r="AA419" s="89"/>
      <c r="AB419" s="89"/>
      <c r="AC419" s="89"/>
      <c r="AD419" s="89"/>
    </row>
    <row r="420">
      <c r="A420" s="89"/>
      <c r="B420" s="89"/>
      <c r="C420" s="140"/>
      <c r="D420" s="89"/>
      <c r="E420" s="89"/>
      <c r="F420" s="89"/>
      <c r="G420" s="89"/>
      <c r="H420" s="89"/>
      <c r="I420" s="89"/>
      <c r="J420" s="89"/>
      <c r="K420" s="89"/>
      <c r="L420" s="89"/>
      <c r="M420" s="89"/>
      <c r="N420" s="89"/>
      <c r="O420" s="89"/>
      <c r="P420" s="89"/>
      <c r="Q420" s="89"/>
      <c r="R420" s="89"/>
      <c r="S420" s="89"/>
      <c r="T420" s="89"/>
      <c r="U420" s="89"/>
      <c r="V420" s="89"/>
      <c r="W420" s="89"/>
      <c r="X420" s="89"/>
      <c r="Y420" s="89"/>
      <c r="Z420" s="89"/>
      <c r="AA420" s="89"/>
      <c r="AB420" s="89"/>
      <c r="AC420" s="89"/>
      <c r="AD420" s="89"/>
    </row>
    <row r="421">
      <c r="A421" s="89"/>
      <c r="B421" s="89"/>
      <c r="C421" s="140"/>
      <c r="D421" s="89"/>
      <c r="E421" s="89"/>
      <c r="F421" s="89"/>
      <c r="G421" s="89"/>
      <c r="H421" s="89"/>
      <c r="I421" s="89"/>
      <c r="J421" s="89"/>
      <c r="K421" s="89"/>
      <c r="L421" s="89"/>
      <c r="M421" s="89"/>
      <c r="N421" s="89"/>
      <c r="O421" s="89"/>
      <c r="P421" s="89"/>
      <c r="Q421" s="89"/>
      <c r="R421" s="89"/>
      <c r="S421" s="89"/>
      <c r="T421" s="89"/>
      <c r="U421" s="89"/>
      <c r="V421" s="89"/>
      <c r="W421" s="89"/>
      <c r="X421" s="89"/>
      <c r="Y421" s="89"/>
      <c r="Z421" s="89"/>
      <c r="AA421" s="89"/>
      <c r="AB421" s="89"/>
      <c r="AC421" s="89"/>
      <c r="AD421" s="89"/>
    </row>
    <row r="422">
      <c r="A422" s="89"/>
      <c r="B422" s="89"/>
      <c r="C422" s="140"/>
      <c r="D422" s="89"/>
      <c r="E422" s="89"/>
      <c r="F422" s="89"/>
      <c r="G422" s="89"/>
      <c r="H422" s="89"/>
      <c r="I422" s="89"/>
      <c r="J422" s="89"/>
      <c r="K422" s="89"/>
      <c r="L422" s="89"/>
      <c r="M422" s="89"/>
      <c r="N422" s="89"/>
      <c r="O422" s="89"/>
      <c r="P422" s="89"/>
      <c r="Q422" s="89"/>
      <c r="R422" s="89"/>
      <c r="S422" s="89"/>
      <c r="T422" s="89"/>
      <c r="U422" s="89"/>
      <c r="V422" s="89"/>
      <c r="W422" s="89"/>
      <c r="X422" s="89"/>
      <c r="Y422" s="89"/>
      <c r="Z422" s="89"/>
      <c r="AA422" s="89"/>
      <c r="AB422" s="89"/>
      <c r="AC422" s="89"/>
      <c r="AD422" s="89"/>
    </row>
    <row r="423">
      <c r="A423" s="89"/>
      <c r="B423" s="89"/>
      <c r="C423" s="140"/>
      <c r="D423" s="89"/>
      <c r="E423" s="89"/>
      <c r="F423" s="89"/>
      <c r="G423" s="89"/>
      <c r="H423" s="89"/>
      <c r="I423" s="89"/>
      <c r="J423" s="89"/>
      <c r="K423" s="89"/>
      <c r="L423" s="89"/>
      <c r="M423" s="89"/>
      <c r="N423" s="89"/>
      <c r="O423" s="89"/>
      <c r="P423" s="89"/>
      <c r="Q423" s="89"/>
      <c r="R423" s="89"/>
      <c r="S423" s="89"/>
      <c r="T423" s="89"/>
      <c r="U423" s="89"/>
      <c r="V423" s="89"/>
      <c r="W423" s="89"/>
      <c r="X423" s="89"/>
      <c r="Y423" s="89"/>
      <c r="Z423" s="89"/>
      <c r="AA423" s="89"/>
      <c r="AB423" s="89"/>
      <c r="AC423" s="89"/>
      <c r="AD423" s="89"/>
    </row>
    <row r="424">
      <c r="A424" s="89"/>
      <c r="B424" s="89"/>
      <c r="C424" s="140"/>
      <c r="D424" s="89"/>
      <c r="E424" s="89"/>
      <c r="F424" s="89"/>
      <c r="G424" s="89"/>
      <c r="H424" s="89"/>
      <c r="I424" s="89"/>
      <c r="J424" s="89"/>
      <c r="K424" s="89"/>
      <c r="L424" s="89"/>
      <c r="M424" s="89"/>
      <c r="N424" s="89"/>
      <c r="O424" s="89"/>
      <c r="P424" s="89"/>
      <c r="Q424" s="89"/>
      <c r="R424" s="89"/>
      <c r="S424" s="89"/>
      <c r="T424" s="89"/>
      <c r="U424" s="89"/>
      <c r="V424" s="89"/>
      <c r="W424" s="89"/>
      <c r="X424" s="89"/>
      <c r="Y424" s="89"/>
      <c r="Z424" s="89"/>
      <c r="AA424" s="89"/>
      <c r="AB424" s="89"/>
      <c r="AC424" s="89"/>
      <c r="AD424" s="89"/>
    </row>
    <row r="425">
      <c r="A425" s="89"/>
      <c r="B425" s="89"/>
      <c r="C425" s="140"/>
      <c r="D425" s="89"/>
      <c r="E425" s="89"/>
      <c r="F425" s="89"/>
      <c r="G425" s="89"/>
      <c r="H425" s="89"/>
      <c r="I425" s="89"/>
      <c r="J425" s="89"/>
      <c r="K425" s="89"/>
      <c r="L425" s="89"/>
      <c r="M425" s="89"/>
      <c r="N425" s="89"/>
      <c r="O425" s="89"/>
      <c r="P425" s="89"/>
      <c r="Q425" s="89"/>
      <c r="R425" s="89"/>
      <c r="S425" s="89"/>
      <c r="T425" s="89"/>
      <c r="U425" s="89"/>
      <c r="V425" s="89"/>
      <c r="W425" s="89"/>
      <c r="X425" s="89"/>
      <c r="Y425" s="89"/>
      <c r="Z425" s="89"/>
      <c r="AA425" s="89"/>
      <c r="AB425" s="89"/>
      <c r="AC425" s="89"/>
      <c r="AD425" s="89"/>
    </row>
    <row r="426">
      <c r="A426" s="89"/>
      <c r="B426" s="89"/>
      <c r="C426" s="140"/>
      <c r="D426" s="89"/>
      <c r="E426" s="89"/>
      <c r="F426" s="89"/>
      <c r="G426" s="89"/>
      <c r="H426" s="89"/>
      <c r="I426" s="89"/>
      <c r="J426" s="89"/>
      <c r="K426" s="89"/>
      <c r="L426" s="89"/>
      <c r="M426" s="89"/>
      <c r="N426" s="89"/>
      <c r="O426" s="89"/>
      <c r="P426" s="89"/>
      <c r="Q426" s="89"/>
      <c r="R426" s="89"/>
      <c r="S426" s="89"/>
      <c r="T426" s="89"/>
      <c r="U426" s="89"/>
      <c r="V426" s="89"/>
      <c r="W426" s="89"/>
      <c r="X426" s="89"/>
      <c r="Y426" s="89"/>
      <c r="Z426" s="89"/>
      <c r="AA426" s="89"/>
      <c r="AB426" s="89"/>
      <c r="AC426" s="89"/>
      <c r="AD426" s="89"/>
    </row>
    <row r="427">
      <c r="A427" s="89"/>
      <c r="B427" s="89"/>
      <c r="C427" s="140"/>
      <c r="D427" s="89"/>
      <c r="E427" s="89"/>
      <c r="F427" s="89"/>
      <c r="G427" s="89"/>
      <c r="H427" s="89"/>
      <c r="I427" s="89"/>
      <c r="J427" s="89"/>
      <c r="K427" s="89"/>
      <c r="L427" s="89"/>
      <c r="M427" s="89"/>
      <c r="N427" s="89"/>
      <c r="O427" s="89"/>
      <c r="P427" s="89"/>
      <c r="Q427" s="89"/>
      <c r="R427" s="89"/>
      <c r="S427" s="89"/>
      <c r="T427" s="89"/>
      <c r="U427" s="89"/>
      <c r="V427" s="89"/>
      <c r="W427" s="89"/>
      <c r="X427" s="89"/>
      <c r="Y427" s="89"/>
      <c r="Z427" s="89"/>
      <c r="AA427" s="89"/>
      <c r="AB427" s="89"/>
      <c r="AC427" s="89"/>
      <c r="AD427" s="89"/>
    </row>
    <row r="428">
      <c r="A428" s="89"/>
      <c r="B428" s="89"/>
      <c r="C428" s="140"/>
      <c r="D428" s="89"/>
      <c r="E428" s="89"/>
      <c r="F428" s="89"/>
      <c r="G428" s="89"/>
      <c r="H428" s="89"/>
      <c r="I428" s="89"/>
      <c r="J428" s="89"/>
      <c r="K428" s="89"/>
      <c r="L428" s="89"/>
      <c r="M428" s="89"/>
      <c r="N428" s="89"/>
      <c r="O428" s="89"/>
      <c r="P428" s="89"/>
      <c r="Q428" s="89"/>
      <c r="R428" s="89"/>
      <c r="S428" s="89"/>
      <c r="T428" s="89"/>
      <c r="U428" s="89"/>
      <c r="V428" s="89"/>
      <c r="W428" s="89"/>
      <c r="X428" s="89"/>
      <c r="Y428" s="89"/>
      <c r="Z428" s="89"/>
      <c r="AA428" s="89"/>
      <c r="AB428" s="89"/>
      <c r="AC428" s="89"/>
      <c r="AD428" s="89"/>
    </row>
    <row r="429">
      <c r="A429" s="89"/>
      <c r="B429" s="89"/>
      <c r="C429" s="140"/>
      <c r="D429" s="89"/>
      <c r="E429" s="89"/>
      <c r="F429" s="89"/>
      <c r="G429" s="89"/>
      <c r="H429" s="89"/>
      <c r="I429" s="89"/>
      <c r="J429" s="89"/>
      <c r="K429" s="89"/>
      <c r="L429" s="89"/>
      <c r="M429" s="89"/>
      <c r="N429" s="89"/>
      <c r="O429" s="89"/>
      <c r="P429" s="89"/>
      <c r="Q429" s="89"/>
      <c r="R429" s="89"/>
      <c r="S429" s="89"/>
      <c r="T429" s="89"/>
      <c r="U429" s="89"/>
      <c r="V429" s="89"/>
      <c r="W429" s="89"/>
      <c r="X429" s="89"/>
      <c r="Y429" s="89"/>
      <c r="Z429" s="89"/>
      <c r="AA429" s="89"/>
      <c r="AB429" s="89"/>
      <c r="AC429" s="89"/>
      <c r="AD429" s="89"/>
    </row>
    <row r="430">
      <c r="A430" s="89"/>
      <c r="B430" s="89"/>
      <c r="C430" s="140"/>
      <c r="D430" s="89"/>
      <c r="E430" s="89"/>
      <c r="F430" s="89"/>
      <c r="G430" s="89"/>
      <c r="H430" s="89"/>
      <c r="I430" s="89"/>
      <c r="J430" s="89"/>
      <c r="K430" s="89"/>
      <c r="L430" s="89"/>
      <c r="M430" s="89"/>
      <c r="N430" s="89"/>
      <c r="O430" s="89"/>
      <c r="P430" s="89"/>
      <c r="Q430" s="89"/>
      <c r="R430" s="89"/>
      <c r="S430" s="89"/>
      <c r="T430" s="89"/>
      <c r="U430" s="89"/>
      <c r="V430" s="89"/>
      <c r="W430" s="89"/>
      <c r="X430" s="89"/>
      <c r="Y430" s="89"/>
      <c r="Z430" s="89"/>
      <c r="AA430" s="89"/>
      <c r="AB430" s="89"/>
      <c r="AC430" s="89"/>
      <c r="AD430" s="89"/>
    </row>
    <row r="431">
      <c r="A431" s="89"/>
      <c r="B431" s="89"/>
      <c r="C431" s="140"/>
      <c r="D431" s="89"/>
      <c r="E431" s="89"/>
      <c r="F431" s="89"/>
      <c r="G431" s="89"/>
      <c r="H431" s="89"/>
      <c r="I431" s="89"/>
      <c r="J431" s="89"/>
      <c r="K431" s="89"/>
      <c r="L431" s="89"/>
      <c r="M431" s="89"/>
      <c r="N431" s="89"/>
      <c r="O431" s="89"/>
      <c r="P431" s="89"/>
      <c r="Q431" s="89"/>
      <c r="R431" s="89"/>
      <c r="S431" s="89"/>
      <c r="T431" s="89"/>
      <c r="U431" s="89"/>
      <c r="V431" s="89"/>
      <c r="W431" s="89"/>
      <c r="X431" s="89"/>
      <c r="Y431" s="89"/>
      <c r="Z431" s="89"/>
      <c r="AA431" s="89"/>
      <c r="AB431" s="89"/>
      <c r="AC431" s="89"/>
      <c r="AD431" s="89"/>
    </row>
    <row r="432">
      <c r="A432" s="89"/>
      <c r="B432" s="89"/>
      <c r="C432" s="140"/>
      <c r="D432" s="89"/>
      <c r="E432" s="89"/>
      <c r="F432" s="89"/>
      <c r="G432" s="89"/>
      <c r="H432" s="89"/>
      <c r="I432" s="89"/>
      <c r="J432" s="89"/>
      <c r="K432" s="89"/>
      <c r="L432" s="89"/>
      <c r="M432" s="89"/>
      <c r="N432" s="89"/>
      <c r="O432" s="89"/>
      <c r="P432" s="89"/>
      <c r="Q432" s="89"/>
      <c r="R432" s="89"/>
      <c r="S432" s="89"/>
      <c r="T432" s="89"/>
      <c r="U432" s="89"/>
      <c r="V432" s="89"/>
      <c r="W432" s="89"/>
      <c r="X432" s="89"/>
      <c r="Y432" s="89"/>
      <c r="Z432" s="89"/>
      <c r="AA432" s="89"/>
      <c r="AB432" s="89"/>
      <c r="AC432" s="89"/>
      <c r="AD432" s="89"/>
    </row>
    <row r="433">
      <c r="A433" s="89"/>
      <c r="B433" s="89"/>
      <c r="C433" s="140"/>
      <c r="D433" s="89"/>
      <c r="E433" s="89"/>
      <c r="F433" s="89"/>
      <c r="G433" s="89"/>
      <c r="H433" s="89"/>
      <c r="I433" s="89"/>
      <c r="J433" s="89"/>
      <c r="K433" s="89"/>
      <c r="L433" s="89"/>
      <c r="M433" s="89"/>
      <c r="N433" s="89"/>
      <c r="O433" s="89"/>
      <c r="P433" s="89"/>
      <c r="Q433" s="89"/>
      <c r="R433" s="89"/>
      <c r="S433" s="89"/>
      <c r="T433" s="89"/>
      <c r="U433" s="89"/>
      <c r="V433" s="89"/>
      <c r="W433" s="89"/>
      <c r="X433" s="89"/>
      <c r="Y433" s="89"/>
      <c r="Z433" s="89"/>
      <c r="AA433" s="89"/>
      <c r="AB433" s="89"/>
      <c r="AC433" s="89"/>
      <c r="AD433" s="89"/>
    </row>
    <row r="434">
      <c r="A434" s="89"/>
      <c r="B434" s="89"/>
      <c r="C434" s="140"/>
      <c r="D434" s="89"/>
      <c r="E434" s="89"/>
      <c r="F434" s="89"/>
      <c r="G434" s="89"/>
      <c r="H434" s="89"/>
      <c r="I434" s="89"/>
      <c r="J434" s="89"/>
      <c r="K434" s="89"/>
      <c r="L434" s="89"/>
      <c r="M434" s="89"/>
      <c r="N434" s="89"/>
      <c r="O434" s="89"/>
      <c r="P434" s="89"/>
      <c r="Q434" s="89"/>
      <c r="R434" s="89"/>
      <c r="S434" s="89"/>
      <c r="T434" s="89"/>
      <c r="U434" s="89"/>
      <c r="V434" s="89"/>
      <c r="W434" s="89"/>
      <c r="X434" s="89"/>
      <c r="Y434" s="89"/>
      <c r="Z434" s="89"/>
      <c r="AA434" s="89"/>
      <c r="AB434" s="89"/>
      <c r="AC434" s="89"/>
      <c r="AD434" s="89"/>
    </row>
    <row r="435">
      <c r="A435" s="89"/>
      <c r="B435" s="89"/>
      <c r="C435" s="140"/>
      <c r="D435" s="89"/>
      <c r="E435" s="89"/>
      <c r="F435" s="89"/>
      <c r="G435" s="89"/>
      <c r="H435" s="89"/>
      <c r="I435" s="89"/>
      <c r="J435" s="89"/>
      <c r="K435" s="89"/>
      <c r="L435" s="89"/>
      <c r="M435" s="89"/>
      <c r="N435" s="89"/>
      <c r="O435" s="89"/>
      <c r="P435" s="89"/>
      <c r="Q435" s="89"/>
      <c r="R435" s="89"/>
      <c r="S435" s="89"/>
      <c r="T435" s="89"/>
      <c r="U435" s="89"/>
      <c r="V435" s="89"/>
      <c r="W435" s="89"/>
      <c r="X435" s="89"/>
      <c r="Y435" s="89"/>
      <c r="Z435" s="89"/>
      <c r="AA435" s="89"/>
      <c r="AB435" s="89"/>
      <c r="AC435" s="89"/>
      <c r="AD435" s="89"/>
    </row>
    <row r="436">
      <c r="A436" s="89"/>
      <c r="B436" s="89"/>
      <c r="C436" s="140"/>
      <c r="D436" s="89"/>
      <c r="E436" s="89"/>
      <c r="F436" s="89"/>
      <c r="G436" s="89"/>
      <c r="H436" s="89"/>
      <c r="I436" s="89"/>
      <c r="J436" s="89"/>
      <c r="K436" s="89"/>
      <c r="L436" s="89"/>
      <c r="M436" s="89"/>
      <c r="N436" s="89"/>
      <c r="O436" s="89"/>
      <c r="P436" s="89"/>
      <c r="Q436" s="89"/>
      <c r="R436" s="89"/>
      <c r="S436" s="89"/>
      <c r="T436" s="89"/>
      <c r="U436" s="89"/>
      <c r="V436" s="89"/>
      <c r="W436" s="89"/>
      <c r="X436" s="89"/>
      <c r="Y436" s="89"/>
      <c r="Z436" s="89"/>
      <c r="AA436" s="89"/>
      <c r="AB436" s="89"/>
      <c r="AC436" s="89"/>
      <c r="AD436" s="89"/>
    </row>
    <row r="437">
      <c r="A437" s="89"/>
      <c r="B437" s="89"/>
      <c r="C437" s="140"/>
      <c r="D437" s="89"/>
      <c r="E437" s="89"/>
      <c r="F437" s="89"/>
      <c r="G437" s="89"/>
      <c r="H437" s="89"/>
      <c r="I437" s="89"/>
      <c r="J437" s="89"/>
      <c r="K437" s="89"/>
      <c r="L437" s="89"/>
      <c r="M437" s="89"/>
      <c r="N437" s="89"/>
      <c r="O437" s="89"/>
      <c r="P437" s="89"/>
      <c r="Q437" s="89"/>
      <c r="R437" s="89"/>
      <c r="S437" s="89"/>
      <c r="T437" s="89"/>
      <c r="U437" s="89"/>
      <c r="V437" s="89"/>
      <c r="W437" s="89"/>
      <c r="X437" s="89"/>
      <c r="Y437" s="89"/>
      <c r="Z437" s="89"/>
      <c r="AA437" s="89"/>
      <c r="AB437" s="89"/>
      <c r="AC437" s="89"/>
      <c r="AD437" s="89"/>
    </row>
    <row r="438">
      <c r="A438" s="89"/>
      <c r="B438" s="89"/>
      <c r="C438" s="140"/>
      <c r="D438" s="89"/>
      <c r="E438" s="89"/>
      <c r="F438" s="89"/>
      <c r="G438" s="89"/>
      <c r="H438" s="89"/>
      <c r="I438" s="89"/>
      <c r="J438" s="89"/>
      <c r="K438" s="89"/>
      <c r="L438" s="89"/>
      <c r="M438" s="89"/>
      <c r="N438" s="89"/>
      <c r="O438" s="89"/>
      <c r="P438" s="89"/>
      <c r="Q438" s="89"/>
      <c r="R438" s="89"/>
      <c r="S438" s="89"/>
      <c r="T438" s="89"/>
      <c r="U438" s="89"/>
      <c r="V438" s="89"/>
      <c r="W438" s="89"/>
      <c r="X438" s="89"/>
      <c r="Y438" s="89"/>
      <c r="Z438" s="89"/>
      <c r="AA438" s="89"/>
      <c r="AB438" s="89"/>
      <c r="AC438" s="89"/>
      <c r="AD438" s="89"/>
    </row>
    <row r="439">
      <c r="A439" s="89"/>
      <c r="B439" s="89"/>
      <c r="C439" s="140"/>
      <c r="D439" s="89"/>
      <c r="E439" s="89"/>
      <c r="F439" s="89"/>
      <c r="G439" s="89"/>
      <c r="H439" s="89"/>
      <c r="I439" s="89"/>
      <c r="J439" s="89"/>
      <c r="K439" s="89"/>
      <c r="L439" s="89"/>
      <c r="M439" s="89"/>
      <c r="N439" s="89"/>
      <c r="O439" s="89"/>
      <c r="P439" s="89"/>
      <c r="Q439" s="89"/>
      <c r="R439" s="89"/>
      <c r="S439" s="89"/>
      <c r="T439" s="89"/>
      <c r="U439" s="89"/>
      <c r="V439" s="89"/>
      <c r="W439" s="89"/>
      <c r="X439" s="89"/>
      <c r="Y439" s="89"/>
      <c r="Z439" s="89"/>
      <c r="AA439" s="89"/>
      <c r="AB439" s="89"/>
      <c r="AC439" s="89"/>
      <c r="AD439" s="89"/>
    </row>
    <row r="440">
      <c r="A440" s="89"/>
      <c r="B440" s="89"/>
      <c r="C440" s="140"/>
      <c r="D440" s="89"/>
      <c r="E440" s="89"/>
      <c r="F440" s="89"/>
      <c r="G440" s="89"/>
      <c r="H440" s="89"/>
      <c r="I440" s="89"/>
      <c r="J440" s="89"/>
      <c r="K440" s="89"/>
      <c r="L440" s="89"/>
      <c r="M440" s="89"/>
      <c r="N440" s="89"/>
      <c r="O440" s="89"/>
      <c r="P440" s="89"/>
      <c r="Q440" s="89"/>
      <c r="R440" s="89"/>
      <c r="S440" s="89"/>
      <c r="T440" s="89"/>
      <c r="U440" s="89"/>
      <c r="V440" s="89"/>
      <c r="W440" s="89"/>
      <c r="X440" s="89"/>
      <c r="Y440" s="89"/>
      <c r="Z440" s="89"/>
      <c r="AA440" s="89"/>
      <c r="AB440" s="89"/>
      <c r="AC440" s="89"/>
      <c r="AD440" s="89"/>
    </row>
    <row r="441">
      <c r="A441" s="89"/>
      <c r="B441" s="89"/>
      <c r="C441" s="140"/>
      <c r="D441" s="89"/>
      <c r="E441" s="89"/>
      <c r="F441" s="89"/>
      <c r="G441" s="89"/>
      <c r="H441" s="89"/>
      <c r="I441" s="89"/>
      <c r="J441" s="89"/>
      <c r="K441" s="89"/>
      <c r="L441" s="89"/>
      <c r="M441" s="89"/>
      <c r="N441" s="89"/>
      <c r="O441" s="89"/>
      <c r="P441" s="89"/>
      <c r="Q441" s="89"/>
      <c r="R441" s="89"/>
      <c r="S441" s="89"/>
      <c r="T441" s="89"/>
      <c r="U441" s="89"/>
      <c r="V441" s="89"/>
      <c r="W441" s="89"/>
      <c r="X441" s="89"/>
      <c r="Y441" s="89"/>
      <c r="Z441" s="89"/>
      <c r="AA441" s="89"/>
      <c r="AB441" s="89"/>
      <c r="AC441" s="89"/>
      <c r="AD441" s="89"/>
    </row>
    <row r="442">
      <c r="A442" s="89"/>
      <c r="B442" s="89"/>
      <c r="C442" s="140"/>
      <c r="D442" s="89"/>
      <c r="E442" s="89"/>
      <c r="F442" s="89"/>
      <c r="G442" s="89"/>
      <c r="H442" s="89"/>
      <c r="I442" s="89"/>
      <c r="J442" s="89"/>
      <c r="K442" s="89"/>
      <c r="L442" s="89"/>
      <c r="M442" s="89"/>
      <c r="N442" s="89"/>
      <c r="O442" s="89"/>
      <c r="P442" s="89"/>
      <c r="Q442" s="89"/>
      <c r="R442" s="89"/>
      <c r="S442" s="89"/>
      <c r="T442" s="89"/>
      <c r="U442" s="89"/>
      <c r="V442" s="89"/>
      <c r="W442" s="89"/>
      <c r="X442" s="89"/>
      <c r="Y442" s="89"/>
      <c r="Z442" s="89"/>
      <c r="AA442" s="89"/>
      <c r="AB442" s="89"/>
      <c r="AC442" s="89"/>
      <c r="AD442" s="89"/>
    </row>
    <row r="443">
      <c r="A443" s="89"/>
      <c r="B443" s="89"/>
      <c r="C443" s="140"/>
      <c r="D443" s="89"/>
      <c r="E443" s="89"/>
      <c r="F443" s="89"/>
      <c r="G443" s="89"/>
      <c r="H443" s="89"/>
      <c r="I443" s="89"/>
      <c r="J443" s="89"/>
      <c r="K443" s="89"/>
      <c r="L443" s="89"/>
      <c r="M443" s="89"/>
      <c r="N443" s="89"/>
      <c r="O443" s="89"/>
      <c r="P443" s="89"/>
      <c r="Q443" s="89"/>
      <c r="R443" s="89"/>
      <c r="S443" s="89"/>
      <c r="T443" s="89"/>
      <c r="U443" s="89"/>
      <c r="V443" s="89"/>
      <c r="W443" s="89"/>
      <c r="X443" s="89"/>
      <c r="Y443" s="89"/>
      <c r="Z443" s="89"/>
      <c r="AA443" s="89"/>
      <c r="AB443" s="89"/>
      <c r="AC443" s="89"/>
      <c r="AD443" s="89"/>
    </row>
    <row r="444">
      <c r="A444" s="89"/>
      <c r="B444" s="89"/>
      <c r="C444" s="140"/>
      <c r="D444" s="89"/>
      <c r="E444" s="89"/>
      <c r="F444" s="89"/>
      <c r="G444" s="89"/>
      <c r="H444" s="89"/>
      <c r="I444" s="89"/>
      <c r="J444" s="89"/>
      <c r="K444" s="89"/>
      <c r="L444" s="89"/>
      <c r="M444" s="89"/>
      <c r="N444" s="89"/>
      <c r="O444" s="89"/>
      <c r="P444" s="89"/>
      <c r="Q444" s="89"/>
      <c r="R444" s="89"/>
      <c r="S444" s="89"/>
      <c r="T444" s="89"/>
      <c r="U444" s="89"/>
      <c r="V444" s="89"/>
      <c r="W444" s="89"/>
      <c r="X444" s="89"/>
      <c r="Y444" s="89"/>
      <c r="Z444" s="89"/>
      <c r="AA444" s="89"/>
      <c r="AB444" s="89"/>
      <c r="AC444" s="89"/>
      <c r="AD444" s="89"/>
    </row>
    <row r="445">
      <c r="A445" s="89"/>
      <c r="B445" s="89"/>
      <c r="C445" s="140"/>
      <c r="D445" s="89"/>
      <c r="E445" s="89"/>
      <c r="F445" s="89"/>
      <c r="G445" s="89"/>
      <c r="H445" s="89"/>
      <c r="I445" s="89"/>
      <c r="J445" s="89"/>
      <c r="K445" s="89"/>
      <c r="L445" s="89"/>
      <c r="M445" s="89"/>
      <c r="N445" s="89"/>
      <c r="O445" s="89"/>
      <c r="P445" s="89"/>
      <c r="Q445" s="89"/>
      <c r="R445" s="89"/>
      <c r="S445" s="89"/>
      <c r="T445" s="89"/>
      <c r="U445" s="89"/>
      <c r="V445" s="89"/>
      <c r="W445" s="89"/>
      <c r="X445" s="89"/>
      <c r="Y445" s="89"/>
      <c r="Z445" s="89"/>
      <c r="AA445" s="89"/>
      <c r="AB445" s="89"/>
      <c r="AC445" s="89"/>
      <c r="AD445" s="89"/>
    </row>
    <row r="446">
      <c r="A446" s="89"/>
      <c r="B446" s="89"/>
      <c r="C446" s="140"/>
      <c r="D446" s="89"/>
      <c r="E446" s="89"/>
      <c r="F446" s="89"/>
      <c r="G446" s="89"/>
      <c r="H446" s="89"/>
      <c r="I446" s="89"/>
      <c r="J446" s="89"/>
      <c r="K446" s="89"/>
      <c r="L446" s="89"/>
      <c r="M446" s="89"/>
      <c r="N446" s="89"/>
      <c r="O446" s="89"/>
      <c r="P446" s="89"/>
      <c r="Q446" s="89"/>
      <c r="R446" s="89"/>
      <c r="S446" s="89"/>
      <c r="T446" s="89"/>
      <c r="U446" s="89"/>
      <c r="V446" s="89"/>
      <c r="W446" s="89"/>
      <c r="X446" s="89"/>
      <c r="Y446" s="89"/>
      <c r="Z446" s="89"/>
      <c r="AA446" s="89"/>
      <c r="AB446" s="89"/>
      <c r="AC446" s="89"/>
      <c r="AD446" s="89"/>
    </row>
    <row r="447">
      <c r="A447" s="89"/>
      <c r="B447" s="89"/>
      <c r="C447" s="140"/>
      <c r="D447" s="89"/>
      <c r="E447" s="89"/>
      <c r="F447" s="89"/>
      <c r="G447" s="89"/>
      <c r="H447" s="89"/>
      <c r="I447" s="89"/>
      <c r="J447" s="89"/>
      <c r="K447" s="89"/>
      <c r="L447" s="89"/>
      <c r="M447" s="89"/>
      <c r="N447" s="89"/>
      <c r="O447" s="89"/>
      <c r="P447" s="89"/>
      <c r="Q447" s="89"/>
      <c r="R447" s="89"/>
      <c r="S447" s="89"/>
      <c r="T447" s="89"/>
      <c r="U447" s="89"/>
      <c r="V447" s="89"/>
      <c r="W447" s="89"/>
      <c r="X447" s="89"/>
      <c r="Y447" s="89"/>
      <c r="Z447" s="89"/>
      <c r="AA447" s="89"/>
      <c r="AB447" s="89"/>
      <c r="AC447" s="89"/>
      <c r="AD447" s="89"/>
    </row>
    <row r="448">
      <c r="A448" s="89"/>
      <c r="B448" s="89"/>
      <c r="C448" s="140"/>
      <c r="D448" s="89"/>
      <c r="E448" s="89"/>
      <c r="F448" s="89"/>
      <c r="G448" s="89"/>
      <c r="H448" s="89"/>
      <c r="I448" s="89"/>
      <c r="J448" s="89"/>
      <c r="K448" s="89"/>
      <c r="L448" s="89"/>
      <c r="M448" s="89"/>
      <c r="N448" s="89"/>
      <c r="O448" s="89"/>
      <c r="P448" s="89"/>
      <c r="Q448" s="89"/>
      <c r="R448" s="89"/>
      <c r="S448" s="89"/>
      <c r="T448" s="89"/>
      <c r="U448" s="89"/>
      <c r="V448" s="89"/>
      <c r="W448" s="89"/>
      <c r="X448" s="89"/>
      <c r="Y448" s="89"/>
      <c r="Z448" s="89"/>
      <c r="AA448" s="89"/>
      <c r="AB448" s="89"/>
      <c r="AC448" s="89"/>
      <c r="AD448" s="89"/>
    </row>
    <row r="449">
      <c r="A449" s="89"/>
      <c r="B449" s="89"/>
      <c r="C449" s="140"/>
      <c r="D449" s="89"/>
      <c r="E449" s="89"/>
      <c r="F449" s="89"/>
      <c r="G449" s="89"/>
      <c r="H449" s="89"/>
      <c r="I449" s="89"/>
      <c r="J449" s="89"/>
      <c r="K449" s="89"/>
      <c r="L449" s="89"/>
      <c r="M449" s="89"/>
      <c r="N449" s="89"/>
      <c r="O449" s="89"/>
      <c r="P449" s="89"/>
      <c r="Q449" s="89"/>
      <c r="R449" s="89"/>
      <c r="S449" s="89"/>
      <c r="T449" s="89"/>
      <c r="U449" s="89"/>
      <c r="V449" s="89"/>
      <c r="W449" s="89"/>
      <c r="X449" s="89"/>
      <c r="Y449" s="89"/>
      <c r="Z449" s="89"/>
      <c r="AA449" s="89"/>
      <c r="AB449" s="89"/>
      <c r="AC449" s="89"/>
      <c r="AD449" s="89"/>
    </row>
    <row r="450">
      <c r="A450" s="89"/>
      <c r="B450" s="89"/>
      <c r="C450" s="140"/>
      <c r="D450" s="89"/>
      <c r="E450" s="89"/>
      <c r="F450" s="89"/>
      <c r="G450" s="89"/>
      <c r="H450" s="89"/>
      <c r="I450" s="89"/>
      <c r="J450" s="89"/>
      <c r="K450" s="89"/>
      <c r="L450" s="89"/>
      <c r="M450" s="89"/>
      <c r="N450" s="89"/>
      <c r="O450" s="89"/>
      <c r="P450" s="89"/>
      <c r="Q450" s="89"/>
      <c r="R450" s="89"/>
      <c r="S450" s="89"/>
      <c r="T450" s="89"/>
      <c r="U450" s="89"/>
      <c r="V450" s="89"/>
      <c r="W450" s="89"/>
      <c r="X450" s="89"/>
      <c r="Y450" s="89"/>
      <c r="Z450" s="89"/>
      <c r="AA450" s="89"/>
      <c r="AB450" s="89"/>
      <c r="AC450" s="89"/>
      <c r="AD450" s="89"/>
    </row>
    <row r="451">
      <c r="A451" s="89"/>
      <c r="B451" s="89"/>
      <c r="C451" s="140"/>
      <c r="D451" s="89"/>
      <c r="E451" s="89"/>
      <c r="F451" s="89"/>
      <c r="G451" s="89"/>
      <c r="H451" s="89"/>
      <c r="I451" s="89"/>
      <c r="J451" s="89"/>
      <c r="K451" s="89"/>
      <c r="L451" s="89"/>
      <c r="M451" s="89"/>
      <c r="N451" s="89"/>
      <c r="O451" s="89"/>
      <c r="P451" s="89"/>
      <c r="Q451" s="89"/>
      <c r="R451" s="89"/>
      <c r="S451" s="89"/>
      <c r="T451" s="89"/>
      <c r="U451" s="89"/>
      <c r="V451" s="89"/>
      <c r="W451" s="89"/>
      <c r="X451" s="89"/>
      <c r="Y451" s="89"/>
      <c r="Z451" s="89"/>
      <c r="AA451" s="89"/>
      <c r="AB451" s="89"/>
      <c r="AC451" s="89"/>
      <c r="AD451" s="89"/>
    </row>
    <row r="452">
      <c r="A452" s="89"/>
      <c r="B452" s="89"/>
      <c r="C452" s="140"/>
      <c r="D452" s="89"/>
      <c r="E452" s="89"/>
      <c r="F452" s="89"/>
      <c r="G452" s="89"/>
      <c r="H452" s="89"/>
      <c r="I452" s="89"/>
      <c r="J452" s="89"/>
      <c r="K452" s="89"/>
      <c r="L452" s="89"/>
      <c r="M452" s="89"/>
      <c r="N452" s="89"/>
      <c r="O452" s="89"/>
      <c r="P452" s="89"/>
      <c r="Q452" s="89"/>
      <c r="R452" s="89"/>
      <c r="S452" s="89"/>
      <c r="T452" s="89"/>
      <c r="U452" s="89"/>
      <c r="V452" s="89"/>
      <c r="W452" s="89"/>
      <c r="X452" s="89"/>
      <c r="Y452" s="89"/>
      <c r="Z452" s="89"/>
      <c r="AA452" s="89"/>
      <c r="AB452" s="89"/>
      <c r="AC452" s="89"/>
      <c r="AD452" s="89"/>
    </row>
    <row r="453">
      <c r="A453" s="89"/>
      <c r="B453" s="89"/>
      <c r="C453" s="140"/>
      <c r="D453" s="89"/>
      <c r="E453" s="89"/>
      <c r="F453" s="89"/>
      <c r="G453" s="89"/>
      <c r="H453" s="89"/>
      <c r="I453" s="89"/>
      <c r="J453" s="89"/>
      <c r="K453" s="89"/>
      <c r="L453" s="89"/>
      <c r="M453" s="89"/>
      <c r="N453" s="89"/>
      <c r="O453" s="89"/>
      <c r="P453" s="89"/>
      <c r="Q453" s="89"/>
      <c r="R453" s="89"/>
      <c r="S453" s="89"/>
      <c r="T453" s="89"/>
      <c r="U453" s="89"/>
      <c r="V453" s="89"/>
      <c r="W453" s="89"/>
      <c r="X453" s="89"/>
      <c r="Y453" s="89"/>
      <c r="Z453" s="89"/>
      <c r="AA453" s="89"/>
      <c r="AB453" s="89"/>
      <c r="AC453" s="89"/>
      <c r="AD453" s="89"/>
    </row>
    <row r="454">
      <c r="A454" s="89"/>
      <c r="B454" s="89"/>
      <c r="C454" s="140"/>
      <c r="D454" s="89"/>
      <c r="E454" s="89"/>
      <c r="F454" s="89"/>
      <c r="G454" s="89"/>
      <c r="H454" s="89"/>
      <c r="I454" s="89"/>
      <c r="J454" s="89"/>
      <c r="K454" s="89"/>
      <c r="L454" s="89"/>
      <c r="M454" s="89"/>
      <c r="N454" s="89"/>
      <c r="O454" s="89"/>
      <c r="P454" s="89"/>
      <c r="Q454" s="89"/>
      <c r="R454" s="89"/>
      <c r="S454" s="89"/>
      <c r="T454" s="89"/>
      <c r="U454" s="89"/>
      <c r="V454" s="89"/>
      <c r="W454" s="89"/>
      <c r="X454" s="89"/>
      <c r="Y454" s="89"/>
      <c r="Z454" s="89"/>
      <c r="AA454" s="89"/>
      <c r="AB454" s="89"/>
      <c r="AC454" s="89"/>
      <c r="AD454" s="89"/>
    </row>
    <row r="455">
      <c r="A455" s="89"/>
      <c r="B455" s="89"/>
      <c r="C455" s="140"/>
      <c r="D455" s="89"/>
      <c r="E455" s="89"/>
      <c r="F455" s="89"/>
      <c r="G455" s="89"/>
      <c r="H455" s="89"/>
      <c r="I455" s="89"/>
      <c r="J455" s="89"/>
      <c r="K455" s="89"/>
      <c r="L455" s="89"/>
      <c r="M455" s="89"/>
      <c r="N455" s="89"/>
      <c r="O455" s="89"/>
      <c r="P455" s="89"/>
      <c r="Q455" s="89"/>
      <c r="R455" s="89"/>
      <c r="S455" s="89"/>
      <c r="T455" s="89"/>
      <c r="U455" s="89"/>
      <c r="V455" s="89"/>
      <c r="W455" s="89"/>
      <c r="X455" s="89"/>
      <c r="Y455" s="89"/>
      <c r="Z455" s="89"/>
      <c r="AA455" s="89"/>
      <c r="AB455" s="89"/>
      <c r="AC455" s="89"/>
      <c r="AD455" s="89"/>
    </row>
    <row r="456">
      <c r="A456" s="89"/>
      <c r="B456" s="89"/>
      <c r="C456" s="140"/>
      <c r="D456" s="89"/>
      <c r="E456" s="89"/>
      <c r="F456" s="89"/>
      <c r="G456" s="89"/>
      <c r="H456" s="89"/>
      <c r="I456" s="89"/>
      <c r="J456" s="89"/>
      <c r="K456" s="89"/>
      <c r="L456" s="89"/>
      <c r="M456" s="89"/>
      <c r="N456" s="89"/>
      <c r="O456" s="89"/>
      <c r="P456" s="89"/>
      <c r="Q456" s="89"/>
      <c r="R456" s="89"/>
      <c r="S456" s="89"/>
      <c r="T456" s="89"/>
      <c r="U456" s="89"/>
      <c r="V456" s="89"/>
      <c r="W456" s="89"/>
      <c r="X456" s="89"/>
      <c r="Y456" s="89"/>
      <c r="Z456" s="89"/>
      <c r="AA456" s="89"/>
      <c r="AB456" s="89"/>
      <c r="AC456" s="89"/>
      <c r="AD456" s="89"/>
    </row>
    <row r="457">
      <c r="A457" s="89"/>
      <c r="B457" s="89"/>
      <c r="C457" s="140"/>
      <c r="D457" s="89"/>
      <c r="E457" s="89"/>
      <c r="F457" s="89"/>
      <c r="G457" s="89"/>
      <c r="H457" s="89"/>
      <c r="I457" s="89"/>
      <c r="J457" s="89"/>
      <c r="K457" s="89"/>
      <c r="L457" s="89"/>
      <c r="M457" s="89"/>
      <c r="N457" s="89"/>
      <c r="O457" s="89"/>
      <c r="P457" s="89"/>
      <c r="Q457" s="89"/>
      <c r="R457" s="89"/>
      <c r="S457" s="89"/>
      <c r="T457" s="89"/>
      <c r="U457" s="89"/>
      <c r="V457" s="89"/>
      <c r="W457" s="89"/>
      <c r="X457" s="89"/>
      <c r="Y457" s="89"/>
      <c r="Z457" s="89"/>
      <c r="AA457" s="89"/>
      <c r="AB457" s="89"/>
      <c r="AC457" s="89"/>
      <c r="AD457" s="89"/>
    </row>
    <row r="458">
      <c r="A458" s="89"/>
      <c r="B458" s="89"/>
      <c r="C458" s="140"/>
      <c r="D458" s="89"/>
      <c r="E458" s="89"/>
      <c r="F458" s="89"/>
      <c r="G458" s="89"/>
      <c r="H458" s="89"/>
      <c r="I458" s="89"/>
      <c r="J458" s="89"/>
      <c r="K458" s="89"/>
      <c r="L458" s="89"/>
      <c r="M458" s="89"/>
      <c r="N458" s="89"/>
      <c r="O458" s="89"/>
      <c r="P458" s="89"/>
      <c r="Q458" s="89"/>
      <c r="R458" s="89"/>
      <c r="S458" s="89"/>
      <c r="T458" s="89"/>
      <c r="U458" s="89"/>
      <c r="V458" s="89"/>
      <c r="W458" s="89"/>
      <c r="X458" s="89"/>
      <c r="Y458" s="89"/>
      <c r="Z458" s="89"/>
      <c r="AA458" s="89"/>
      <c r="AB458" s="89"/>
      <c r="AC458" s="89"/>
      <c r="AD458" s="89"/>
    </row>
    <row r="459">
      <c r="A459" s="89"/>
      <c r="B459" s="89"/>
      <c r="C459" s="140"/>
      <c r="D459" s="89"/>
      <c r="E459" s="89"/>
      <c r="F459" s="89"/>
      <c r="G459" s="89"/>
      <c r="H459" s="89"/>
      <c r="I459" s="89"/>
      <c r="J459" s="89"/>
      <c r="K459" s="89"/>
      <c r="L459" s="89"/>
      <c r="M459" s="89"/>
      <c r="N459" s="89"/>
      <c r="O459" s="89"/>
      <c r="P459" s="89"/>
      <c r="Q459" s="89"/>
      <c r="R459" s="89"/>
      <c r="S459" s="89"/>
      <c r="T459" s="89"/>
      <c r="U459" s="89"/>
      <c r="V459" s="89"/>
      <c r="W459" s="89"/>
      <c r="X459" s="89"/>
      <c r="Y459" s="89"/>
      <c r="Z459" s="89"/>
      <c r="AA459" s="89"/>
      <c r="AB459" s="89"/>
      <c r="AC459" s="89"/>
      <c r="AD459" s="89"/>
    </row>
    <row r="460">
      <c r="A460" s="89"/>
      <c r="B460" s="89"/>
      <c r="C460" s="140"/>
      <c r="D460" s="89"/>
      <c r="E460" s="89"/>
      <c r="F460" s="89"/>
      <c r="G460" s="89"/>
      <c r="H460" s="89"/>
      <c r="I460" s="89"/>
      <c r="J460" s="89"/>
      <c r="K460" s="89"/>
      <c r="L460" s="89"/>
      <c r="M460" s="89"/>
      <c r="N460" s="89"/>
      <c r="O460" s="89"/>
      <c r="P460" s="89"/>
      <c r="Q460" s="89"/>
      <c r="R460" s="89"/>
      <c r="S460" s="89"/>
      <c r="T460" s="89"/>
      <c r="U460" s="89"/>
      <c r="V460" s="89"/>
      <c r="W460" s="89"/>
      <c r="X460" s="89"/>
      <c r="Y460" s="89"/>
      <c r="Z460" s="89"/>
      <c r="AA460" s="89"/>
      <c r="AB460" s="89"/>
      <c r="AC460" s="89"/>
      <c r="AD460" s="89"/>
    </row>
    <row r="461">
      <c r="A461" s="89"/>
      <c r="B461" s="89"/>
      <c r="C461" s="140"/>
      <c r="D461" s="89"/>
      <c r="E461" s="89"/>
      <c r="F461" s="89"/>
      <c r="G461" s="89"/>
      <c r="H461" s="89"/>
      <c r="I461" s="89"/>
      <c r="J461" s="89"/>
      <c r="K461" s="89"/>
      <c r="L461" s="89"/>
      <c r="M461" s="89"/>
      <c r="N461" s="89"/>
      <c r="O461" s="89"/>
      <c r="P461" s="89"/>
      <c r="Q461" s="89"/>
      <c r="R461" s="89"/>
      <c r="S461" s="89"/>
      <c r="T461" s="89"/>
      <c r="U461" s="89"/>
      <c r="V461" s="89"/>
      <c r="W461" s="89"/>
      <c r="X461" s="89"/>
      <c r="Y461" s="89"/>
      <c r="Z461" s="89"/>
      <c r="AA461" s="89"/>
      <c r="AB461" s="89"/>
      <c r="AC461" s="89"/>
      <c r="AD461" s="89"/>
    </row>
    <row r="462">
      <c r="A462" s="89"/>
      <c r="B462" s="89"/>
      <c r="C462" s="140"/>
      <c r="D462" s="89"/>
      <c r="E462" s="89"/>
      <c r="F462" s="89"/>
      <c r="G462" s="89"/>
      <c r="H462" s="89"/>
      <c r="I462" s="89"/>
      <c r="J462" s="89"/>
      <c r="K462" s="89"/>
      <c r="L462" s="89"/>
      <c r="M462" s="89"/>
      <c r="N462" s="89"/>
      <c r="O462" s="89"/>
      <c r="P462" s="89"/>
      <c r="Q462" s="89"/>
      <c r="R462" s="89"/>
      <c r="S462" s="89"/>
      <c r="T462" s="89"/>
      <c r="U462" s="89"/>
      <c r="V462" s="89"/>
      <c r="W462" s="89"/>
      <c r="X462" s="89"/>
      <c r="Y462" s="89"/>
      <c r="Z462" s="89"/>
      <c r="AA462" s="89"/>
      <c r="AB462" s="89"/>
      <c r="AC462" s="89"/>
      <c r="AD462" s="89"/>
    </row>
    <row r="463">
      <c r="A463" s="89"/>
      <c r="B463" s="89"/>
      <c r="C463" s="140"/>
      <c r="D463" s="89"/>
      <c r="E463" s="89"/>
      <c r="F463" s="89"/>
      <c r="G463" s="89"/>
      <c r="H463" s="89"/>
      <c r="I463" s="89"/>
      <c r="J463" s="89"/>
      <c r="K463" s="89"/>
      <c r="L463" s="89"/>
      <c r="M463" s="89"/>
      <c r="N463" s="89"/>
      <c r="O463" s="89"/>
      <c r="P463" s="89"/>
      <c r="Q463" s="89"/>
      <c r="R463" s="89"/>
      <c r="S463" s="89"/>
      <c r="T463" s="89"/>
      <c r="U463" s="89"/>
      <c r="V463" s="89"/>
      <c r="W463" s="89"/>
      <c r="X463" s="89"/>
      <c r="Y463" s="89"/>
      <c r="Z463" s="89"/>
      <c r="AA463" s="89"/>
      <c r="AB463" s="89"/>
      <c r="AC463" s="89"/>
      <c r="AD463" s="89"/>
    </row>
    <row r="464">
      <c r="A464" s="89"/>
      <c r="B464" s="89"/>
      <c r="C464" s="140"/>
      <c r="D464" s="89"/>
      <c r="E464" s="89"/>
      <c r="F464" s="89"/>
      <c r="G464" s="89"/>
      <c r="H464" s="89"/>
      <c r="I464" s="89"/>
      <c r="J464" s="89"/>
      <c r="K464" s="89"/>
      <c r="L464" s="89"/>
      <c r="M464" s="89"/>
      <c r="N464" s="89"/>
      <c r="O464" s="89"/>
      <c r="P464" s="89"/>
      <c r="Q464" s="89"/>
      <c r="R464" s="89"/>
      <c r="S464" s="89"/>
      <c r="T464" s="89"/>
      <c r="U464" s="89"/>
      <c r="V464" s="89"/>
      <c r="W464" s="89"/>
      <c r="X464" s="89"/>
      <c r="Y464" s="89"/>
      <c r="Z464" s="89"/>
      <c r="AA464" s="89"/>
      <c r="AB464" s="89"/>
      <c r="AC464" s="89"/>
      <c r="AD464" s="89"/>
    </row>
    <row r="465">
      <c r="A465" s="89"/>
      <c r="B465" s="89"/>
      <c r="C465" s="140"/>
      <c r="D465" s="89"/>
      <c r="E465" s="89"/>
      <c r="F465" s="89"/>
      <c r="G465" s="89"/>
      <c r="H465" s="89"/>
      <c r="I465" s="89"/>
      <c r="J465" s="89"/>
      <c r="K465" s="89"/>
      <c r="L465" s="89"/>
      <c r="M465" s="89"/>
      <c r="N465" s="89"/>
      <c r="O465" s="89"/>
      <c r="P465" s="89"/>
      <c r="Q465" s="89"/>
      <c r="R465" s="89"/>
      <c r="S465" s="89"/>
      <c r="T465" s="89"/>
      <c r="U465" s="89"/>
      <c r="V465" s="89"/>
      <c r="W465" s="89"/>
      <c r="X465" s="89"/>
      <c r="Y465" s="89"/>
      <c r="Z465" s="89"/>
      <c r="AA465" s="89"/>
      <c r="AB465" s="89"/>
      <c r="AC465" s="89"/>
      <c r="AD465" s="89"/>
    </row>
    <row r="466">
      <c r="A466" s="89"/>
      <c r="B466" s="89"/>
      <c r="C466" s="140"/>
      <c r="D466" s="89"/>
      <c r="E466" s="89"/>
      <c r="F466" s="89"/>
      <c r="G466" s="89"/>
      <c r="H466" s="89"/>
      <c r="I466" s="89"/>
      <c r="J466" s="89"/>
      <c r="K466" s="89"/>
      <c r="L466" s="89"/>
      <c r="M466" s="89"/>
      <c r="N466" s="89"/>
      <c r="O466" s="89"/>
      <c r="P466" s="89"/>
      <c r="Q466" s="89"/>
      <c r="R466" s="89"/>
      <c r="S466" s="89"/>
      <c r="T466" s="89"/>
      <c r="U466" s="89"/>
      <c r="V466" s="89"/>
      <c r="W466" s="89"/>
      <c r="X466" s="89"/>
      <c r="Y466" s="89"/>
      <c r="Z466" s="89"/>
      <c r="AA466" s="89"/>
      <c r="AB466" s="89"/>
      <c r="AC466" s="89"/>
      <c r="AD466" s="89"/>
    </row>
    <row r="467">
      <c r="A467" s="89"/>
      <c r="B467" s="89"/>
      <c r="C467" s="140"/>
      <c r="D467" s="89"/>
      <c r="E467" s="89"/>
      <c r="F467" s="89"/>
      <c r="G467" s="89"/>
      <c r="H467" s="89"/>
      <c r="I467" s="89"/>
      <c r="J467" s="89"/>
      <c r="K467" s="89"/>
      <c r="L467" s="89"/>
      <c r="M467" s="89"/>
      <c r="N467" s="89"/>
      <c r="O467" s="89"/>
      <c r="P467" s="89"/>
      <c r="Q467" s="89"/>
      <c r="R467" s="89"/>
      <c r="S467" s="89"/>
      <c r="T467" s="89"/>
      <c r="U467" s="89"/>
      <c r="V467" s="89"/>
      <c r="W467" s="89"/>
      <c r="X467" s="89"/>
      <c r="Y467" s="89"/>
      <c r="Z467" s="89"/>
      <c r="AA467" s="89"/>
      <c r="AB467" s="89"/>
      <c r="AC467" s="89"/>
      <c r="AD467" s="89"/>
    </row>
    <row r="468">
      <c r="A468" s="89"/>
      <c r="B468" s="89"/>
      <c r="C468" s="140"/>
      <c r="D468" s="89"/>
      <c r="E468" s="89"/>
      <c r="F468" s="89"/>
      <c r="G468" s="89"/>
      <c r="H468" s="89"/>
      <c r="I468" s="89"/>
      <c r="J468" s="89"/>
      <c r="K468" s="89"/>
      <c r="L468" s="89"/>
      <c r="M468" s="89"/>
      <c r="N468" s="89"/>
      <c r="O468" s="89"/>
      <c r="P468" s="89"/>
      <c r="Q468" s="89"/>
      <c r="R468" s="89"/>
      <c r="S468" s="89"/>
      <c r="T468" s="89"/>
      <c r="U468" s="89"/>
      <c r="V468" s="89"/>
      <c r="W468" s="89"/>
      <c r="X468" s="89"/>
      <c r="Y468" s="89"/>
      <c r="Z468" s="89"/>
      <c r="AA468" s="89"/>
      <c r="AB468" s="89"/>
      <c r="AC468" s="89"/>
      <c r="AD468" s="89"/>
    </row>
    <row r="469">
      <c r="A469" s="89"/>
      <c r="B469" s="89"/>
      <c r="C469" s="140"/>
      <c r="D469" s="89"/>
      <c r="E469" s="89"/>
      <c r="F469" s="89"/>
      <c r="G469" s="89"/>
      <c r="H469" s="89"/>
      <c r="I469" s="89"/>
      <c r="J469" s="89"/>
      <c r="K469" s="89"/>
      <c r="L469" s="89"/>
      <c r="M469" s="89"/>
      <c r="N469" s="89"/>
      <c r="O469" s="89"/>
      <c r="P469" s="89"/>
      <c r="Q469" s="89"/>
      <c r="R469" s="89"/>
      <c r="S469" s="89"/>
      <c r="T469" s="89"/>
      <c r="U469" s="89"/>
      <c r="V469" s="89"/>
      <c r="W469" s="89"/>
      <c r="X469" s="89"/>
      <c r="Y469" s="89"/>
      <c r="Z469" s="89"/>
      <c r="AA469" s="89"/>
      <c r="AB469" s="89"/>
      <c r="AC469" s="89"/>
      <c r="AD469" s="89"/>
    </row>
    <row r="470">
      <c r="A470" s="89"/>
      <c r="B470" s="89"/>
      <c r="C470" s="140"/>
      <c r="D470" s="89"/>
      <c r="E470" s="89"/>
      <c r="F470" s="89"/>
      <c r="G470" s="89"/>
      <c r="H470" s="89"/>
      <c r="I470" s="89"/>
      <c r="J470" s="89"/>
      <c r="K470" s="89"/>
      <c r="L470" s="89"/>
      <c r="M470" s="89"/>
      <c r="N470" s="89"/>
      <c r="O470" s="89"/>
      <c r="P470" s="89"/>
      <c r="Q470" s="89"/>
      <c r="R470" s="89"/>
      <c r="S470" s="89"/>
      <c r="T470" s="89"/>
      <c r="U470" s="89"/>
      <c r="V470" s="89"/>
      <c r="W470" s="89"/>
      <c r="X470" s="89"/>
      <c r="Y470" s="89"/>
      <c r="Z470" s="89"/>
      <c r="AA470" s="89"/>
      <c r="AB470" s="89"/>
      <c r="AC470" s="89"/>
      <c r="AD470" s="89"/>
    </row>
    <row r="471">
      <c r="A471" s="89"/>
      <c r="B471" s="89"/>
      <c r="C471" s="140"/>
      <c r="D471" s="89"/>
      <c r="E471" s="89"/>
      <c r="F471" s="89"/>
      <c r="G471" s="89"/>
      <c r="H471" s="89"/>
      <c r="I471" s="89"/>
      <c r="J471" s="89"/>
      <c r="K471" s="89"/>
      <c r="L471" s="89"/>
      <c r="M471" s="89"/>
      <c r="N471" s="89"/>
      <c r="O471" s="89"/>
      <c r="P471" s="89"/>
      <c r="Q471" s="89"/>
      <c r="R471" s="89"/>
      <c r="S471" s="89"/>
      <c r="T471" s="89"/>
      <c r="U471" s="89"/>
      <c r="V471" s="89"/>
      <c r="W471" s="89"/>
      <c r="X471" s="89"/>
      <c r="Y471" s="89"/>
      <c r="Z471" s="89"/>
      <c r="AA471" s="89"/>
      <c r="AB471" s="89"/>
      <c r="AC471" s="89"/>
      <c r="AD471" s="89"/>
    </row>
    <row r="472">
      <c r="A472" s="89"/>
      <c r="B472" s="89"/>
      <c r="C472" s="140"/>
      <c r="D472" s="89"/>
      <c r="E472" s="89"/>
      <c r="F472" s="89"/>
      <c r="G472" s="89"/>
      <c r="H472" s="89"/>
      <c r="I472" s="89"/>
      <c r="J472" s="89"/>
      <c r="K472" s="89"/>
      <c r="L472" s="89"/>
      <c r="M472" s="89"/>
      <c r="N472" s="89"/>
      <c r="O472" s="89"/>
      <c r="P472" s="89"/>
      <c r="Q472" s="89"/>
      <c r="R472" s="89"/>
      <c r="S472" s="89"/>
      <c r="T472" s="89"/>
      <c r="U472" s="89"/>
      <c r="V472" s="89"/>
      <c r="W472" s="89"/>
      <c r="X472" s="89"/>
      <c r="Y472" s="89"/>
      <c r="Z472" s="89"/>
      <c r="AA472" s="89"/>
      <c r="AB472" s="89"/>
      <c r="AC472" s="89"/>
      <c r="AD472" s="89"/>
    </row>
    <row r="473">
      <c r="A473" s="89"/>
      <c r="B473" s="89"/>
      <c r="C473" s="140"/>
      <c r="D473" s="89"/>
      <c r="E473" s="89"/>
      <c r="F473" s="89"/>
      <c r="G473" s="89"/>
      <c r="H473" s="89"/>
      <c r="I473" s="89"/>
      <c r="J473" s="89"/>
      <c r="K473" s="89"/>
      <c r="L473" s="89"/>
      <c r="M473" s="89"/>
      <c r="N473" s="89"/>
      <c r="O473" s="89"/>
      <c r="P473" s="89"/>
      <c r="Q473" s="89"/>
      <c r="R473" s="89"/>
      <c r="S473" s="89"/>
      <c r="T473" s="89"/>
      <c r="U473" s="89"/>
      <c r="V473" s="89"/>
      <c r="W473" s="89"/>
      <c r="X473" s="89"/>
      <c r="Y473" s="89"/>
      <c r="Z473" s="89"/>
      <c r="AA473" s="89"/>
      <c r="AB473" s="89"/>
      <c r="AC473" s="89"/>
      <c r="AD473" s="89"/>
    </row>
    <row r="474">
      <c r="A474" s="89"/>
      <c r="B474" s="89"/>
      <c r="C474" s="140"/>
      <c r="D474" s="89"/>
      <c r="E474" s="89"/>
      <c r="F474" s="89"/>
      <c r="G474" s="89"/>
      <c r="H474" s="89"/>
      <c r="I474" s="89"/>
      <c r="J474" s="89"/>
      <c r="K474" s="89"/>
      <c r="L474" s="89"/>
      <c r="M474" s="89"/>
      <c r="N474" s="89"/>
      <c r="O474" s="89"/>
      <c r="P474" s="89"/>
      <c r="Q474" s="89"/>
      <c r="R474" s="89"/>
      <c r="S474" s="89"/>
      <c r="T474" s="89"/>
      <c r="U474" s="89"/>
      <c r="V474" s="89"/>
      <c r="W474" s="89"/>
      <c r="X474" s="89"/>
      <c r="Y474" s="89"/>
      <c r="Z474" s="89"/>
      <c r="AA474" s="89"/>
      <c r="AB474" s="89"/>
      <c r="AC474" s="89"/>
      <c r="AD474" s="89"/>
    </row>
    <row r="475">
      <c r="A475" s="89"/>
      <c r="B475" s="89"/>
      <c r="C475" s="140"/>
      <c r="D475" s="89"/>
      <c r="E475" s="89"/>
      <c r="F475" s="89"/>
      <c r="G475" s="89"/>
      <c r="H475" s="89"/>
      <c r="I475" s="89"/>
      <c r="J475" s="89"/>
      <c r="K475" s="89"/>
      <c r="L475" s="89"/>
      <c r="M475" s="89"/>
      <c r="N475" s="89"/>
      <c r="O475" s="89"/>
      <c r="P475" s="89"/>
      <c r="Q475" s="89"/>
      <c r="R475" s="89"/>
      <c r="S475" s="89"/>
      <c r="T475" s="89"/>
      <c r="U475" s="89"/>
      <c r="V475" s="89"/>
      <c r="W475" s="89"/>
      <c r="X475" s="89"/>
      <c r="Y475" s="89"/>
      <c r="Z475" s="89"/>
      <c r="AA475" s="89"/>
      <c r="AB475" s="89"/>
      <c r="AC475" s="89"/>
      <c r="AD475" s="89"/>
    </row>
    <row r="476">
      <c r="A476" s="89"/>
      <c r="B476" s="89"/>
      <c r="C476" s="140"/>
      <c r="D476" s="89"/>
      <c r="E476" s="89"/>
      <c r="F476" s="89"/>
      <c r="G476" s="89"/>
      <c r="H476" s="89"/>
      <c r="I476" s="89"/>
      <c r="J476" s="89"/>
      <c r="K476" s="89"/>
      <c r="L476" s="89"/>
      <c r="M476" s="89"/>
      <c r="N476" s="89"/>
      <c r="O476" s="89"/>
      <c r="P476" s="89"/>
      <c r="Q476" s="89"/>
      <c r="R476" s="89"/>
      <c r="S476" s="89"/>
      <c r="T476" s="89"/>
      <c r="U476" s="89"/>
      <c r="V476" s="89"/>
      <c r="W476" s="89"/>
      <c r="X476" s="89"/>
      <c r="Y476" s="89"/>
      <c r="Z476" s="89"/>
      <c r="AA476" s="89"/>
      <c r="AB476" s="89"/>
      <c r="AC476" s="89"/>
      <c r="AD476" s="89"/>
    </row>
    <row r="477">
      <c r="A477" s="89"/>
      <c r="B477" s="89"/>
      <c r="C477" s="140"/>
      <c r="D477" s="89"/>
      <c r="E477" s="89"/>
      <c r="F477" s="89"/>
      <c r="G477" s="89"/>
      <c r="H477" s="89"/>
      <c r="I477" s="89"/>
      <c r="J477" s="89"/>
      <c r="K477" s="89"/>
      <c r="L477" s="89"/>
      <c r="M477" s="89"/>
      <c r="N477" s="89"/>
      <c r="O477" s="89"/>
      <c r="P477" s="89"/>
      <c r="Q477" s="89"/>
      <c r="R477" s="89"/>
      <c r="S477" s="89"/>
      <c r="T477" s="89"/>
      <c r="U477" s="89"/>
      <c r="V477" s="89"/>
      <c r="W477" s="89"/>
      <c r="X477" s="89"/>
      <c r="Y477" s="89"/>
      <c r="Z477" s="89"/>
      <c r="AA477" s="89"/>
      <c r="AB477" s="89"/>
      <c r="AC477" s="89"/>
      <c r="AD477" s="89"/>
    </row>
    <row r="478">
      <c r="A478" s="89"/>
      <c r="B478" s="89"/>
      <c r="C478" s="140"/>
      <c r="D478" s="89"/>
      <c r="E478" s="89"/>
      <c r="F478" s="89"/>
      <c r="G478" s="89"/>
      <c r="H478" s="89"/>
      <c r="I478" s="89"/>
      <c r="J478" s="89"/>
      <c r="K478" s="89"/>
      <c r="L478" s="89"/>
      <c r="M478" s="89"/>
      <c r="N478" s="89"/>
      <c r="O478" s="89"/>
      <c r="P478" s="89"/>
      <c r="Q478" s="89"/>
      <c r="R478" s="89"/>
      <c r="S478" s="89"/>
      <c r="T478" s="89"/>
      <c r="U478" s="89"/>
      <c r="V478" s="89"/>
      <c r="W478" s="89"/>
      <c r="X478" s="89"/>
      <c r="Y478" s="89"/>
      <c r="Z478" s="89"/>
      <c r="AA478" s="89"/>
      <c r="AB478" s="89"/>
      <c r="AC478" s="89"/>
      <c r="AD478" s="89"/>
    </row>
    <row r="479">
      <c r="A479" s="89"/>
      <c r="B479" s="89"/>
      <c r="C479" s="140"/>
      <c r="D479" s="89"/>
      <c r="E479" s="89"/>
      <c r="F479" s="89"/>
      <c r="G479" s="89"/>
      <c r="H479" s="89"/>
      <c r="I479" s="89"/>
      <c r="J479" s="89"/>
      <c r="K479" s="89"/>
      <c r="L479" s="89"/>
      <c r="M479" s="89"/>
      <c r="N479" s="89"/>
      <c r="O479" s="89"/>
      <c r="P479" s="89"/>
      <c r="Q479" s="89"/>
      <c r="R479" s="89"/>
      <c r="S479" s="89"/>
      <c r="T479" s="89"/>
      <c r="U479" s="89"/>
      <c r="V479" s="89"/>
      <c r="W479" s="89"/>
      <c r="X479" s="89"/>
      <c r="Y479" s="89"/>
      <c r="Z479" s="89"/>
      <c r="AA479" s="89"/>
      <c r="AB479" s="89"/>
      <c r="AC479" s="89"/>
      <c r="AD479" s="89"/>
    </row>
    <row r="480">
      <c r="A480" s="89"/>
      <c r="B480" s="89"/>
      <c r="C480" s="140"/>
      <c r="D480" s="89"/>
      <c r="E480" s="89"/>
      <c r="F480" s="89"/>
      <c r="G480" s="89"/>
      <c r="H480" s="89"/>
      <c r="I480" s="89"/>
      <c r="J480" s="89"/>
      <c r="K480" s="89"/>
      <c r="L480" s="89"/>
      <c r="M480" s="89"/>
      <c r="N480" s="89"/>
      <c r="O480" s="89"/>
      <c r="P480" s="89"/>
      <c r="Q480" s="89"/>
      <c r="R480" s="89"/>
      <c r="S480" s="89"/>
      <c r="T480" s="89"/>
      <c r="U480" s="89"/>
      <c r="V480" s="89"/>
      <c r="W480" s="89"/>
      <c r="X480" s="89"/>
      <c r="Y480" s="89"/>
      <c r="Z480" s="89"/>
      <c r="AA480" s="89"/>
      <c r="AB480" s="89"/>
      <c r="AC480" s="89"/>
      <c r="AD480" s="89"/>
    </row>
    <row r="481">
      <c r="A481" s="89"/>
      <c r="B481" s="89"/>
      <c r="C481" s="140"/>
      <c r="D481" s="89"/>
      <c r="E481" s="89"/>
      <c r="F481" s="89"/>
      <c r="G481" s="89"/>
      <c r="H481" s="89"/>
      <c r="I481" s="89"/>
      <c r="J481" s="89"/>
      <c r="K481" s="89"/>
      <c r="L481" s="89"/>
      <c r="M481" s="89"/>
      <c r="N481" s="89"/>
      <c r="O481" s="89"/>
      <c r="P481" s="89"/>
      <c r="Q481" s="89"/>
      <c r="R481" s="89"/>
      <c r="S481" s="89"/>
      <c r="T481" s="89"/>
      <c r="U481" s="89"/>
      <c r="V481" s="89"/>
      <c r="W481" s="89"/>
      <c r="X481" s="89"/>
      <c r="Y481" s="89"/>
      <c r="Z481" s="89"/>
      <c r="AA481" s="89"/>
      <c r="AB481" s="89"/>
      <c r="AC481" s="89"/>
      <c r="AD481" s="89"/>
    </row>
    <row r="482">
      <c r="A482" s="89"/>
      <c r="B482" s="89"/>
      <c r="C482" s="140"/>
      <c r="D482" s="89"/>
      <c r="E482" s="89"/>
      <c r="F482" s="89"/>
      <c r="G482" s="89"/>
      <c r="H482" s="89"/>
      <c r="I482" s="89"/>
      <c r="J482" s="89"/>
      <c r="K482" s="89"/>
      <c r="L482" s="89"/>
      <c r="M482" s="89"/>
      <c r="N482" s="89"/>
      <c r="O482" s="89"/>
      <c r="P482" s="89"/>
      <c r="Q482" s="89"/>
      <c r="R482" s="89"/>
      <c r="S482" s="89"/>
      <c r="T482" s="89"/>
      <c r="U482" s="89"/>
      <c r="V482" s="89"/>
      <c r="W482" s="89"/>
      <c r="X482" s="89"/>
      <c r="Y482" s="89"/>
      <c r="Z482" s="89"/>
      <c r="AA482" s="89"/>
      <c r="AB482" s="89"/>
      <c r="AC482" s="89"/>
      <c r="AD482" s="89"/>
    </row>
    <row r="483">
      <c r="A483" s="89"/>
      <c r="B483" s="89"/>
      <c r="C483" s="140"/>
      <c r="D483" s="89"/>
      <c r="E483" s="89"/>
      <c r="F483" s="89"/>
      <c r="G483" s="89"/>
      <c r="H483" s="89"/>
      <c r="I483" s="89"/>
      <c r="J483" s="89"/>
      <c r="K483" s="89"/>
      <c r="L483" s="89"/>
      <c r="M483" s="89"/>
      <c r="N483" s="89"/>
      <c r="O483" s="89"/>
      <c r="P483" s="89"/>
      <c r="Q483" s="89"/>
      <c r="R483" s="89"/>
      <c r="S483" s="89"/>
      <c r="T483" s="89"/>
      <c r="U483" s="89"/>
      <c r="V483" s="89"/>
      <c r="W483" s="89"/>
      <c r="X483" s="89"/>
      <c r="Y483" s="89"/>
      <c r="Z483" s="89"/>
      <c r="AA483" s="89"/>
      <c r="AB483" s="89"/>
      <c r="AC483" s="89"/>
      <c r="AD483" s="89"/>
    </row>
    <row r="484">
      <c r="A484" s="89"/>
      <c r="B484" s="89"/>
      <c r="C484" s="140"/>
      <c r="D484" s="89"/>
      <c r="E484" s="89"/>
      <c r="F484" s="89"/>
      <c r="G484" s="89"/>
      <c r="H484" s="89"/>
      <c r="I484" s="89"/>
      <c r="J484" s="89"/>
      <c r="K484" s="89"/>
      <c r="L484" s="89"/>
      <c r="M484" s="89"/>
      <c r="N484" s="89"/>
      <c r="O484" s="89"/>
      <c r="P484" s="89"/>
      <c r="Q484" s="89"/>
      <c r="R484" s="89"/>
      <c r="S484" s="89"/>
      <c r="T484" s="89"/>
      <c r="U484" s="89"/>
      <c r="V484" s="89"/>
      <c r="W484" s="89"/>
      <c r="X484" s="89"/>
      <c r="Y484" s="89"/>
      <c r="Z484" s="89"/>
      <c r="AA484" s="89"/>
      <c r="AB484" s="89"/>
      <c r="AC484" s="89"/>
      <c r="AD484" s="89"/>
    </row>
    <row r="485">
      <c r="A485" s="89"/>
      <c r="B485" s="89"/>
      <c r="C485" s="140"/>
      <c r="D485" s="89"/>
      <c r="E485" s="89"/>
      <c r="F485" s="89"/>
      <c r="G485" s="89"/>
      <c r="H485" s="89"/>
      <c r="I485" s="89"/>
      <c r="J485" s="89"/>
      <c r="K485" s="89"/>
      <c r="L485" s="89"/>
      <c r="M485" s="89"/>
      <c r="N485" s="89"/>
      <c r="O485" s="89"/>
      <c r="P485" s="89"/>
      <c r="Q485" s="89"/>
      <c r="R485" s="89"/>
      <c r="S485" s="89"/>
      <c r="T485" s="89"/>
      <c r="U485" s="89"/>
      <c r="V485" s="89"/>
      <c r="W485" s="89"/>
      <c r="X485" s="89"/>
      <c r="Y485" s="89"/>
      <c r="Z485" s="89"/>
      <c r="AA485" s="89"/>
      <c r="AB485" s="89"/>
      <c r="AC485" s="89"/>
      <c r="AD485" s="89"/>
    </row>
    <row r="486">
      <c r="A486" s="89"/>
      <c r="B486" s="89"/>
      <c r="C486" s="140"/>
      <c r="D486" s="89"/>
      <c r="E486" s="89"/>
      <c r="F486" s="89"/>
      <c r="G486" s="89"/>
      <c r="H486" s="89"/>
      <c r="I486" s="89"/>
      <c r="J486" s="89"/>
      <c r="K486" s="89"/>
      <c r="L486" s="89"/>
      <c r="M486" s="89"/>
      <c r="N486" s="89"/>
      <c r="O486" s="89"/>
      <c r="P486" s="89"/>
      <c r="Q486" s="89"/>
      <c r="R486" s="89"/>
      <c r="S486" s="89"/>
      <c r="T486" s="89"/>
      <c r="U486" s="89"/>
      <c r="V486" s="89"/>
      <c r="W486" s="89"/>
      <c r="X486" s="89"/>
      <c r="Y486" s="89"/>
      <c r="Z486" s="89"/>
      <c r="AA486" s="89"/>
      <c r="AB486" s="89"/>
      <c r="AC486" s="89"/>
      <c r="AD486" s="89"/>
    </row>
    <row r="487">
      <c r="A487" s="89"/>
      <c r="B487" s="89"/>
      <c r="C487" s="140"/>
      <c r="D487" s="89"/>
      <c r="E487" s="89"/>
      <c r="F487" s="89"/>
      <c r="G487" s="89"/>
      <c r="H487" s="89"/>
      <c r="I487" s="89"/>
      <c r="J487" s="89"/>
      <c r="K487" s="89"/>
      <c r="L487" s="89"/>
      <c r="M487" s="89"/>
      <c r="N487" s="89"/>
      <c r="O487" s="89"/>
      <c r="P487" s="89"/>
      <c r="Q487" s="89"/>
      <c r="R487" s="89"/>
      <c r="S487" s="89"/>
      <c r="T487" s="89"/>
      <c r="U487" s="89"/>
      <c r="V487" s="89"/>
      <c r="W487" s="89"/>
      <c r="X487" s="89"/>
      <c r="Y487" s="89"/>
      <c r="Z487" s="89"/>
      <c r="AA487" s="89"/>
      <c r="AB487" s="89"/>
      <c r="AC487" s="89"/>
      <c r="AD487" s="89"/>
    </row>
    <row r="488">
      <c r="A488" s="89"/>
      <c r="B488" s="89"/>
      <c r="C488" s="140"/>
      <c r="D488" s="89"/>
      <c r="E488" s="89"/>
      <c r="F488" s="89"/>
      <c r="G488" s="89"/>
      <c r="H488" s="89"/>
      <c r="I488" s="89"/>
      <c r="J488" s="89"/>
      <c r="K488" s="89"/>
      <c r="L488" s="89"/>
      <c r="M488" s="89"/>
      <c r="N488" s="89"/>
      <c r="O488" s="89"/>
      <c r="P488" s="89"/>
      <c r="Q488" s="89"/>
      <c r="R488" s="89"/>
      <c r="S488" s="89"/>
      <c r="T488" s="89"/>
      <c r="U488" s="89"/>
      <c r="V488" s="89"/>
      <c r="W488" s="89"/>
      <c r="X488" s="89"/>
      <c r="Y488" s="89"/>
      <c r="Z488" s="89"/>
      <c r="AA488" s="89"/>
      <c r="AB488" s="89"/>
      <c r="AC488" s="89"/>
      <c r="AD488" s="89"/>
    </row>
    <row r="489">
      <c r="A489" s="89"/>
      <c r="B489" s="89"/>
      <c r="C489" s="140"/>
      <c r="D489" s="89"/>
      <c r="E489" s="89"/>
      <c r="F489" s="89"/>
      <c r="G489" s="89"/>
      <c r="H489" s="89"/>
      <c r="I489" s="89"/>
      <c r="J489" s="89"/>
      <c r="K489" s="89"/>
      <c r="L489" s="89"/>
      <c r="M489" s="89"/>
      <c r="N489" s="89"/>
      <c r="O489" s="89"/>
      <c r="P489" s="89"/>
      <c r="Q489" s="89"/>
      <c r="R489" s="89"/>
      <c r="S489" s="89"/>
      <c r="T489" s="89"/>
      <c r="U489" s="89"/>
      <c r="V489" s="89"/>
      <c r="W489" s="89"/>
      <c r="X489" s="89"/>
      <c r="Y489" s="89"/>
      <c r="Z489" s="89"/>
      <c r="AA489" s="89"/>
      <c r="AB489" s="89"/>
      <c r="AC489" s="89"/>
      <c r="AD489" s="89"/>
    </row>
    <row r="490">
      <c r="A490" s="89"/>
      <c r="B490" s="89"/>
      <c r="C490" s="140"/>
      <c r="D490" s="89"/>
      <c r="E490" s="89"/>
      <c r="F490" s="89"/>
      <c r="G490" s="89"/>
      <c r="H490" s="89"/>
      <c r="I490" s="89"/>
      <c r="J490" s="89"/>
      <c r="K490" s="89"/>
      <c r="L490" s="89"/>
      <c r="M490" s="89"/>
      <c r="N490" s="89"/>
      <c r="O490" s="89"/>
      <c r="P490" s="89"/>
      <c r="Q490" s="89"/>
      <c r="R490" s="89"/>
      <c r="S490" s="89"/>
      <c r="T490" s="89"/>
      <c r="U490" s="89"/>
      <c r="V490" s="89"/>
      <c r="W490" s="89"/>
      <c r="X490" s="89"/>
      <c r="Y490" s="89"/>
      <c r="Z490" s="89"/>
      <c r="AA490" s="89"/>
      <c r="AB490" s="89"/>
      <c r="AC490" s="89"/>
      <c r="AD490" s="89"/>
    </row>
    <row r="491">
      <c r="A491" s="89"/>
      <c r="B491" s="89"/>
      <c r="C491" s="140"/>
      <c r="D491" s="89"/>
      <c r="E491" s="89"/>
      <c r="F491" s="89"/>
      <c r="G491" s="89"/>
      <c r="H491" s="89"/>
      <c r="I491" s="89"/>
      <c r="J491" s="89"/>
      <c r="K491" s="89"/>
      <c r="L491" s="89"/>
      <c r="M491" s="89"/>
      <c r="N491" s="89"/>
      <c r="O491" s="89"/>
      <c r="P491" s="89"/>
      <c r="Q491" s="89"/>
      <c r="R491" s="89"/>
      <c r="S491" s="89"/>
      <c r="T491" s="89"/>
      <c r="U491" s="89"/>
      <c r="V491" s="89"/>
      <c r="W491" s="89"/>
      <c r="X491" s="89"/>
      <c r="Y491" s="89"/>
      <c r="Z491" s="89"/>
      <c r="AA491" s="89"/>
      <c r="AB491" s="89"/>
      <c r="AC491" s="89"/>
      <c r="AD491" s="89"/>
    </row>
    <row r="492">
      <c r="A492" s="89"/>
      <c r="B492" s="89"/>
      <c r="C492" s="140"/>
      <c r="D492" s="89"/>
      <c r="E492" s="89"/>
      <c r="F492" s="89"/>
      <c r="G492" s="89"/>
      <c r="H492" s="89"/>
      <c r="I492" s="89"/>
      <c r="J492" s="89"/>
      <c r="K492" s="89"/>
      <c r="L492" s="89"/>
      <c r="M492" s="89"/>
      <c r="N492" s="89"/>
      <c r="O492" s="89"/>
      <c r="P492" s="89"/>
      <c r="Q492" s="89"/>
      <c r="R492" s="89"/>
      <c r="S492" s="89"/>
      <c r="T492" s="89"/>
      <c r="U492" s="89"/>
      <c r="V492" s="89"/>
      <c r="W492" s="89"/>
      <c r="X492" s="89"/>
      <c r="Y492" s="89"/>
      <c r="Z492" s="89"/>
      <c r="AA492" s="89"/>
      <c r="AB492" s="89"/>
      <c r="AC492" s="89"/>
      <c r="AD492" s="89"/>
    </row>
    <row r="493">
      <c r="A493" s="89"/>
      <c r="B493" s="89"/>
      <c r="C493" s="140"/>
      <c r="D493" s="89"/>
      <c r="E493" s="89"/>
      <c r="F493" s="89"/>
      <c r="G493" s="89"/>
      <c r="H493" s="89"/>
      <c r="I493" s="89"/>
      <c r="J493" s="89"/>
      <c r="K493" s="89"/>
      <c r="L493" s="89"/>
      <c r="M493" s="89"/>
      <c r="N493" s="89"/>
      <c r="O493" s="89"/>
      <c r="P493" s="89"/>
      <c r="Q493" s="89"/>
      <c r="R493" s="89"/>
      <c r="S493" s="89"/>
      <c r="T493" s="89"/>
      <c r="U493" s="89"/>
      <c r="V493" s="89"/>
      <c r="W493" s="89"/>
      <c r="X493" s="89"/>
      <c r="Y493" s="89"/>
      <c r="Z493" s="89"/>
      <c r="AA493" s="89"/>
      <c r="AB493" s="89"/>
      <c r="AC493" s="89"/>
      <c r="AD493" s="89"/>
    </row>
    <row r="494">
      <c r="A494" s="89"/>
      <c r="B494" s="89"/>
      <c r="C494" s="140"/>
      <c r="D494" s="89"/>
      <c r="E494" s="89"/>
      <c r="F494" s="89"/>
      <c r="G494" s="89"/>
      <c r="H494" s="89"/>
      <c r="I494" s="89"/>
      <c r="J494" s="89"/>
      <c r="K494" s="89"/>
      <c r="L494" s="89"/>
      <c r="M494" s="89"/>
      <c r="N494" s="89"/>
      <c r="O494" s="89"/>
      <c r="P494" s="89"/>
      <c r="Q494" s="89"/>
      <c r="R494" s="89"/>
      <c r="S494" s="89"/>
      <c r="T494" s="89"/>
      <c r="U494" s="89"/>
      <c r="V494" s="89"/>
      <c r="W494" s="89"/>
      <c r="X494" s="89"/>
      <c r="Y494" s="89"/>
      <c r="Z494" s="89"/>
      <c r="AA494" s="89"/>
      <c r="AB494" s="89"/>
      <c r="AC494" s="89"/>
      <c r="AD494" s="89"/>
    </row>
    <row r="495">
      <c r="A495" s="89"/>
      <c r="B495" s="89"/>
      <c r="C495" s="140"/>
      <c r="D495" s="89"/>
      <c r="E495" s="89"/>
      <c r="F495" s="89"/>
      <c r="G495" s="89"/>
      <c r="H495" s="89"/>
      <c r="I495" s="89"/>
      <c r="J495" s="89"/>
      <c r="K495" s="89"/>
      <c r="L495" s="89"/>
      <c r="M495" s="89"/>
      <c r="N495" s="89"/>
      <c r="O495" s="89"/>
      <c r="P495" s="89"/>
      <c r="Q495" s="89"/>
      <c r="R495" s="89"/>
      <c r="S495" s="89"/>
      <c r="T495" s="89"/>
      <c r="U495" s="89"/>
      <c r="V495" s="89"/>
      <c r="W495" s="89"/>
      <c r="X495" s="89"/>
      <c r="Y495" s="89"/>
      <c r="Z495" s="89"/>
      <c r="AA495" s="89"/>
      <c r="AB495" s="89"/>
      <c r="AC495" s="89"/>
      <c r="AD495" s="89"/>
    </row>
    <row r="496">
      <c r="A496" s="89"/>
      <c r="B496" s="89"/>
      <c r="C496" s="140"/>
      <c r="D496" s="89"/>
      <c r="E496" s="89"/>
      <c r="F496" s="89"/>
      <c r="G496" s="89"/>
      <c r="H496" s="89"/>
      <c r="I496" s="89"/>
      <c r="J496" s="89"/>
      <c r="K496" s="89"/>
      <c r="L496" s="89"/>
      <c r="M496" s="89"/>
      <c r="N496" s="89"/>
      <c r="O496" s="89"/>
      <c r="P496" s="89"/>
      <c r="Q496" s="89"/>
      <c r="R496" s="89"/>
      <c r="S496" s="89"/>
      <c r="T496" s="89"/>
      <c r="U496" s="89"/>
      <c r="V496" s="89"/>
      <c r="W496" s="89"/>
      <c r="X496" s="89"/>
      <c r="Y496" s="89"/>
      <c r="Z496" s="89"/>
      <c r="AA496" s="89"/>
      <c r="AB496" s="89"/>
      <c r="AC496" s="89"/>
      <c r="AD496" s="89"/>
    </row>
    <row r="497">
      <c r="A497" s="89"/>
      <c r="B497" s="89"/>
      <c r="C497" s="140"/>
      <c r="D497" s="89"/>
      <c r="E497" s="89"/>
      <c r="F497" s="89"/>
      <c r="G497" s="89"/>
      <c r="H497" s="89"/>
      <c r="I497" s="89"/>
      <c r="J497" s="89"/>
      <c r="K497" s="89"/>
      <c r="L497" s="89"/>
      <c r="M497" s="89"/>
      <c r="N497" s="89"/>
      <c r="O497" s="89"/>
      <c r="P497" s="89"/>
      <c r="Q497" s="89"/>
      <c r="R497" s="89"/>
      <c r="S497" s="89"/>
      <c r="T497" s="89"/>
      <c r="U497" s="89"/>
      <c r="V497" s="89"/>
      <c r="W497" s="89"/>
      <c r="X497" s="89"/>
      <c r="Y497" s="89"/>
      <c r="Z497" s="89"/>
      <c r="AA497" s="89"/>
      <c r="AB497" s="89"/>
      <c r="AC497" s="89"/>
      <c r="AD497" s="89"/>
    </row>
    <row r="498">
      <c r="A498" s="89"/>
      <c r="B498" s="89"/>
      <c r="C498" s="140"/>
      <c r="D498" s="89"/>
      <c r="E498" s="89"/>
      <c r="F498" s="89"/>
      <c r="G498" s="89"/>
      <c r="H498" s="89"/>
      <c r="I498" s="89"/>
      <c r="J498" s="89"/>
      <c r="K498" s="89"/>
      <c r="L498" s="89"/>
      <c r="M498" s="89"/>
      <c r="N498" s="89"/>
      <c r="O498" s="89"/>
      <c r="P498" s="89"/>
      <c r="Q498" s="89"/>
      <c r="R498" s="89"/>
      <c r="S498" s="89"/>
      <c r="T498" s="89"/>
      <c r="U498" s="89"/>
      <c r="V498" s="89"/>
      <c r="W498" s="89"/>
      <c r="X498" s="89"/>
      <c r="Y498" s="89"/>
      <c r="Z498" s="89"/>
      <c r="AA498" s="89"/>
      <c r="AB498" s="89"/>
      <c r="AC498" s="89"/>
      <c r="AD498" s="89"/>
    </row>
    <row r="499">
      <c r="A499" s="89"/>
      <c r="B499" s="89"/>
      <c r="C499" s="140"/>
      <c r="D499" s="89"/>
      <c r="E499" s="89"/>
      <c r="F499" s="89"/>
      <c r="G499" s="89"/>
      <c r="H499" s="89"/>
      <c r="I499" s="89"/>
      <c r="J499" s="89"/>
      <c r="K499" s="89"/>
      <c r="L499" s="89"/>
      <c r="M499" s="89"/>
      <c r="N499" s="89"/>
      <c r="O499" s="89"/>
      <c r="P499" s="89"/>
      <c r="Q499" s="89"/>
      <c r="R499" s="89"/>
      <c r="S499" s="89"/>
      <c r="T499" s="89"/>
      <c r="U499" s="89"/>
      <c r="V499" s="89"/>
      <c r="W499" s="89"/>
      <c r="X499" s="89"/>
      <c r="Y499" s="89"/>
      <c r="Z499" s="89"/>
      <c r="AA499" s="89"/>
      <c r="AB499" s="89"/>
      <c r="AC499" s="89"/>
      <c r="AD499" s="89"/>
    </row>
    <row r="500">
      <c r="A500" s="89"/>
      <c r="B500" s="89"/>
      <c r="C500" s="140"/>
      <c r="D500" s="89"/>
      <c r="E500" s="89"/>
      <c r="F500" s="89"/>
      <c r="G500" s="89"/>
      <c r="H500" s="89"/>
      <c r="I500" s="89"/>
      <c r="J500" s="89"/>
      <c r="K500" s="89"/>
      <c r="L500" s="89"/>
      <c r="M500" s="89"/>
      <c r="N500" s="89"/>
      <c r="O500" s="89"/>
      <c r="P500" s="89"/>
      <c r="Q500" s="89"/>
      <c r="R500" s="89"/>
      <c r="S500" s="89"/>
      <c r="T500" s="89"/>
      <c r="U500" s="89"/>
      <c r="V500" s="89"/>
      <c r="W500" s="89"/>
      <c r="X500" s="89"/>
      <c r="Y500" s="89"/>
      <c r="Z500" s="89"/>
      <c r="AA500" s="89"/>
      <c r="AB500" s="89"/>
      <c r="AC500" s="89"/>
      <c r="AD500" s="89"/>
    </row>
    <row r="501">
      <c r="A501" s="89"/>
      <c r="B501" s="89"/>
      <c r="C501" s="140"/>
      <c r="D501" s="89"/>
      <c r="E501" s="89"/>
      <c r="F501" s="89"/>
      <c r="G501" s="89"/>
      <c r="H501" s="89"/>
      <c r="I501" s="89"/>
      <c r="J501" s="89"/>
      <c r="K501" s="89"/>
      <c r="L501" s="89"/>
      <c r="M501" s="89"/>
      <c r="N501" s="89"/>
      <c r="O501" s="89"/>
      <c r="P501" s="89"/>
      <c r="Q501" s="89"/>
      <c r="R501" s="89"/>
      <c r="S501" s="89"/>
      <c r="T501" s="89"/>
      <c r="U501" s="89"/>
      <c r="V501" s="89"/>
      <c r="W501" s="89"/>
      <c r="X501" s="89"/>
      <c r="Y501" s="89"/>
      <c r="Z501" s="89"/>
      <c r="AA501" s="89"/>
      <c r="AB501" s="89"/>
      <c r="AC501" s="89"/>
      <c r="AD501" s="89"/>
    </row>
    <row r="502">
      <c r="A502" s="89"/>
      <c r="B502" s="89"/>
      <c r="C502" s="140"/>
      <c r="D502" s="89"/>
      <c r="E502" s="89"/>
      <c r="F502" s="89"/>
      <c r="G502" s="89"/>
      <c r="H502" s="89"/>
      <c r="I502" s="89"/>
      <c r="J502" s="89"/>
      <c r="K502" s="89"/>
      <c r="L502" s="89"/>
      <c r="M502" s="89"/>
      <c r="N502" s="89"/>
      <c r="O502" s="89"/>
      <c r="P502" s="89"/>
      <c r="Q502" s="89"/>
      <c r="R502" s="89"/>
      <c r="S502" s="89"/>
      <c r="T502" s="89"/>
      <c r="U502" s="89"/>
      <c r="V502" s="89"/>
      <c r="W502" s="89"/>
      <c r="X502" s="89"/>
      <c r="Y502" s="89"/>
      <c r="Z502" s="89"/>
      <c r="AA502" s="89"/>
      <c r="AB502" s="89"/>
      <c r="AC502" s="89"/>
      <c r="AD502" s="89"/>
    </row>
    <row r="503">
      <c r="A503" s="89"/>
      <c r="B503" s="89"/>
      <c r="C503" s="140"/>
      <c r="D503" s="89"/>
      <c r="E503" s="89"/>
      <c r="F503" s="89"/>
      <c r="G503" s="89"/>
      <c r="H503" s="89"/>
      <c r="I503" s="89"/>
      <c r="J503" s="89"/>
      <c r="K503" s="89"/>
      <c r="L503" s="89"/>
      <c r="M503" s="89"/>
      <c r="N503" s="89"/>
      <c r="O503" s="89"/>
      <c r="P503" s="89"/>
      <c r="Q503" s="89"/>
      <c r="R503" s="89"/>
      <c r="S503" s="89"/>
      <c r="T503" s="89"/>
      <c r="U503" s="89"/>
      <c r="V503" s="89"/>
      <c r="W503" s="89"/>
      <c r="X503" s="89"/>
      <c r="Y503" s="89"/>
      <c r="Z503" s="89"/>
      <c r="AA503" s="89"/>
      <c r="AB503" s="89"/>
      <c r="AC503" s="89"/>
      <c r="AD503" s="89"/>
    </row>
    <row r="504">
      <c r="A504" s="89"/>
      <c r="B504" s="89"/>
      <c r="C504" s="140"/>
      <c r="D504" s="89"/>
      <c r="E504" s="89"/>
      <c r="F504" s="89"/>
      <c r="G504" s="89"/>
      <c r="H504" s="89"/>
      <c r="I504" s="89"/>
      <c r="J504" s="89"/>
      <c r="K504" s="89"/>
      <c r="L504" s="89"/>
      <c r="M504" s="89"/>
      <c r="N504" s="89"/>
      <c r="O504" s="89"/>
      <c r="P504" s="89"/>
      <c r="Q504" s="89"/>
      <c r="R504" s="89"/>
      <c r="S504" s="89"/>
      <c r="T504" s="89"/>
      <c r="U504" s="89"/>
      <c r="V504" s="89"/>
      <c r="W504" s="89"/>
      <c r="X504" s="89"/>
      <c r="Y504" s="89"/>
      <c r="Z504" s="89"/>
      <c r="AA504" s="89"/>
      <c r="AB504" s="89"/>
      <c r="AC504" s="89"/>
      <c r="AD504" s="89"/>
    </row>
    <row r="505">
      <c r="A505" s="89"/>
      <c r="B505" s="89"/>
      <c r="C505" s="140"/>
      <c r="D505" s="89"/>
      <c r="E505" s="89"/>
      <c r="F505" s="89"/>
      <c r="G505" s="89"/>
      <c r="H505" s="89"/>
      <c r="I505" s="89"/>
      <c r="J505" s="89"/>
      <c r="K505" s="89"/>
      <c r="L505" s="89"/>
      <c r="M505" s="89"/>
      <c r="N505" s="89"/>
      <c r="O505" s="89"/>
      <c r="P505" s="89"/>
      <c r="Q505" s="89"/>
      <c r="R505" s="89"/>
      <c r="S505" s="89"/>
      <c r="T505" s="89"/>
      <c r="U505" s="89"/>
      <c r="V505" s="89"/>
      <c r="W505" s="89"/>
      <c r="X505" s="89"/>
      <c r="Y505" s="89"/>
      <c r="Z505" s="89"/>
      <c r="AA505" s="89"/>
      <c r="AB505" s="89"/>
      <c r="AC505" s="89"/>
      <c r="AD505" s="89"/>
    </row>
    <row r="506">
      <c r="A506" s="89"/>
      <c r="B506" s="89"/>
      <c r="C506" s="140"/>
      <c r="D506" s="89"/>
      <c r="E506" s="89"/>
      <c r="F506" s="89"/>
      <c r="G506" s="89"/>
      <c r="H506" s="89"/>
      <c r="I506" s="89"/>
      <c r="J506" s="89"/>
      <c r="K506" s="89"/>
      <c r="L506" s="89"/>
      <c r="M506" s="89"/>
      <c r="N506" s="89"/>
      <c r="O506" s="89"/>
      <c r="P506" s="89"/>
      <c r="Q506" s="89"/>
      <c r="R506" s="89"/>
      <c r="S506" s="89"/>
      <c r="T506" s="89"/>
      <c r="U506" s="89"/>
      <c r="V506" s="89"/>
      <c r="W506" s="89"/>
      <c r="X506" s="89"/>
      <c r="Y506" s="89"/>
      <c r="Z506" s="89"/>
      <c r="AA506" s="89"/>
      <c r="AB506" s="89"/>
      <c r="AC506" s="89"/>
      <c r="AD506" s="89"/>
    </row>
    <row r="507">
      <c r="A507" s="89"/>
      <c r="B507" s="89"/>
      <c r="C507" s="140"/>
      <c r="D507" s="89"/>
      <c r="E507" s="89"/>
      <c r="F507" s="89"/>
      <c r="G507" s="89"/>
      <c r="H507" s="89"/>
      <c r="I507" s="89"/>
      <c r="J507" s="89"/>
      <c r="K507" s="89"/>
      <c r="L507" s="89"/>
      <c r="M507" s="89"/>
      <c r="N507" s="89"/>
      <c r="O507" s="89"/>
      <c r="P507" s="89"/>
      <c r="Q507" s="89"/>
      <c r="R507" s="89"/>
      <c r="S507" s="89"/>
      <c r="T507" s="89"/>
      <c r="U507" s="89"/>
      <c r="V507" s="89"/>
      <c r="W507" s="89"/>
      <c r="X507" s="89"/>
      <c r="Y507" s="89"/>
      <c r="Z507" s="89"/>
      <c r="AA507" s="89"/>
      <c r="AB507" s="89"/>
      <c r="AC507" s="89"/>
      <c r="AD507" s="89"/>
    </row>
    <row r="508">
      <c r="A508" s="89"/>
      <c r="B508" s="89"/>
      <c r="C508" s="140"/>
      <c r="D508" s="89"/>
      <c r="E508" s="89"/>
      <c r="F508" s="89"/>
      <c r="G508" s="89"/>
      <c r="H508" s="89"/>
      <c r="I508" s="89"/>
      <c r="J508" s="89"/>
      <c r="K508" s="89"/>
      <c r="L508" s="89"/>
      <c r="M508" s="89"/>
      <c r="N508" s="89"/>
      <c r="O508" s="89"/>
      <c r="P508" s="89"/>
      <c r="Q508" s="89"/>
      <c r="R508" s="89"/>
      <c r="S508" s="89"/>
      <c r="T508" s="89"/>
      <c r="U508" s="89"/>
      <c r="V508" s="89"/>
      <c r="W508" s="89"/>
      <c r="X508" s="89"/>
      <c r="Y508" s="89"/>
      <c r="Z508" s="89"/>
      <c r="AA508" s="89"/>
      <c r="AB508" s="89"/>
      <c r="AC508" s="89"/>
      <c r="AD508" s="89"/>
    </row>
    <row r="509">
      <c r="A509" s="89"/>
      <c r="B509" s="89"/>
      <c r="C509" s="140"/>
      <c r="D509" s="89"/>
      <c r="E509" s="89"/>
      <c r="F509" s="89"/>
      <c r="G509" s="89"/>
      <c r="H509" s="89"/>
      <c r="I509" s="89"/>
      <c r="J509" s="89"/>
      <c r="K509" s="89"/>
      <c r="L509" s="89"/>
      <c r="M509" s="89"/>
      <c r="N509" s="89"/>
      <c r="O509" s="89"/>
      <c r="P509" s="89"/>
      <c r="Q509" s="89"/>
      <c r="R509" s="89"/>
      <c r="S509" s="89"/>
      <c r="T509" s="89"/>
      <c r="U509" s="89"/>
      <c r="V509" s="89"/>
      <c r="W509" s="89"/>
      <c r="X509" s="89"/>
      <c r="Y509" s="89"/>
      <c r="Z509" s="89"/>
      <c r="AA509" s="89"/>
      <c r="AB509" s="89"/>
      <c r="AC509" s="89"/>
      <c r="AD509" s="89"/>
    </row>
    <row r="510">
      <c r="A510" s="89"/>
      <c r="B510" s="89"/>
      <c r="C510" s="140"/>
      <c r="D510" s="89"/>
      <c r="E510" s="89"/>
      <c r="F510" s="89"/>
      <c r="G510" s="89"/>
      <c r="H510" s="89"/>
      <c r="I510" s="89"/>
      <c r="J510" s="89"/>
      <c r="K510" s="89"/>
      <c r="L510" s="89"/>
      <c r="M510" s="89"/>
      <c r="N510" s="89"/>
      <c r="O510" s="89"/>
      <c r="P510" s="89"/>
      <c r="Q510" s="89"/>
      <c r="R510" s="89"/>
      <c r="S510" s="89"/>
      <c r="T510" s="89"/>
      <c r="U510" s="89"/>
      <c r="V510" s="89"/>
      <c r="W510" s="89"/>
      <c r="X510" s="89"/>
      <c r="Y510" s="89"/>
      <c r="Z510" s="89"/>
      <c r="AA510" s="89"/>
      <c r="AB510" s="89"/>
      <c r="AC510" s="89"/>
      <c r="AD510" s="89"/>
    </row>
    <row r="511">
      <c r="A511" s="89"/>
      <c r="B511" s="89"/>
      <c r="C511" s="140"/>
      <c r="D511" s="89"/>
      <c r="E511" s="89"/>
      <c r="F511" s="89"/>
      <c r="G511" s="89"/>
      <c r="H511" s="89"/>
      <c r="I511" s="89"/>
      <c r="J511" s="89"/>
      <c r="K511" s="89"/>
      <c r="L511" s="89"/>
      <c r="M511" s="89"/>
      <c r="N511" s="89"/>
      <c r="O511" s="89"/>
      <c r="P511" s="89"/>
      <c r="Q511" s="89"/>
      <c r="R511" s="89"/>
      <c r="S511" s="89"/>
      <c r="T511" s="89"/>
      <c r="U511" s="89"/>
      <c r="V511" s="89"/>
      <c r="W511" s="89"/>
      <c r="X511" s="89"/>
      <c r="Y511" s="89"/>
      <c r="Z511" s="89"/>
      <c r="AA511" s="89"/>
      <c r="AB511" s="89"/>
      <c r="AC511" s="89"/>
      <c r="AD511" s="89"/>
    </row>
    <row r="512">
      <c r="A512" s="89"/>
      <c r="B512" s="89"/>
      <c r="C512" s="140"/>
      <c r="D512" s="89"/>
      <c r="E512" s="89"/>
      <c r="F512" s="89"/>
      <c r="G512" s="89"/>
      <c r="H512" s="89"/>
      <c r="I512" s="89"/>
      <c r="J512" s="89"/>
      <c r="K512" s="89"/>
      <c r="L512" s="89"/>
      <c r="M512" s="89"/>
      <c r="N512" s="89"/>
      <c r="O512" s="89"/>
      <c r="P512" s="89"/>
      <c r="Q512" s="89"/>
      <c r="R512" s="89"/>
      <c r="S512" s="89"/>
      <c r="T512" s="89"/>
      <c r="U512" s="89"/>
      <c r="V512" s="89"/>
      <c r="W512" s="89"/>
      <c r="X512" s="89"/>
      <c r="Y512" s="89"/>
      <c r="Z512" s="89"/>
      <c r="AA512" s="89"/>
      <c r="AB512" s="89"/>
      <c r="AC512" s="89"/>
      <c r="AD512" s="89"/>
    </row>
    <row r="513">
      <c r="A513" s="89"/>
      <c r="B513" s="89"/>
      <c r="C513" s="140"/>
      <c r="D513" s="89"/>
      <c r="E513" s="89"/>
      <c r="F513" s="89"/>
      <c r="G513" s="89"/>
      <c r="H513" s="89"/>
      <c r="I513" s="89"/>
      <c r="J513" s="89"/>
      <c r="K513" s="89"/>
      <c r="L513" s="89"/>
      <c r="M513" s="89"/>
      <c r="N513" s="89"/>
      <c r="O513" s="89"/>
      <c r="P513" s="89"/>
      <c r="Q513" s="89"/>
      <c r="R513" s="89"/>
      <c r="S513" s="89"/>
      <c r="T513" s="89"/>
      <c r="U513" s="89"/>
      <c r="V513" s="89"/>
      <c r="W513" s="89"/>
      <c r="X513" s="89"/>
      <c r="Y513" s="89"/>
      <c r="Z513" s="89"/>
      <c r="AA513" s="89"/>
      <c r="AB513" s="89"/>
      <c r="AC513" s="89"/>
      <c r="AD513" s="89"/>
    </row>
    <row r="514">
      <c r="A514" s="89"/>
      <c r="B514" s="89"/>
      <c r="C514" s="140"/>
      <c r="D514" s="89"/>
      <c r="E514" s="89"/>
      <c r="F514" s="89"/>
      <c r="G514" s="89"/>
      <c r="H514" s="89"/>
      <c r="I514" s="89"/>
      <c r="J514" s="89"/>
      <c r="K514" s="89"/>
      <c r="L514" s="89"/>
      <c r="M514" s="89"/>
      <c r="N514" s="89"/>
      <c r="O514" s="89"/>
      <c r="P514" s="89"/>
      <c r="Q514" s="89"/>
      <c r="R514" s="89"/>
      <c r="S514" s="89"/>
      <c r="T514" s="89"/>
      <c r="U514" s="89"/>
      <c r="V514" s="89"/>
      <c r="W514" s="89"/>
      <c r="X514" s="89"/>
      <c r="Y514" s="89"/>
      <c r="Z514" s="89"/>
      <c r="AA514" s="89"/>
      <c r="AB514" s="89"/>
      <c r="AC514" s="89"/>
      <c r="AD514" s="89"/>
    </row>
    <row r="515">
      <c r="A515" s="89"/>
      <c r="B515" s="89"/>
      <c r="C515" s="140"/>
      <c r="D515" s="89"/>
      <c r="E515" s="89"/>
      <c r="F515" s="89"/>
      <c r="G515" s="89"/>
      <c r="H515" s="89"/>
      <c r="I515" s="89"/>
      <c r="J515" s="89"/>
      <c r="K515" s="89"/>
      <c r="L515" s="89"/>
      <c r="M515" s="89"/>
      <c r="N515" s="89"/>
      <c r="O515" s="89"/>
      <c r="P515" s="89"/>
      <c r="Q515" s="89"/>
      <c r="R515" s="89"/>
      <c r="S515" s="89"/>
      <c r="T515" s="89"/>
      <c r="U515" s="89"/>
      <c r="V515" s="89"/>
      <c r="W515" s="89"/>
      <c r="X515" s="89"/>
      <c r="Y515" s="89"/>
      <c r="Z515" s="89"/>
      <c r="AA515" s="89"/>
      <c r="AB515" s="89"/>
      <c r="AC515" s="89"/>
      <c r="AD515" s="89"/>
    </row>
    <row r="516">
      <c r="A516" s="89"/>
      <c r="B516" s="89"/>
      <c r="C516" s="140"/>
      <c r="D516" s="89"/>
      <c r="E516" s="89"/>
      <c r="F516" s="89"/>
      <c r="G516" s="89"/>
      <c r="H516" s="89"/>
      <c r="I516" s="89"/>
      <c r="J516" s="89"/>
      <c r="K516" s="89"/>
      <c r="L516" s="89"/>
      <c r="M516" s="89"/>
      <c r="N516" s="89"/>
      <c r="O516" s="89"/>
      <c r="P516" s="89"/>
      <c r="Q516" s="89"/>
      <c r="R516" s="89"/>
      <c r="S516" s="89"/>
      <c r="T516" s="89"/>
      <c r="U516" s="89"/>
      <c r="V516" s="89"/>
      <c r="W516" s="89"/>
      <c r="X516" s="89"/>
      <c r="Y516" s="89"/>
      <c r="Z516" s="89"/>
      <c r="AA516" s="89"/>
      <c r="AB516" s="89"/>
      <c r="AC516" s="89"/>
      <c r="AD516" s="89"/>
    </row>
    <row r="517">
      <c r="A517" s="89"/>
      <c r="B517" s="89"/>
      <c r="C517" s="140"/>
      <c r="D517" s="89"/>
      <c r="E517" s="89"/>
      <c r="F517" s="89"/>
      <c r="G517" s="89"/>
      <c r="H517" s="89"/>
      <c r="I517" s="89"/>
      <c r="J517" s="89"/>
      <c r="K517" s="89"/>
      <c r="L517" s="89"/>
      <c r="M517" s="89"/>
      <c r="N517" s="89"/>
      <c r="O517" s="89"/>
      <c r="P517" s="89"/>
      <c r="Q517" s="89"/>
      <c r="R517" s="89"/>
      <c r="S517" s="89"/>
      <c r="T517" s="89"/>
      <c r="U517" s="89"/>
      <c r="V517" s="89"/>
      <c r="W517" s="89"/>
      <c r="X517" s="89"/>
      <c r="Y517" s="89"/>
      <c r="Z517" s="89"/>
      <c r="AA517" s="89"/>
      <c r="AB517" s="89"/>
      <c r="AC517" s="89"/>
      <c r="AD517" s="89"/>
    </row>
    <row r="518">
      <c r="A518" s="89"/>
      <c r="B518" s="89"/>
      <c r="C518" s="140"/>
      <c r="D518" s="89"/>
      <c r="E518" s="89"/>
      <c r="F518" s="89"/>
      <c r="G518" s="89"/>
      <c r="H518" s="89"/>
      <c r="I518" s="89"/>
      <c r="J518" s="89"/>
      <c r="K518" s="89"/>
      <c r="L518" s="89"/>
      <c r="M518" s="89"/>
      <c r="N518" s="89"/>
      <c r="O518" s="89"/>
      <c r="P518" s="89"/>
      <c r="Q518" s="89"/>
      <c r="R518" s="89"/>
      <c r="S518" s="89"/>
      <c r="T518" s="89"/>
      <c r="U518" s="89"/>
      <c r="V518" s="89"/>
      <c r="W518" s="89"/>
      <c r="X518" s="89"/>
      <c r="Y518" s="89"/>
      <c r="Z518" s="89"/>
      <c r="AA518" s="89"/>
      <c r="AB518" s="89"/>
      <c r="AC518" s="89"/>
      <c r="AD518" s="89"/>
    </row>
    <row r="519">
      <c r="A519" s="89"/>
      <c r="B519" s="89"/>
      <c r="C519" s="140"/>
      <c r="D519" s="89"/>
      <c r="E519" s="89"/>
      <c r="F519" s="89"/>
      <c r="G519" s="89"/>
      <c r="H519" s="89"/>
      <c r="I519" s="89"/>
      <c r="J519" s="89"/>
      <c r="K519" s="89"/>
      <c r="L519" s="89"/>
      <c r="M519" s="89"/>
      <c r="N519" s="89"/>
      <c r="O519" s="89"/>
      <c r="P519" s="89"/>
      <c r="Q519" s="89"/>
      <c r="R519" s="89"/>
      <c r="S519" s="89"/>
      <c r="T519" s="89"/>
      <c r="U519" s="89"/>
      <c r="V519" s="89"/>
      <c r="W519" s="89"/>
      <c r="X519" s="89"/>
      <c r="Y519" s="89"/>
      <c r="Z519" s="89"/>
      <c r="AA519" s="89"/>
      <c r="AB519" s="89"/>
      <c r="AC519" s="89"/>
      <c r="AD519" s="89"/>
    </row>
    <row r="520">
      <c r="A520" s="89"/>
      <c r="B520" s="89"/>
      <c r="C520" s="140"/>
      <c r="D520" s="89"/>
      <c r="E520" s="89"/>
      <c r="F520" s="89"/>
      <c r="G520" s="89"/>
      <c r="H520" s="89"/>
      <c r="I520" s="89"/>
      <c r="J520" s="89"/>
      <c r="K520" s="89"/>
      <c r="L520" s="89"/>
      <c r="M520" s="89"/>
      <c r="N520" s="89"/>
      <c r="O520" s="89"/>
      <c r="P520" s="89"/>
      <c r="Q520" s="89"/>
      <c r="R520" s="89"/>
      <c r="S520" s="89"/>
      <c r="T520" s="89"/>
      <c r="U520" s="89"/>
      <c r="V520" s="89"/>
      <c r="W520" s="89"/>
      <c r="X520" s="89"/>
      <c r="Y520" s="89"/>
      <c r="Z520" s="89"/>
      <c r="AA520" s="89"/>
      <c r="AB520" s="89"/>
      <c r="AC520" s="89"/>
      <c r="AD520" s="89"/>
    </row>
    <row r="521">
      <c r="A521" s="89"/>
      <c r="B521" s="89"/>
      <c r="C521" s="140"/>
      <c r="D521" s="89"/>
      <c r="E521" s="89"/>
      <c r="F521" s="89"/>
      <c r="G521" s="89"/>
      <c r="H521" s="89"/>
      <c r="I521" s="89"/>
      <c r="J521" s="89"/>
      <c r="K521" s="89"/>
      <c r="L521" s="89"/>
      <c r="M521" s="89"/>
      <c r="N521" s="89"/>
      <c r="O521" s="89"/>
      <c r="P521" s="89"/>
      <c r="Q521" s="89"/>
      <c r="R521" s="89"/>
      <c r="S521" s="89"/>
      <c r="T521" s="89"/>
      <c r="U521" s="89"/>
      <c r="V521" s="89"/>
      <c r="W521" s="89"/>
      <c r="X521" s="89"/>
      <c r="Y521" s="89"/>
      <c r="Z521" s="89"/>
      <c r="AA521" s="89"/>
      <c r="AB521" s="89"/>
      <c r="AC521" s="89"/>
      <c r="AD521" s="89"/>
    </row>
    <row r="522">
      <c r="A522" s="89"/>
      <c r="B522" s="89"/>
      <c r="C522" s="140"/>
      <c r="D522" s="89"/>
      <c r="E522" s="89"/>
      <c r="F522" s="89"/>
      <c r="G522" s="89"/>
      <c r="H522" s="89"/>
      <c r="I522" s="89"/>
      <c r="J522" s="89"/>
      <c r="K522" s="89"/>
      <c r="L522" s="89"/>
      <c r="M522" s="89"/>
      <c r="N522" s="89"/>
      <c r="O522" s="89"/>
      <c r="P522" s="89"/>
      <c r="Q522" s="89"/>
      <c r="R522" s="89"/>
      <c r="S522" s="89"/>
      <c r="T522" s="89"/>
      <c r="U522" s="89"/>
      <c r="V522" s="89"/>
      <c r="W522" s="89"/>
      <c r="X522" s="89"/>
      <c r="Y522" s="89"/>
      <c r="Z522" s="89"/>
      <c r="AA522" s="89"/>
      <c r="AB522" s="89"/>
      <c r="AC522" s="89"/>
      <c r="AD522" s="89"/>
    </row>
    <row r="523">
      <c r="A523" s="89"/>
      <c r="B523" s="89"/>
      <c r="C523" s="140"/>
      <c r="D523" s="89"/>
      <c r="E523" s="89"/>
      <c r="F523" s="89"/>
      <c r="G523" s="89"/>
      <c r="H523" s="89"/>
      <c r="I523" s="89"/>
      <c r="J523" s="89"/>
      <c r="K523" s="89"/>
      <c r="L523" s="89"/>
      <c r="M523" s="89"/>
      <c r="N523" s="89"/>
      <c r="O523" s="89"/>
      <c r="P523" s="89"/>
      <c r="Q523" s="89"/>
      <c r="R523" s="89"/>
      <c r="S523" s="89"/>
      <c r="T523" s="89"/>
      <c r="U523" s="89"/>
      <c r="V523" s="89"/>
      <c r="W523" s="89"/>
      <c r="X523" s="89"/>
      <c r="Y523" s="89"/>
      <c r="Z523" s="89"/>
      <c r="AA523" s="89"/>
      <c r="AB523" s="89"/>
      <c r="AC523" s="89"/>
      <c r="AD523" s="89"/>
    </row>
    <row r="524">
      <c r="A524" s="89"/>
      <c r="B524" s="89"/>
      <c r="C524" s="140"/>
      <c r="D524" s="89"/>
      <c r="E524" s="89"/>
      <c r="F524" s="89"/>
      <c r="G524" s="89"/>
      <c r="H524" s="89"/>
      <c r="I524" s="89"/>
      <c r="J524" s="89"/>
      <c r="K524" s="89"/>
      <c r="L524" s="89"/>
      <c r="M524" s="89"/>
      <c r="N524" s="89"/>
      <c r="O524" s="89"/>
      <c r="P524" s="89"/>
      <c r="Q524" s="89"/>
      <c r="R524" s="89"/>
      <c r="S524" s="89"/>
      <c r="T524" s="89"/>
      <c r="U524" s="89"/>
      <c r="V524" s="89"/>
      <c r="W524" s="89"/>
      <c r="X524" s="89"/>
      <c r="Y524" s="89"/>
      <c r="Z524" s="89"/>
      <c r="AA524" s="89"/>
      <c r="AB524" s="89"/>
      <c r="AC524" s="89"/>
      <c r="AD524" s="89"/>
    </row>
    <row r="525">
      <c r="A525" s="89"/>
      <c r="B525" s="89"/>
      <c r="C525" s="140"/>
      <c r="D525" s="89"/>
      <c r="E525" s="89"/>
      <c r="F525" s="89"/>
      <c r="G525" s="89"/>
      <c r="H525" s="89"/>
      <c r="I525" s="89"/>
      <c r="J525" s="89"/>
      <c r="K525" s="89"/>
      <c r="L525" s="89"/>
      <c r="M525" s="89"/>
      <c r="N525" s="89"/>
      <c r="O525" s="89"/>
      <c r="P525" s="89"/>
      <c r="Q525" s="89"/>
      <c r="R525" s="89"/>
      <c r="S525" s="89"/>
      <c r="T525" s="89"/>
      <c r="U525" s="89"/>
      <c r="V525" s="89"/>
      <c r="W525" s="89"/>
      <c r="X525" s="89"/>
      <c r="Y525" s="89"/>
      <c r="Z525" s="89"/>
      <c r="AA525" s="89"/>
      <c r="AB525" s="89"/>
      <c r="AC525" s="89"/>
      <c r="AD525" s="89"/>
    </row>
    <row r="526">
      <c r="A526" s="89"/>
      <c r="B526" s="89"/>
      <c r="C526" s="140"/>
      <c r="D526" s="89"/>
      <c r="E526" s="89"/>
      <c r="F526" s="89"/>
      <c r="G526" s="89"/>
      <c r="H526" s="89"/>
      <c r="I526" s="89"/>
      <c r="J526" s="89"/>
      <c r="K526" s="89"/>
      <c r="L526" s="89"/>
      <c r="M526" s="89"/>
      <c r="N526" s="89"/>
      <c r="O526" s="89"/>
      <c r="P526" s="89"/>
      <c r="Q526" s="89"/>
      <c r="R526" s="89"/>
      <c r="S526" s="89"/>
      <c r="T526" s="89"/>
      <c r="U526" s="89"/>
      <c r="V526" s="89"/>
      <c r="W526" s="89"/>
      <c r="X526" s="89"/>
      <c r="Y526" s="89"/>
      <c r="Z526" s="89"/>
      <c r="AA526" s="89"/>
      <c r="AB526" s="89"/>
      <c r="AC526" s="89"/>
      <c r="AD526" s="89"/>
    </row>
    <row r="527">
      <c r="A527" s="89"/>
      <c r="B527" s="89"/>
      <c r="C527" s="140"/>
      <c r="D527" s="89"/>
      <c r="E527" s="89"/>
      <c r="F527" s="89"/>
      <c r="G527" s="89"/>
      <c r="H527" s="89"/>
      <c r="I527" s="89"/>
      <c r="J527" s="89"/>
      <c r="K527" s="89"/>
      <c r="L527" s="89"/>
      <c r="M527" s="89"/>
      <c r="N527" s="89"/>
      <c r="O527" s="89"/>
      <c r="P527" s="89"/>
      <c r="Q527" s="89"/>
      <c r="R527" s="89"/>
      <c r="S527" s="89"/>
      <c r="T527" s="89"/>
      <c r="U527" s="89"/>
      <c r="V527" s="89"/>
      <c r="W527" s="89"/>
      <c r="X527" s="89"/>
      <c r="Y527" s="89"/>
      <c r="Z527" s="89"/>
      <c r="AA527" s="89"/>
      <c r="AB527" s="89"/>
      <c r="AC527" s="89"/>
      <c r="AD527" s="89"/>
    </row>
    <row r="528">
      <c r="A528" s="89"/>
      <c r="B528" s="89"/>
      <c r="C528" s="140"/>
      <c r="D528" s="89"/>
      <c r="E528" s="89"/>
      <c r="F528" s="89"/>
      <c r="G528" s="89"/>
      <c r="H528" s="89"/>
      <c r="I528" s="89"/>
      <c r="J528" s="89"/>
      <c r="K528" s="89"/>
      <c r="L528" s="89"/>
      <c r="M528" s="89"/>
      <c r="N528" s="89"/>
      <c r="O528" s="89"/>
      <c r="P528" s="89"/>
      <c r="Q528" s="89"/>
      <c r="R528" s="89"/>
      <c r="S528" s="89"/>
      <c r="T528" s="89"/>
      <c r="U528" s="89"/>
      <c r="V528" s="89"/>
      <c r="W528" s="89"/>
      <c r="X528" s="89"/>
      <c r="Y528" s="89"/>
      <c r="Z528" s="89"/>
      <c r="AA528" s="89"/>
      <c r="AB528" s="89"/>
      <c r="AC528" s="89"/>
      <c r="AD528" s="89"/>
    </row>
    <row r="529">
      <c r="A529" s="89"/>
      <c r="B529" s="89"/>
      <c r="C529" s="140"/>
      <c r="D529" s="89"/>
      <c r="E529" s="89"/>
      <c r="F529" s="89"/>
      <c r="G529" s="89"/>
      <c r="H529" s="89"/>
      <c r="I529" s="89"/>
      <c r="J529" s="89"/>
      <c r="K529" s="89"/>
      <c r="L529" s="89"/>
      <c r="M529" s="89"/>
      <c r="N529" s="89"/>
      <c r="O529" s="89"/>
      <c r="P529" s="89"/>
      <c r="Q529" s="89"/>
      <c r="R529" s="89"/>
      <c r="S529" s="89"/>
      <c r="T529" s="89"/>
      <c r="U529" s="89"/>
      <c r="V529" s="89"/>
      <c r="W529" s="89"/>
      <c r="X529" s="89"/>
      <c r="Y529" s="89"/>
      <c r="Z529" s="89"/>
      <c r="AA529" s="89"/>
      <c r="AB529" s="89"/>
      <c r="AC529" s="89"/>
      <c r="AD529" s="89"/>
    </row>
    <row r="530">
      <c r="A530" s="89"/>
      <c r="B530" s="89"/>
      <c r="C530" s="140"/>
      <c r="D530" s="89"/>
      <c r="E530" s="89"/>
      <c r="F530" s="89"/>
      <c r="G530" s="89"/>
      <c r="H530" s="89"/>
      <c r="I530" s="89"/>
      <c r="J530" s="89"/>
      <c r="K530" s="89"/>
      <c r="L530" s="89"/>
      <c r="M530" s="89"/>
      <c r="N530" s="89"/>
      <c r="O530" s="89"/>
      <c r="P530" s="89"/>
      <c r="Q530" s="89"/>
      <c r="R530" s="89"/>
      <c r="S530" s="89"/>
      <c r="T530" s="89"/>
      <c r="U530" s="89"/>
      <c r="V530" s="89"/>
      <c r="W530" s="89"/>
      <c r="X530" s="89"/>
      <c r="Y530" s="89"/>
      <c r="Z530" s="89"/>
      <c r="AA530" s="89"/>
      <c r="AB530" s="89"/>
      <c r="AC530" s="89"/>
      <c r="AD530" s="89"/>
    </row>
    <row r="531">
      <c r="A531" s="89"/>
      <c r="B531" s="89"/>
      <c r="C531" s="140"/>
      <c r="D531" s="89"/>
      <c r="E531" s="89"/>
      <c r="F531" s="89"/>
      <c r="G531" s="89"/>
      <c r="H531" s="89"/>
      <c r="I531" s="89"/>
      <c r="J531" s="89"/>
      <c r="K531" s="89"/>
      <c r="L531" s="89"/>
      <c r="M531" s="89"/>
      <c r="N531" s="89"/>
      <c r="O531" s="89"/>
      <c r="P531" s="89"/>
      <c r="Q531" s="89"/>
      <c r="R531" s="89"/>
      <c r="S531" s="89"/>
      <c r="T531" s="89"/>
      <c r="U531" s="89"/>
      <c r="V531" s="89"/>
      <c r="W531" s="89"/>
      <c r="X531" s="89"/>
      <c r="Y531" s="89"/>
      <c r="Z531" s="89"/>
      <c r="AA531" s="89"/>
      <c r="AB531" s="89"/>
      <c r="AC531" s="89"/>
      <c r="AD531" s="89"/>
    </row>
    <row r="532">
      <c r="A532" s="89"/>
      <c r="B532" s="89"/>
      <c r="C532" s="140"/>
      <c r="D532" s="89"/>
      <c r="E532" s="89"/>
      <c r="F532" s="89"/>
      <c r="G532" s="89"/>
      <c r="H532" s="89"/>
      <c r="I532" s="89"/>
      <c r="J532" s="89"/>
      <c r="K532" s="89"/>
      <c r="L532" s="89"/>
      <c r="M532" s="89"/>
      <c r="N532" s="89"/>
      <c r="O532" s="89"/>
      <c r="P532" s="89"/>
      <c r="Q532" s="89"/>
      <c r="R532" s="89"/>
      <c r="S532" s="89"/>
      <c r="T532" s="89"/>
      <c r="U532" s="89"/>
      <c r="V532" s="89"/>
      <c r="W532" s="89"/>
      <c r="X532" s="89"/>
      <c r="Y532" s="89"/>
      <c r="Z532" s="89"/>
      <c r="AA532" s="89"/>
      <c r="AB532" s="89"/>
      <c r="AC532" s="89"/>
      <c r="AD532" s="89"/>
    </row>
    <row r="533">
      <c r="A533" s="89"/>
      <c r="B533" s="89"/>
      <c r="C533" s="140"/>
      <c r="D533" s="89"/>
      <c r="E533" s="89"/>
      <c r="F533" s="89"/>
      <c r="G533" s="89"/>
      <c r="H533" s="89"/>
      <c r="I533" s="89"/>
      <c r="J533" s="89"/>
      <c r="K533" s="89"/>
      <c r="L533" s="89"/>
      <c r="M533" s="89"/>
      <c r="N533" s="89"/>
      <c r="O533" s="89"/>
      <c r="P533" s="89"/>
      <c r="Q533" s="89"/>
      <c r="R533" s="89"/>
      <c r="S533" s="89"/>
      <c r="T533" s="89"/>
      <c r="U533" s="89"/>
      <c r="V533" s="89"/>
      <c r="W533" s="89"/>
      <c r="X533" s="89"/>
      <c r="Y533" s="89"/>
      <c r="Z533" s="89"/>
      <c r="AA533" s="89"/>
      <c r="AB533" s="89"/>
      <c r="AC533" s="89"/>
      <c r="AD533" s="89"/>
    </row>
    <row r="534">
      <c r="A534" s="89"/>
      <c r="B534" s="89"/>
      <c r="C534" s="140"/>
      <c r="D534" s="89"/>
      <c r="E534" s="89"/>
      <c r="F534" s="89"/>
      <c r="G534" s="89"/>
      <c r="H534" s="89"/>
      <c r="I534" s="89"/>
      <c r="J534" s="89"/>
      <c r="K534" s="89"/>
      <c r="L534" s="89"/>
      <c r="M534" s="89"/>
      <c r="N534" s="89"/>
      <c r="O534" s="89"/>
      <c r="P534" s="89"/>
      <c r="Q534" s="89"/>
      <c r="R534" s="89"/>
      <c r="S534" s="89"/>
      <c r="T534" s="89"/>
      <c r="U534" s="89"/>
      <c r="V534" s="89"/>
      <c r="W534" s="89"/>
      <c r="X534" s="89"/>
      <c r="Y534" s="89"/>
      <c r="Z534" s="89"/>
      <c r="AA534" s="89"/>
      <c r="AB534" s="89"/>
      <c r="AC534" s="89"/>
      <c r="AD534" s="89"/>
    </row>
    <row r="535">
      <c r="A535" s="89"/>
      <c r="B535" s="89"/>
      <c r="C535" s="140"/>
      <c r="D535" s="89"/>
      <c r="E535" s="89"/>
      <c r="F535" s="89"/>
      <c r="G535" s="89"/>
      <c r="H535" s="89"/>
      <c r="I535" s="89"/>
      <c r="J535" s="89"/>
      <c r="K535" s="89"/>
      <c r="L535" s="89"/>
      <c r="M535" s="89"/>
      <c r="N535" s="89"/>
      <c r="O535" s="89"/>
      <c r="P535" s="89"/>
      <c r="Q535" s="89"/>
      <c r="R535" s="89"/>
      <c r="S535" s="89"/>
      <c r="T535" s="89"/>
      <c r="U535" s="89"/>
      <c r="V535" s="89"/>
      <c r="W535" s="89"/>
      <c r="X535" s="89"/>
      <c r="Y535" s="89"/>
      <c r="Z535" s="89"/>
      <c r="AA535" s="89"/>
      <c r="AB535" s="89"/>
      <c r="AC535" s="89"/>
      <c r="AD535" s="89"/>
    </row>
    <row r="536">
      <c r="A536" s="89"/>
      <c r="B536" s="89"/>
      <c r="C536" s="140"/>
      <c r="D536" s="89"/>
      <c r="E536" s="89"/>
      <c r="F536" s="89"/>
      <c r="G536" s="89"/>
      <c r="H536" s="89"/>
      <c r="I536" s="89"/>
      <c r="J536" s="89"/>
      <c r="K536" s="89"/>
      <c r="L536" s="89"/>
      <c r="M536" s="89"/>
      <c r="N536" s="89"/>
      <c r="O536" s="89"/>
      <c r="P536" s="89"/>
      <c r="Q536" s="89"/>
      <c r="R536" s="89"/>
      <c r="S536" s="89"/>
      <c r="T536" s="89"/>
      <c r="U536" s="89"/>
      <c r="V536" s="89"/>
      <c r="W536" s="89"/>
      <c r="X536" s="89"/>
      <c r="Y536" s="89"/>
      <c r="Z536" s="89"/>
      <c r="AA536" s="89"/>
      <c r="AB536" s="89"/>
      <c r="AC536" s="89"/>
      <c r="AD536" s="89"/>
    </row>
    <row r="537">
      <c r="A537" s="89"/>
      <c r="B537" s="89"/>
      <c r="C537" s="140"/>
      <c r="D537" s="89"/>
      <c r="E537" s="89"/>
      <c r="F537" s="89"/>
      <c r="G537" s="89"/>
      <c r="H537" s="89"/>
      <c r="I537" s="89"/>
      <c r="J537" s="89"/>
      <c r="K537" s="89"/>
      <c r="L537" s="89"/>
      <c r="M537" s="89"/>
      <c r="N537" s="89"/>
      <c r="O537" s="89"/>
      <c r="P537" s="89"/>
      <c r="Q537" s="89"/>
      <c r="R537" s="89"/>
      <c r="S537" s="89"/>
      <c r="T537" s="89"/>
      <c r="U537" s="89"/>
      <c r="V537" s="89"/>
      <c r="W537" s="89"/>
      <c r="X537" s="89"/>
      <c r="Y537" s="89"/>
      <c r="Z537" s="89"/>
      <c r="AA537" s="89"/>
      <c r="AB537" s="89"/>
      <c r="AC537" s="89"/>
      <c r="AD537" s="89"/>
    </row>
    <row r="538">
      <c r="A538" s="89"/>
      <c r="B538" s="89"/>
      <c r="C538" s="140"/>
      <c r="D538" s="89"/>
      <c r="E538" s="89"/>
      <c r="F538" s="89"/>
      <c r="G538" s="89"/>
      <c r="H538" s="89"/>
      <c r="I538" s="89"/>
      <c r="J538" s="89"/>
      <c r="K538" s="89"/>
      <c r="L538" s="89"/>
      <c r="M538" s="89"/>
      <c r="N538" s="89"/>
      <c r="O538" s="89"/>
      <c r="P538" s="89"/>
      <c r="Q538" s="89"/>
      <c r="R538" s="89"/>
      <c r="S538" s="89"/>
      <c r="T538" s="89"/>
      <c r="U538" s="89"/>
      <c r="V538" s="89"/>
      <c r="W538" s="89"/>
      <c r="X538" s="89"/>
      <c r="Y538" s="89"/>
      <c r="Z538" s="89"/>
      <c r="AA538" s="89"/>
      <c r="AB538" s="89"/>
      <c r="AC538" s="89"/>
      <c r="AD538" s="89"/>
    </row>
    <row r="539">
      <c r="A539" s="89"/>
      <c r="B539" s="89"/>
      <c r="C539" s="140"/>
      <c r="D539" s="89"/>
      <c r="E539" s="89"/>
      <c r="F539" s="89"/>
      <c r="G539" s="89"/>
      <c r="H539" s="89"/>
      <c r="I539" s="89"/>
      <c r="J539" s="89"/>
      <c r="K539" s="89"/>
      <c r="L539" s="89"/>
      <c r="M539" s="89"/>
      <c r="N539" s="89"/>
      <c r="O539" s="89"/>
      <c r="P539" s="89"/>
      <c r="Q539" s="89"/>
      <c r="R539" s="89"/>
      <c r="S539" s="89"/>
      <c r="T539" s="89"/>
      <c r="U539" s="89"/>
      <c r="V539" s="89"/>
      <c r="W539" s="89"/>
      <c r="X539" s="89"/>
      <c r="Y539" s="89"/>
      <c r="Z539" s="89"/>
      <c r="AA539" s="89"/>
      <c r="AB539" s="89"/>
      <c r="AC539" s="89"/>
      <c r="AD539" s="89"/>
    </row>
    <row r="540">
      <c r="A540" s="89"/>
      <c r="B540" s="89"/>
      <c r="C540" s="140"/>
      <c r="D540" s="89"/>
      <c r="E540" s="89"/>
      <c r="F540" s="89"/>
      <c r="G540" s="89"/>
      <c r="H540" s="89"/>
      <c r="I540" s="89"/>
      <c r="J540" s="89"/>
      <c r="K540" s="89"/>
      <c r="L540" s="89"/>
      <c r="M540" s="89"/>
      <c r="N540" s="89"/>
      <c r="O540" s="89"/>
      <c r="P540" s="89"/>
      <c r="Q540" s="89"/>
      <c r="R540" s="89"/>
      <c r="S540" s="89"/>
      <c r="T540" s="89"/>
      <c r="U540" s="89"/>
      <c r="V540" s="89"/>
      <c r="W540" s="89"/>
      <c r="X540" s="89"/>
      <c r="Y540" s="89"/>
      <c r="Z540" s="89"/>
      <c r="AA540" s="89"/>
      <c r="AB540" s="89"/>
      <c r="AC540" s="89"/>
      <c r="AD540" s="89"/>
    </row>
    <row r="541">
      <c r="A541" s="89"/>
      <c r="B541" s="89"/>
      <c r="C541" s="140"/>
      <c r="D541" s="89"/>
      <c r="E541" s="89"/>
      <c r="F541" s="89"/>
      <c r="G541" s="89"/>
      <c r="H541" s="89"/>
      <c r="I541" s="89"/>
      <c r="J541" s="89"/>
      <c r="K541" s="89"/>
      <c r="L541" s="89"/>
      <c r="M541" s="89"/>
      <c r="N541" s="89"/>
      <c r="O541" s="89"/>
      <c r="P541" s="89"/>
      <c r="Q541" s="89"/>
      <c r="R541" s="89"/>
      <c r="S541" s="89"/>
      <c r="T541" s="89"/>
      <c r="U541" s="89"/>
      <c r="V541" s="89"/>
      <c r="W541" s="89"/>
      <c r="X541" s="89"/>
      <c r="Y541" s="89"/>
      <c r="Z541" s="89"/>
      <c r="AA541" s="89"/>
      <c r="AB541" s="89"/>
      <c r="AC541" s="89"/>
      <c r="AD541" s="89"/>
    </row>
    <row r="542">
      <c r="A542" s="89"/>
      <c r="B542" s="89"/>
      <c r="C542" s="140"/>
      <c r="D542" s="89"/>
      <c r="E542" s="89"/>
      <c r="F542" s="89"/>
      <c r="G542" s="89"/>
      <c r="H542" s="89"/>
      <c r="I542" s="89"/>
      <c r="J542" s="89"/>
      <c r="K542" s="89"/>
      <c r="L542" s="89"/>
      <c r="M542" s="89"/>
      <c r="N542" s="89"/>
      <c r="O542" s="89"/>
      <c r="P542" s="89"/>
      <c r="Q542" s="89"/>
      <c r="R542" s="89"/>
      <c r="S542" s="89"/>
      <c r="T542" s="89"/>
      <c r="U542" s="89"/>
      <c r="V542" s="89"/>
      <c r="W542" s="89"/>
      <c r="X542" s="89"/>
      <c r="Y542" s="89"/>
      <c r="Z542" s="89"/>
      <c r="AA542" s="89"/>
      <c r="AB542" s="89"/>
      <c r="AC542" s="89"/>
      <c r="AD542" s="89"/>
    </row>
    <row r="543">
      <c r="A543" s="89"/>
      <c r="B543" s="89"/>
      <c r="C543" s="140"/>
      <c r="D543" s="89"/>
      <c r="E543" s="89"/>
      <c r="F543" s="89"/>
      <c r="G543" s="89"/>
      <c r="H543" s="89"/>
      <c r="I543" s="89"/>
      <c r="J543" s="89"/>
      <c r="K543" s="89"/>
      <c r="L543" s="89"/>
      <c r="M543" s="89"/>
      <c r="N543" s="89"/>
      <c r="O543" s="89"/>
      <c r="P543" s="89"/>
      <c r="Q543" s="89"/>
      <c r="R543" s="89"/>
      <c r="S543" s="89"/>
      <c r="T543" s="89"/>
      <c r="U543" s="89"/>
      <c r="V543" s="89"/>
      <c r="W543" s="89"/>
      <c r="X543" s="89"/>
      <c r="Y543" s="89"/>
      <c r="Z543" s="89"/>
      <c r="AA543" s="89"/>
      <c r="AB543" s="89"/>
      <c r="AC543" s="89"/>
      <c r="AD543" s="89"/>
    </row>
    <row r="544">
      <c r="A544" s="89"/>
      <c r="B544" s="89"/>
      <c r="C544" s="140"/>
      <c r="D544" s="89"/>
      <c r="E544" s="89"/>
      <c r="F544" s="89"/>
      <c r="G544" s="89"/>
      <c r="H544" s="89"/>
      <c r="I544" s="89"/>
      <c r="J544" s="89"/>
      <c r="K544" s="89"/>
      <c r="L544" s="89"/>
      <c r="M544" s="89"/>
      <c r="N544" s="89"/>
      <c r="O544" s="89"/>
      <c r="P544" s="89"/>
      <c r="Q544" s="89"/>
      <c r="R544" s="89"/>
      <c r="S544" s="89"/>
      <c r="T544" s="89"/>
      <c r="U544" s="89"/>
      <c r="V544" s="89"/>
      <c r="W544" s="89"/>
      <c r="X544" s="89"/>
      <c r="Y544" s="89"/>
      <c r="Z544" s="89"/>
      <c r="AA544" s="89"/>
      <c r="AB544" s="89"/>
      <c r="AC544" s="89"/>
      <c r="AD544" s="89"/>
    </row>
    <row r="545">
      <c r="A545" s="89"/>
      <c r="B545" s="89"/>
      <c r="C545" s="140"/>
      <c r="D545" s="89"/>
      <c r="E545" s="89"/>
      <c r="F545" s="89"/>
      <c r="G545" s="89"/>
      <c r="H545" s="89"/>
      <c r="I545" s="89"/>
      <c r="J545" s="89"/>
      <c r="K545" s="89"/>
      <c r="L545" s="89"/>
      <c r="M545" s="89"/>
      <c r="N545" s="89"/>
      <c r="O545" s="89"/>
      <c r="P545" s="89"/>
      <c r="Q545" s="89"/>
      <c r="R545" s="89"/>
      <c r="S545" s="89"/>
      <c r="T545" s="89"/>
      <c r="U545" s="89"/>
      <c r="V545" s="89"/>
      <c r="W545" s="89"/>
      <c r="X545" s="89"/>
      <c r="Y545" s="89"/>
      <c r="Z545" s="89"/>
      <c r="AA545" s="89"/>
      <c r="AB545" s="89"/>
      <c r="AC545" s="89"/>
      <c r="AD545" s="89"/>
    </row>
    <row r="546">
      <c r="A546" s="89"/>
      <c r="B546" s="89"/>
      <c r="C546" s="140"/>
      <c r="D546" s="89"/>
      <c r="E546" s="89"/>
      <c r="F546" s="89"/>
      <c r="G546" s="89"/>
      <c r="H546" s="89"/>
      <c r="I546" s="89"/>
      <c r="J546" s="89"/>
      <c r="K546" s="89"/>
      <c r="L546" s="89"/>
      <c r="M546" s="89"/>
      <c r="N546" s="89"/>
      <c r="O546" s="89"/>
      <c r="P546" s="89"/>
      <c r="Q546" s="89"/>
      <c r="R546" s="89"/>
      <c r="S546" s="89"/>
      <c r="T546" s="89"/>
      <c r="U546" s="89"/>
      <c r="V546" s="89"/>
      <c r="W546" s="89"/>
      <c r="X546" s="89"/>
      <c r="Y546" s="89"/>
      <c r="Z546" s="89"/>
      <c r="AA546" s="89"/>
      <c r="AB546" s="89"/>
      <c r="AC546" s="89"/>
      <c r="AD546" s="89"/>
    </row>
    <row r="547">
      <c r="A547" s="89"/>
      <c r="B547" s="89"/>
      <c r="C547" s="140"/>
      <c r="D547" s="89"/>
      <c r="E547" s="89"/>
      <c r="F547" s="89"/>
      <c r="G547" s="89"/>
      <c r="H547" s="89"/>
      <c r="I547" s="89"/>
      <c r="J547" s="89"/>
      <c r="K547" s="89"/>
      <c r="L547" s="89"/>
      <c r="M547" s="89"/>
      <c r="N547" s="89"/>
      <c r="O547" s="89"/>
      <c r="P547" s="89"/>
      <c r="Q547" s="89"/>
      <c r="R547" s="89"/>
      <c r="S547" s="89"/>
      <c r="T547" s="89"/>
      <c r="U547" s="89"/>
      <c r="V547" s="89"/>
      <c r="W547" s="89"/>
      <c r="X547" s="89"/>
      <c r="Y547" s="89"/>
      <c r="Z547" s="89"/>
      <c r="AA547" s="89"/>
      <c r="AB547" s="89"/>
      <c r="AC547" s="89"/>
      <c r="AD547" s="89"/>
    </row>
    <row r="548">
      <c r="A548" s="89"/>
      <c r="B548" s="89"/>
      <c r="C548" s="140"/>
      <c r="D548" s="89"/>
      <c r="E548" s="89"/>
      <c r="F548" s="89"/>
      <c r="G548" s="89"/>
      <c r="H548" s="89"/>
      <c r="I548" s="89"/>
      <c r="J548" s="89"/>
      <c r="K548" s="89"/>
      <c r="L548" s="89"/>
      <c r="M548" s="89"/>
      <c r="N548" s="89"/>
      <c r="O548" s="89"/>
      <c r="P548" s="89"/>
      <c r="Q548" s="89"/>
      <c r="R548" s="89"/>
      <c r="S548" s="89"/>
      <c r="T548" s="89"/>
      <c r="U548" s="89"/>
      <c r="V548" s="89"/>
      <c r="W548" s="89"/>
      <c r="X548" s="89"/>
      <c r="Y548" s="89"/>
      <c r="Z548" s="89"/>
      <c r="AA548" s="89"/>
      <c r="AB548" s="89"/>
      <c r="AC548" s="89"/>
      <c r="AD548" s="89"/>
    </row>
    <row r="549">
      <c r="A549" s="89"/>
      <c r="B549" s="89"/>
      <c r="C549" s="140"/>
      <c r="D549" s="89"/>
      <c r="E549" s="89"/>
      <c r="F549" s="89"/>
      <c r="G549" s="89"/>
      <c r="H549" s="89"/>
      <c r="I549" s="89"/>
      <c r="J549" s="89"/>
      <c r="K549" s="89"/>
      <c r="L549" s="89"/>
      <c r="M549" s="89"/>
      <c r="N549" s="89"/>
      <c r="O549" s="89"/>
      <c r="P549" s="89"/>
      <c r="Q549" s="89"/>
      <c r="R549" s="89"/>
      <c r="S549" s="89"/>
      <c r="T549" s="89"/>
      <c r="U549" s="89"/>
      <c r="V549" s="89"/>
      <c r="W549" s="89"/>
      <c r="X549" s="89"/>
      <c r="Y549" s="89"/>
      <c r="Z549" s="89"/>
      <c r="AA549" s="89"/>
      <c r="AB549" s="89"/>
      <c r="AC549" s="89"/>
      <c r="AD549" s="89"/>
    </row>
    <row r="550">
      <c r="A550" s="89"/>
      <c r="B550" s="89"/>
      <c r="C550" s="140"/>
      <c r="D550" s="89"/>
      <c r="E550" s="89"/>
      <c r="F550" s="89"/>
      <c r="G550" s="89"/>
      <c r="H550" s="89"/>
      <c r="I550" s="89"/>
      <c r="J550" s="89"/>
      <c r="K550" s="89"/>
      <c r="L550" s="89"/>
      <c r="M550" s="89"/>
      <c r="N550" s="89"/>
      <c r="O550" s="89"/>
      <c r="P550" s="89"/>
      <c r="Q550" s="89"/>
      <c r="R550" s="89"/>
      <c r="S550" s="89"/>
      <c r="T550" s="89"/>
      <c r="U550" s="89"/>
      <c r="V550" s="89"/>
      <c r="W550" s="89"/>
      <c r="X550" s="89"/>
      <c r="Y550" s="89"/>
      <c r="Z550" s="89"/>
      <c r="AA550" s="89"/>
      <c r="AB550" s="89"/>
      <c r="AC550" s="89"/>
      <c r="AD550" s="89"/>
    </row>
    <row r="551">
      <c r="A551" s="89"/>
      <c r="B551" s="89"/>
      <c r="C551" s="140"/>
      <c r="D551" s="89"/>
      <c r="E551" s="89"/>
      <c r="F551" s="89"/>
      <c r="G551" s="89"/>
      <c r="H551" s="89"/>
      <c r="I551" s="89"/>
      <c r="J551" s="89"/>
      <c r="K551" s="89"/>
      <c r="L551" s="89"/>
      <c r="M551" s="89"/>
      <c r="N551" s="89"/>
      <c r="O551" s="89"/>
      <c r="P551" s="89"/>
      <c r="Q551" s="89"/>
      <c r="R551" s="89"/>
      <c r="S551" s="89"/>
      <c r="T551" s="89"/>
      <c r="U551" s="89"/>
      <c r="V551" s="89"/>
      <c r="W551" s="89"/>
      <c r="X551" s="89"/>
      <c r="Y551" s="89"/>
      <c r="Z551" s="89"/>
      <c r="AA551" s="89"/>
      <c r="AB551" s="89"/>
      <c r="AC551" s="89"/>
      <c r="AD551" s="89"/>
    </row>
    <row r="552">
      <c r="A552" s="89"/>
      <c r="B552" s="89"/>
      <c r="C552" s="140"/>
      <c r="D552" s="89"/>
      <c r="E552" s="89"/>
      <c r="F552" s="89"/>
      <c r="G552" s="89"/>
      <c r="H552" s="89"/>
      <c r="I552" s="89"/>
      <c r="J552" s="89"/>
      <c r="K552" s="89"/>
      <c r="L552" s="89"/>
      <c r="M552" s="89"/>
      <c r="N552" s="89"/>
      <c r="O552" s="89"/>
      <c r="P552" s="89"/>
      <c r="Q552" s="89"/>
      <c r="R552" s="89"/>
      <c r="S552" s="89"/>
      <c r="T552" s="89"/>
      <c r="U552" s="89"/>
      <c r="V552" s="89"/>
      <c r="W552" s="89"/>
      <c r="X552" s="89"/>
      <c r="Y552" s="89"/>
      <c r="Z552" s="89"/>
      <c r="AA552" s="89"/>
      <c r="AB552" s="89"/>
      <c r="AC552" s="89"/>
      <c r="AD552" s="89"/>
    </row>
    <row r="553">
      <c r="A553" s="89"/>
      <c r="B553" s="89"/>
      <c r="C553" s="140"/>
      <c r="D553" s="89"/>
      <c r="E553" s="89"/>
      <c r="F553" s="89"/>
      <c r="G553" s="89"/>
      <c r="H553" s="89"/>
      <c r="I553" s="89"/>
      <c r="J553" s="89"/>
      <c r="K553" s="89"/>
      <c r="L553" s="89"/>
      <c r="M553" s="89"/>
      <c r="N553" s="89"/>
      <c r="O553" s="89"/>
      <c r="P553" s="89"/>
      <c r="Q553" s="89"/>
      <c r="R553" s="89"/>
      <c r="S553" s="89"/>
      <c r="T553" s="89"/>
      <c r="U553" s="89"/>
      <c r="V553" s="89"/>
      <c r="W553" s="89"/>
      <c r="X553" s="89"/>
      <c r="Y553" s="89"/>
      <c r="Z553" s="89"/>
      <c r="AA553" s="89"/>
      <c r="AB553" s="89"/>
      <c r="AC553" s="89"/>
      <c r="AD553" s="89"/>
    </row>
    <row r="554">
      <c r="A554" s="89"/>
      <c r="B554" s="89"/>
      <c r="C554" s="140"/>
      <c r="D554" s="89"/>
      <c r="E554" s="89"/>
      <c r="F554" s="89"/>
      <c r="G554" s="89"/>
      <c r="H554" s="89"/>
      <c r="I554" s="89"/>
      <c r="J554" s="89"/>
      <c r="K554" s="89"/>
      <c r="L554" s="89"/>
      <c r="M554" s="89"/>
      <c r="N554" s="89"/>
      <c r="O554" s="89"/>
      <c r="P554" s="89"/>
      <c r="Q554" s="89"/>
      <c r="R554" s="89"/>
      <c r="S554" s="89"/>
      <c r="T554" s="89"/>
      <c r="U554" s="89"/>
      <c r="V554" s="89"/>
      <c r="W554" s="89"/>
      <c r="X554" s="89"/>
      <c r="Y554" s="89"/>
      <c r="Z554" s="89"/>
      <c r="AA554" s="89"/>
      <c r="AB554" s="89"/>
      <c r="AC554" s="89"/>
      <c r="AD554" s="89"/>
    </row>
    <row r="555">
      <c r="A555" s="89"/>
      <c r="B555" s="89"/>
      <c r="C555" s="140"/>
      <c r="D555" s="89"/>
      <c r="E555" s="89"/>
      <c r="F555" s="89"/>
      <c r="G555" s="89"/>
      <c r="H555" s="89"/>
      <c r="I555" s="89"/>
      <c r="J555" s="89"/>
      <c r="K555" s="89"/>
      <c r="L555" s="89"/>
      <c r="M555" s="89"/>
      <c r="N555" s="89"/>
      <c r="O555" s="89"/>
      <c r="P555" s="89"/>
      <c r="Q555" s="89"/>
      <c r="R555" s="89"/>
      <c r="S555" s="89"/>
      <c r="T555" s="89"/>
      <c r="U555" s="89"/>
      <c r="V555" s="89"/>
      <c r="W555" s="89"/>
      <c r="X555" s="89"/>
      <c r="Y555" s="89"/>
      <c r="Z555" s="89"/>
      <c r="AA555" s="89"/>
      <c r="AB555" s="89"/>
      <c r="AC555" s="89"/>
      <c r="AD555" s="89"/>
    </row>
    <row r="556">
      <c r="A556" s="89"/>
      <c r="B556" s="89"/>
      <c r="C556" s="140"/>
      <c r="D556" s="89"/>
      <c r="E556" s="89"/>
      <c r="F556" s="89"/>
      <c r="G556" s="89"/>
      <c r="H556" s="89"/>
      <c r="I556" s="89"/>
      <c r="J556" s="89"/>
      <c r="K556" s="89"/>
      <c r="L556" s="89"/>
      <c r="M556" s="89"/>
      <c r="N556" s="89"/>
      <c r="O556" s="89"/>
      <c r="P556" s="89"/>
      <c r="Q556" s="89"/>
      <c r="R556" s="89"/>
      <c r="S556" s="89"/>
      <c r="T556" s="89"/>
      <c r="U556" s="89"/>
      <c r="V556" s="89"/>
      <c r="W556" s="89"/>
      <c r="X556" s="89"/>
      <c r="Y556" s="89"/>
      <c r="Z556" s="89"/>
      <c r="AA556" s="89"/>
      <c r="AB556" s="89"/>
      <c r="AC556" s="89"/>
      <c r="AD556" s="89"/>
    </row>
    <row r="557">
      <c r="A557" s="89"/>
      <c r="B557" s="89"/>
      <c r="C557" s="140"/>
      <c r="D557" s="89"/>
      <c r="E557" s="89"/>
      <c r="F557" s="89"/>
      <c r="G557" s="89"/>
      <c r="H557" s="89"/>
      <c r="I557" s="89"/>
      <c r="J557" s="89"/>
      <c r="K557" s="89"/>
      <c r="L557" s="89"/>
      <c r="M557" s="89"/>
      <c r="N557" s="89"/>
      <c r="O557" s="89"/>
      <c r="P557" s="89"/>
      <c r="Q557" s="89"/>
      <c r="R557" s="89"/>
      <c r="S557" s="89"/>
      <c r="T557" s="89"/>
      <c r="U557" s="89"/>
      <c r="V557" s="89"/>
      <c r="W557" s="89"/>
      <c r="X557" s="89"/>
      <c r="Y557" s="89"/>
      <c r="Z557" s="89"/>
      <c r="AA557" s="89"/>
      <c r="AB557" s="89"/>
      <c r="AC557" s="89"/>
      <c r="AD557" s="89"/>
    </row>
    <row r="558">
      <c r="A558" s="89"/>
      <c r="B558" s="89"/>
      <c r="C558" s="140"/>
      <c r="D558" s="89"/>
      <c r="E558" s="89"/>
      <c r="F558" s="89"/>
      <c r="G558" s="89"/>
      <c r="H558" s="89"/>
      <c r="I558" s="89"/>
      <c r="J558" s="89"/>
      <c r="K558" s="89"/>
      <c r="L558" s="89"/>
      <c r="M558" s="89"/>
      <c r="N558" s="89"/>
      <c r="O558" s="89"/>
      <c r="P558" s="89"/>
      <c r="Q558" s="89"/>
      <c r="R558" s="89"/>
      <c r="S558" s="89"/>
      <c r="T558" s="89"/>
      <c r="U558" s="89"/>
      <c r="V558" s="89"/>
      <c r="W558" s="89"/>
      <c r="X558" s="89"/>
      <c r="Y558" s="89"/>
      <c r="Z558" s="89"/>
      <c r="AA558" s="89"/>
      <c r="AB558" s="89"/>
      <c r="AC558" s="89"/>
      <c r="AD558" s="89"/>
    </row>
    <row r="559">
      <c r="A559" s="89"/>
      <c r="B559" s="89"/>
      <c r="C559" s="140"/>
      <c r="D559" s="89"/>
      <c r="E559" s="89"/>
      <c r="F559" s="89"/>
      <c r="G559" s="89"/>
      <c r="H559" s="89"/>
      <c r="I559" s="89"/>
      <c r="J559" s="89"/>
      <c r="K559" s="89"/>
      <c r="L559" s="89"/>
      <c r="M559" s="89"/>
      <c r="N559" s="89"/>
      <c r="O559" s="89"/>
      <c r="P559" s="89"/>
      <c r="Q559" s="89"/>
      <c r="R559" s="89"/>
      <c r="S559" s="89"/>
      <c r="T559" s="89"/>
      <c r="U559" s="89"/>
      <c r="V559" s="89"/>
      <c r="W559" s="89"/>
      <c r="X559" s="89"/>
      <c r="Y559" s="89"/>
      <c r="Z559" s="89"/>
      <c r="AA559" s="89"/>
      <c r="AB559" s="89"/>
      <c r="AC559" s="89"/>
      <c r="AD559" s="89"/>
    </row>
    <row r="560">
      <c r="A560" s="89"/>
      <c r="B560" s="89"/>
      <c r="C560" s="140"/>
      <c r="D560" s="89"/>
      <c r="E560" s="89"/>
      <c r="F560" s="89"/>
      <c r="G560" s="89"/>
      <c r="H560" s="89"/>
      <c r="I560" s="89"/>
      <c r="J560" s="89"/>
      <c r="K560" s="89"/>
      <c r="L560" s="89"/>
      <c r="M560" s="89"/>
      <c r="N560" s="89"/>
      <c r="O560" s="89"/>
      <c r="P560" s="89"/>
      <c r="Q560" s="89"/>
      <c r="R560" s="89"/>
      <c r="S560" s="89"/>
      <c r="T560" s="89"/>
      <c r="U560" s="89"/>
      <c r="V560" s="89"/>
      <c r="W560" s="89"/>
      <c r="X560" s="89"/>
      <c r="Y560" s="89"/>
      <c r="Z560" s="89"/>
      <c r="AA560" s="89"/>
      <c r="AB560" s="89"/>
      <c r="AC560" s="89"/>
      <c r="AD560" s="89"/>
    </row>
    <row r="561">
      <c r="A561" s="89"/>
      <c r="B561" s="89"/>
      <c r="C561" s="140"/>
      <c r="D561" s="89"/>
      <c r="E561" s="89"/>
      <c r="F561" s="89"/>
      <c r="G561" s="89"/>
      <c r="H561" s="89"/>
      <c r="I561" s="89"/>
      <c r="J561" s="89"/>
      <c r="K561" s="89"/>
      <c r="L561" s="89"/>
      <c r="M561" s="89"/>
      <c r="N561" s="89"/>
      <c r="O561" s="89"/>
      <c r="P561" s="89"/>
      <c r="Q561" s="89"/>
      <c r="R561" s="89"/>
      <c r="S561" s="89"/>
      <c r="T561" s="89"/>
      <c r="U561" s="89"/>
      <c r="V561" s="89"/>
      <c r="W561" s="89"/>
      <c r="X561" s="89"/>
      <c r="Y561" s="89"/>
      <c r="Z561" s="89"/>
      <c r="AA561" s="89"/>
      <c r="AB561" s="89"/>
      <c r="AC561" s="89"/>
      <c r="AD561" s="89"/>
    </row>
    <row r="562">
      <c r="A562" s="89"/>
      <c r="B562" s="89"/>
      <c r="C562" s="140"/>
      <c r="D562" s="89"/>
      <c r="E562" s="89"/>
      <c r="F562" s="89"/>
      <c r="G562" s="89"/>
      <c r="H562" s="89"/>
      <c r="I562" s="89"/>
      <c r="J562" s="89"/>
      <c r="K562" s="89"/>
      <c r="L562" s="89"/>
      <c r="M562" s="89"/>
      <c r="N562" s="89"/>
      <c r="O562" s="89"/>
      <c r="P562" s="89"/>
      <c r="Q562" s="89"/>
      <c r="R562" s="89"/>
      <c r="S562" s="89"/>
      <c r="T562" s="89"/>
      <c r="U562" s="89"/>
      <c r="V562" s="89"/>
      <c r="W562" s="89"/>
      <c r="X562" s="89"/>
      <c r="Y562" s="89"/>
      <c r="Z562" s="89"/>
      <c r="AA562" s="89"/>
      <c r="AB562" s="89"/>
      <c r="AC562" s="89"/>
      <c r="AD562" s="89"/>
    </row>
    <row r="563">
      <c r="A563" s="89"/>
      <c r="B563" s="89"/>
      <c r="C563" s="140"/>
      <c r="D563" s="89"/>
      <c r="E563" s="89"/>
      <c r="F563" s="89"/>
      <c r="G563" s="89"/>
      <c r="H563" s="89"/>
      <c r="I563" s="89"/>
      <c r="J563" s="89"/>
      <c r="K563" s="89"/>
      <c r="L563" s="89"/>
      <c r="M563" s="89"/>
      <c r="N563" s="89"/>
      <c r="O563" s="89"/>
      <c r="P563" s="89"/>
      <c r="Q563" s="89"/>
      <c r="R563" s="89"/>
      <c r="S563" s="89"/>
      <c r="T563" s="89"/>
      <c r="U563" s="89"/>
      <c r="V563" s="89"/>
      <c r="W563" s="89"/>
      <c r="X563" s="89"/>
      <c r="Y563" s="89"/>
      <c r="Z563" s="89"/>
      <c r="AA563" s="89"/>
      <c r="AB563" s="89"/>
      <c r="AC563" s="89"/>
      <c r="AD563" s="89"/>
    </row>
    <row r="564">
      <c r="A564" s="89"/>
      <c r="B564" s="89"/>
      <c r="C564" s="140"/>
      <c r="D564" s="89"/>
      <c r="E564" s="89"/>
      <c r="F564" s="89"/>
      <c r="G564" s="89"/>
      <c r="H564" s="89"/>
      <c r="I564" s="89"/>
      <c r="J564" s="89"/>
      <c r="K564" s="89"/>
      <c r="L564" s="89"/>
      <c r="M564" s="89"/>
      <c r="N564" s="89"/>
      <c r="O564" s="89"/>
      <c r="P564" s="89"/>
      <c r="Q564" s="89"/>
      <c r="R564" s="89"/>
      <c r="S564" s="89"/>
      <c r="T564" s="89"/>
      <c r="U564" s="89"/>
      <c r="V564" s="89"/>
      <c r="W564" s="89"/>
      <c r="X564" s="89"/>
      <c r="Y564" s="89"/>
      <c r="Z564" s="89"/>
      <c r="AA564" s="89"/>
      <c r="AB564" s="89"/>
      <c r="AC564" s="89"/>
      <c r="AD564" s="89"/>
    </row>
    <row r="565">
      <c r="A565" s="89"/>
      <c r="B565" s="89"/>
      <c r="C565" s="140"/>
      <c r="D565" s="89"/>
      <c r="E565" s="89"/>
      <c r="F565" s="89"/>
      <c r="G565" s="89"/>
      <c r="H565" s="89"/>
      <c r="I565" s="89"/>
      <c r="J565" s="89"/>
      <c r="K565" s="89"/>
      <c r="L565" s="89"/>
      <c r="M565" s="89"/>
      <c r="N565" s="89"/>
      <c r="O565" s="89"/>
      <c r="P565" s="89"/>
      <c r="Q565" s="89"/>
      <c r="R565" s="89"/>
      <c r="S565" s="89"/>
      <c r="T565" s="89"/>
      <c r="U565" s="89"/>
      <c r="V565" s="89"/>
      <c r="W565" s="89"/>
      <c r="X565" s="89"/>
      <c r="Y565" s="89"/>
      <c r="Z565" s="89"/>
      <c r="AA565" s="89"/>
      <c r="AB565" s="89"/>
      <c r="AC565" s="89"/>
      <c r="AD565" s="89"/>
    </row>
    <row r="566">
      <c r="A566" s="89"/>
      <c r="B566" s="89"/>
      <c r="C566" s="140"/>
      <c r="D566" s="89"/>
      <c r="E566" s="89"/>
      <c r="F566" s="89"/>
      <c r="G566" s="89"/>
      <c r="H566" s="89"/>
      <c r="I566" s="89"/>
      <c r="J566" s="89"/>
      <c r="K566" s="89"/>
      <c r="L566" s="89"/>
      <c r="M566" s="89"/>
      <c r="N566" s="89"/>
      <c r="O566" s="89"/>
      <c r="P566" s="89"/>
      <c r="Q566" s="89"/>
      <c r="R566" s="89"/>
      <c r="S566" s="89"/>
      <c r="T566" s="89"/>
      <c r="U566" s="89"/>
      <c r="V566" s="89"/>
      <c r="W566" s="89"/>
      <c r="X566" s="89"/>
      <c r="Y566" s="89"/>
      <c r="Z566" s="89"/>
      <c r="AA566" s="89"/>
      <c r="AB566" s="89"/>
      <c r="AC566" s="89"/>
      <c r="AD566" s="89"/>
    </row>
    <row r="567">
      <c r="A567" s="89"/>
      <c r="B567" s="89"/>
      <c r="C567" s="140"/>
      <c r="D567" s="89"/>
      <c r="E567" s="89"/>
      <c r="F567" s="89"/>
      <c r="G567" s="89"/>
      <c r="H567" s="89"/>
      <c r="I567" s="89"/>
      <c r="J567" s="89"/>
      <c r="K567" s="89"/>
      <c r="L567" s="89"/>
      <c r="M567" s="89"/>
      <c r="N567" s="89"/>
      <c r="O567" s="89"/>
      <c r="P567" s="89"/>
      <c r="Q567" s="89"/>
      <c r="R567" s="89"/>
      <c r="S567" s="89"/>
      <c r="T567" s="89"/>
      <c r="U567" s="89"/>
      <c r="V567" s="89"/>
      <c r="W567" s="89"/>
      <c r="X567" s="89"/>
      <c r="Y567" s="89"/>
      <c r="Z567" s="89"/>
      <c r="AA567" s="89"/>
      <c r="AB567" s="89"/>
      <c r="AC567" s="89"/>
      <c r="AD567" s="89"/>
    </row>
    <row r="568">
      <c r="A568" s="89"/>
      <c r="B568" s="89"/>
      <c r="C568" s="140"/>
      <c r="D568" s="89"/>
      <c r="E568" s="89"/>
      <c r="F568" s="89"/>
      <c r="G568" s="89"/>
      <c r="H568" s="89"/>
      <c r="I568" s="89"/>
      <c r="J568" s="89"/>
      <c r="K568" s="89"/>
      <c r="L568" s="89"/>
      <c r="M568" s="89"/>
      <c r="N568" s="89"/>
      <c r="O568" s="89"/>
      <c r="P568" s="89"/>
      <c r="Q568" s="89"/>
      <c r="R568" s="89"/>
      <c r="S568" s="89"/>
      <c r="T568" s="89"/>
      <c r="U568" s="89"/>
      <c r="V568" s="89"/>
      <c r="W568" s="89"/>
      <c r="X568" s="89"/>
      <c r="Y568" s="89"/>
      <c r="Z568" s="89"/>
      <c r="AA568" s="89"/>
      <c r="AB568" s="89"/>
      <c r="AC568" s="89"/>
      <c r="AD568" s="89"/>
    </row>
    <row r="569">
      <c r="A569" s="89"/>
      <c r="B569" s="89"/>
      <c r="C569" s="140"/>
      <c r="D569" s="89"/>
      <c r="E569" s="89"/>
      <c r="F569" s="89"/>
      <c r="G569" s="89"/>
      <c r="H569" s="89"/>
      <c r="I569" s="89"/>
      <c r="J569" s="89"/>
      <c r="K569" s="89"/>
      <c r="L569" s="89"/>
      <c r="M569" s="89"/>
      <c r="N569" s="89"/>
      <c r="O569" s="89"/>
      <c r="P569" s="89"/>
      <c r="Q569" s="89"/>
      <c r="R569" s="89"/>
      <c r="S569" s="89"/>
      <c r="T569" s="89"/>
      <c r="U569" s="89"/>
      <c r="V569" s="89"/>
      <c r="W569" s="89"/>
      <c r="X569" s="89"/>
      <c r="Y569" s="89"/>
      <c r="Z569" s="89"/>
      <c r="AA569" s="89"/>
      <c r="AB569" s="89"/>
      <c r="AC569" s="89"/>
      <c r="AD569" s="89"/>
    </row>
    <row r="570">
      <c r="A570" s="89"/>
      <c r="B570" s="89"/>
      <c r="C570" s="140"/>
      <c r="D570" s="89"/>
      <c r="E570" s="89"/>
      <c r="F570" s="89"/>
      <c r="G570" s="89"/>
      <c r="H570" s="89"/>
      <c r="I570" s="89"/>
      <c r="J570" s="89"/>
      <c r="K570" s="89"/>
      <c r="L570" s="89"/>
      <c r="M570" s="89"/>
      <c r="N570" s="89"/>
      <c r="O570" s="89"/>
      <c r="P570" s="89"/>
      <c r="Q570" s="89"/>
      <c r="R570" s="89"/>
      <c r="S570" s="89"/>
      <c r="T570" s="89"/>
      <c r="U570" s="89"/>
      <c r="V570" s="89"/>
      <c r="W570" s="89"/>
      <c r="X570" s="89"/>
      <c r="Y570" s="89"/>
      <c r="Z570" s="89"/>
      <c r="AA570" s="89"/>
      <c r="AB570" s="89"/>
      <c r="AC570" s="89"/>
      <c r="AD570" s="89"/>
    </row>
    <row r="571">
      <c r="A571" s="89"/>
      <c r="B571" s="89"/>
      <c r="C571" s="140"/>
      <c r="D571" s="89"/>
      <c r="E571" s="89"/>
      <c r="F571" s="89"/>
      <c r="G571" s="89"/>
      <c r="H571" s="89"/>
      <c r="I571" s="89"/>
      <c r="J571" s="89"/>
      <c r="K571" s="89"/>
      <c r="L571" s="89"/>
      <c r="M571" s="89"/>
      <c r="N571" s="89"/>
      <c r="O571" s="89"/>
      <c r="P571" s="89"/>
      <c r="Q571" s="89"/>
      <c r="R571" s="89"/>
      <c r="S571" s="89"/>
      <c r="T571" s="89"/>
      <c r="U571" s="89"/>
      <c r="V571" s="89"/>
      <c r="W571" s="89"/>
      <c r="X571" s="89"/>
      <c r="Y571" s="89"/>
      <c r="Z571" s="89"/>
      <c r="AA571" s="89"/>
      <c r="AB571" s="89"/>
      <c r="AC571" s="89"/>
      <c r="AD571" s="89"/>
    </row>
    <row r="572">
      <c r="A572" s="89"/>
      <c r="B572" s="89"/>
      <c r="C572" s="140"/>
      <c r="D572" s="89"/>
      <c r="E572" s="89"/>
      <c r="F572" s="89"/>
      <c r="G572" s="89"/>
      <c r="H572" s="89"/>
      <c r="I572" s="89"/>
      <c r="J572" s="89"/>
      <c r="K572" s="89"/>
      <c r="L572" s="89"/>
      <c r="M572" s="89"/>
      <c r="N572" s="89"/>
      <c r="O572" s="89"/>
      <c r="P572" s="89"/>
      <c r="Q572" s="89"/>
      <c r="R572" s="89"/>
      <c r="S572" s="89"/>
      <c r="T572" s="89"/>
      <c r="U572" s="89"/>
      <c r="V572" s="89"/>
      <c r="W572" s="89"/>
      <c r="X572" s="89"/>
      <c r="Y572" s="89"/>
      <c r="Z572" s="89"/>
      <c r="AA572" s="89"/>
      <c r="AB572" s="89"/>
      <c r="AC572" s="89"/>
      <c r="AD572" s="89"/>
    </row>
    <row r="573">
      <c r="A573" s="89"/>
      <c r="B573" s="89"/>
      <c r="C573" s="140"/>
      <c r="D573" s="89"/>
      <c r="E573" s="89"/>
      <c r="F573" s="89"/>
      <c r="G573" s="89"/>
      <c r="H573" s="89"/>
      <c r="I573" s="89"/>
      <c r="J573" s="89"/>
      <c r="K573" s="89"/>
      <c r="L573" s="89"/>
      <c r="M573" s="89"/>
      <c r="N573" s="89"/>
      <c r="O573" s="89"/>
      <c r="P573" s="89"/>
      <c r="Q573" s="89"/>
      <c r="R573" s="89"/>
      <c r="S573" s="89"/>
      <c r="T573" s="89"/>
      <c r="U573" s="89"/>
      <c r="V573" s="89"/>
      <c r="W573" s="89"/>
      <c r="X573" s="89"/>
      <c r="Y573" s="89"/>
      <c r="Z573" s="89"/>
      <c r="AA573" s="89"/>
      <c r="AB573" s="89"/>
      <c r="AC573" s="89"/>
      <c r="AD573" s="89"/>
    </row>
    <row r="574">
      <c r="A574" s="89"/>
      <c r="B574" s="89"/>
      <c r="C574" s="140"/>
      <c r="D574" s="89"/>
      <c r="E574" s="89"/>
      <c r="F574" s="89"/>
      <c r="G574" s="89"/>
      <c r="H574" s="89"/>
      <c r="I574" s="89"/>
      <c r="J574" s="89"/>
      <c r="K574" s="89"/>
      <c r="L574" s="89"/>
      <c r="M574" s="89"/>
      <c r="N574" s="89"/>
      <c r="O574" s="89"/>
      <c r="P574" s="89"/>
      <c r="Q574" s="89"/>
      <c r="R574" s="89"/>
      <c r="S574" s="89"/>
      <c r="T574" s="89"/>
      <c r="U574" s="89"/>
      <c r="V574" s="89"/>
      <c r="W574" s="89"/>
      <c r="X574" s="89"/>
      <c r="Y574" s="89"/>
      <c r="Z574" s="89"/>
      <c r="AA574" s="89"/>
      <c r="AB574" s="89"/>
      <c r="AC574" s="89"/>
      <c r="AD574" s="89"/>
    </row>
    <row r="575">
      <c r="A575" s="89"/>
      <c r="B575" s="89"/>
      <c r="C575" s="140"/>
      <c r="D575" s="89"/>
      <c r="E575" s="89"/>
      <c r="F575" s="89"/>
      <c r="G575" s="89"/>
      <c r="H575" s="89"/>
      <c r="I575" s="89"/>
      <c r="J575" s="89"/>
      <c r="K575" s="89"/>
      <c r="L575" s="89"/>
      <c r="M575" s="89"/>
      <c r="N575" s="89"/>
      <c r="O575" s="89"/>
      <c r="P575" s="89"/>
      <c r="Q575" s="89"/>
      <c r="R575" s="89"/>
      <c r="S575" s="89"/>
      <c r="T575" s="89"/>
      <c r="U575" s="89"/>
      <c r="V575" s="89"/>
      <c r="W575" s="89"/>
      <c r="X575" s="89"/>
      <c r="Y575" s="89"/>
      <c r="Z575" s="89"/>
      <c r="AA575" s="89"/>
      <c r="AB575" s="89"/>
      <c r="AC575" s="89"/>
      <c r="AD575" s="89"/>
    </row>
    <row r="576">
      <c r="A576" s="89"/>
      <c r="B576" s="89"/>
      <c r="C576" s="140"/>
      <c r="D576" s="89"/>
      <c r="E576" s="89"/>
      <c r="F576" s="89"/>
      <c r="G576" s="89"/>
      <c r="H576" s="89"/>
      <c r="I576" s="89"/>
      <c r="J576" s="89"/>
      <c r="K576" s="89"/>
      <c r="L576" s="89"/>
      <c r="M576" s="89"/>
      <c r="N576" s="89"/>
      <c r="O576" s="89"/>
      <c r="P576" s="89"/>
      <c r="Q576" s="89"/>
      <c r="R576" s="89"/>
      <c r="S576" s="89"/>
      <c r="T576" s="89"/>
      <c r="U576" s="89"/>
      <c r="V576" s="89"/>
      <c r="W576" s="89"/>
      <c r="X576" s="89"/>
      <c r="Y576" s="89"/>
      <c r="Z576" s="89"/>
      <c r="AA576" s="89"/>
      <c r="AB576" s="89"/>
      <c r="AC576" s="89"/>
      <c r="AD576" s="89"/>
    </row>
    <row r="577">
      <c r="A577" s="89"/>
      <c r="B577" s="89"/>
      <c r="C577" s="140"/>
      <c r="D577" s="89"/>
      <c r="E577" s="89"/>
      <c r="F577" s="89"/>
      <c r="G577" s="89"/>
      <c r="H577" s="89"/>
      <c r="I577" s="89"/>
      <c r="J577" s="89"/>
      <c r="K577" s="89"/>
      <c r="L577" s="89"/>
      <c r="M577" s="89"/>
      <c r="N577" s="89"/>
      <c r="O577" s="89"/>
      <c r="P577" s="89"/>
      <c r="Q577" s="89"/>
      <c r="R577" s="89"/>
      <c r="S577" s="89"/>
      <c r="T577" s="89"/>
      <c r="U577" s="89"/>
      <c r="V577" s="89"/>
      <c r="W577" s="89"/>
      <c r="X577" s="89"/>
      <c r="Y577" s="89"/>
      <c r="Z577" s="89"/>
      <c r="AA577" s="89"/>
      <c r="AB577" s="89"/>
      <c r="AC577" s="89"/>
      <c r="AD577" s="89"/>
    </row>
    <row r="578">
      <c r="A578" s="89"/>
      <c r="B578" s="89"/>
      <c r="C578" s="140"/>
      <c r="D578" s="89"/>
      <c r="E578" s="89"/>
      <c r="F578" s="89"/>
      <c r="G578" s="89"/>
      <c r="H578" s="89"/>
      <c r="I578" s="89"/>
      <c r="J578" s="89"/>
      <c r="K578" s="89"/>
      <c r="L578" s="89"/>
      <c r="M578" s="89"/>
      <c r="N578" s="89"/>
      <c r="O578" s="89"/>
      <c r="P578" s="89"/>
      <c r="Q578" s="89"/>
      <c r="R578" s="89"/>
      <c r="S578" s="89"/>
      <c r="T578" s="89"/>
      <c r="U578" s="89"/>
      <c r="V578" s="89"/>
      <c r="W578" s="89"/>
      <c r="X578" s="89"/>
      <c r="Y578" s="89"/>
      <c r="Z578" s="89"/>
      <c r="AA578" s="89"/>
      <c r="AB578" s="89"/>
      <c r="AC578" s="89"/>
      <c r="AD578" s="89"/>
    </row>
    <row r="579">
      <c r="A579" s="89"/>
      <c r="B579" s="89"/>
      <c r="C579" s="140"/>
      <c r="D579" s="89"/>
      <c r="E579" s="89"/>
      <c r="F579" s="89"/>
      <c r="G579" s="89"/>
      <c r="H579" s="89"/>
      <c r="I579" s="89"/>
      <c r="J579" s="89"/>
      <c r="K579" s="89"/>
      <c r="L579" s="89"/>
      <c r="M579" s="89"/>
      <c r="N579" s="89"/>
      <c r="O579" s="89"/>
      <c r="P579" s="89"/>
      <c r="Q579" s="89"/>
      <c r="R579" s="89"/>
      <c r="S579" s="89"/>
      <c r="T579" s="89"/>
      <c r="U579" s="89"/>
      <c r="V579" s="89"/>
      <c r="W579" s="89"/>
      <c r="X579" s="89"/>
      <c r="Y579" s="89"/>
      <c r="Z579" s="89"/>
      <c r="AA579" s="89"/>
      <c r="AB579" s="89"/>
      <c r="AC579" s="89"/>
      <c r="AD579" s="89"/>
    </row>
    <row r="580">
      <c r="A580" s="89"/>
      <c r="B580" s="89"/>
      <c r="C580" s="140"/>
      <c r="D580" s="89"/>
      <c r="E580" s="89"/>
      <c r="F580" s="89"/>
      <c r="G580" s="89"/>
      <c r="H580" s="89"/>
      <c r="I580" s="89"/>
      <c r="J580" s="89"/>
      <c r="K580" s="89"/>
      <c r="L580" s="89"/>
      <c r="M580" s="89"/>
      <c r="N580" s="89"/>
      <c r="O580" s="89"/>
      <c r="P580" s="89"/>
      <c r="Q580" s="89"/>
      <c r="R580" s="89"/>
      <c r="S580" s="89"/>
      <c r="T580" s="89"/>
      <c r="U580" s="89"/>
      <c r="V580" s="89"/>
      <c r="W580" s="89"/>
      <c r="X580" s="89"/>
      <c r="Y580" s="89"/>
      <c r="Z580" s="89"/>
      <c r="AA580" s="89"/>
      <c r="AB580" s="89"/>
      <c r="AC580" s="89"/>
      <c r="AD580" s="89"/>
    </row>
    <row r="581">
      <c r="A581" s="89"/>
      <c r="B581" s="89"/>
      <c r="C581" s="140"/>
      <c r="D581" s="89"/>
      <c r="E581" s="89"/>
      <c r="F581" s="89"/>
      <c r="G581" s="89"/>
      <c r="H581" s="89"/>
      <c r="I581" s="89"/>
      <c r="J581" s="89"/>
      <c r="K581" s="89"/>
      <c r="L581" s="89"/>
      <c r="M581" s="89"/>
      <c r="N581" s="89"/>
      <c r="O581" s="89"/>
      <c r="P581" s="89"/>
      <c r="Q581" s="89"/>
      <c r="R581" s="89"/>
      <c r="S581" s="89"/>
      <c r="T581" s="89"/>
      <c r="U581" s="89"/>
      <c r="V581" s="89"/>
      <c r="W581" s="89"/>
      <c r="X581" s="89"/>
      <c r="Y581" s="89"/>
      <c r="Z581" s="89"/>
      <c r="AA581" s="89"/>
      <c r="AB581" s="89"/>
      <c r="AC581" s="89"/>
      <c r="AD581" s="89"/>
    </row>
    <row r="582">
      <c r="A582" s="89"/>
      <c r="B582" s="89"/>
      <c r="C582" s="140"/>
      <c r="D582" s="89"/>
      <c r="E582" s="89"/>
      <c r="F582" s="89"/>
      <c r="G582" s="89"/>
      <c r="H582" s="89"/>
      <c r="I582" s="89"/>
      <c r="J582" s="89"/>
      <c r="K582" s="89"/>
      <c r="L582" s="89"/>
      <c r="M582" s="89"/>
      <c r="N582" s="89"/>
      <c r="O582" s="89"/>
      <c r="P582" s="89"/>
      <c r="Q582" s="89"/>
      <c r="R582" s="89"/>
      <c r="S582" s="89"/>
      <c r="T582" s="89"/>
      <c r="U582" s="89"/>
      <c r="V582" s="89"/>
      <c r="W582" s="89"/>
      <c r="X582" s="89"/>
      <c r="Y582" s="89"/>
      <c r="Z582" s="89"/>
      <c r="AA582" s="89"/>
      <c r="AB582" s="89"/>
      <c r="AC582" s="89"/>
      <c r="AD582" s="89"/>
    </row>
    <row r="583">
      <c r="A583" s="89"/>
      <c r="B583" s="89"/>
      <c r="C583" s="140"/>
      <c r="D583" s="89"/>
      <c r="E583" s="89"/>
      <c r="F583" s="89"/>
      <c r="G583" s="89"/>
      <c r="H583" s="89"/>
      <c r="I583" s="89"/>
      <c r="J583" s="89"/>
      <c r="K583" s="89"/>
      <c r="L583" s="89"/>
      <c r="M583" s="89"/>
      <c r="N583" s="89"/>
      <c r="O583" s="89"/>
      <c r="P583" s="89"/>
      <c r="Q583" s="89"/>
      <c r="R583" s="89"/>
      <c r="S583" s="89"/>
      <c r="T583" s="89"/>
      <c r="U583" s="89"/>
      <c r="V583" s="89"/>
      <c r="W583" s="89"/>
      <c r="X583" s="89"/>
      <c r="Y583" s="89"/>
      <c r="Z583" s="89"/>
      <c r="AA583" s="89"/>
      <c r="AB583" s="89"/>
      <c r="AC583" s="89"/>
      <c r="AD583" s="89"/>
    </row>
    <row r="584">
      <c r="A584" s="89"/>
      <c r="B584" s="89"/>
      <c r="C584" s="140"/>
      <c r="D584" s="89"/>
      <c r="E584" s="89"/>
      <c r="F584" s="89"/>
      <c r="G584" s="89"/>
      <c r="H584" s="89"/>
      <c r="I584" s="89"/>
      <c r="J584" s="89"/>
      <c r="K584" s="89"/>
      <c r="L584" s="89"/>
      <c r="M584" s="89"/>
      <c r="N584" s="89"/>
      <c r="O584" s="89"/>
      <c r="P584" s="89"/>
      <c r="Q584" s="89"/>
      <c r="R584" s="89"/>
      <c r="S584" s="89"/>
      <c r="T584" s="89"/>
      <c r="U584" s="89"/>
      <c r="V584" s="89"/>
      <c r="W584" s="89"/>
      <c r="X584" s="89"/>
      <c r="Y584" s="89"/>
      <c r="Z584" s="89"/>
      <c r="AA584" s="89"/>
      <c r="AB584" s="89"/>
      <c r="AC584" s="89"/>
      <c r="AD584" s="89"/>
    </row>
    <row r="585">
      <c r="A585" s="89"/>
      <c r="B585" s="89"/>
      <c r="C585" s="140"/>
      <c r="D585" s="89"/>
      <c r="E585" s="89"/>
      <c r="F585" s="89"/>
      <c r="G585" s="89"/>
      <c r="H585" s="89"/>
      <c r="I585" s="89"/>
      <c r="J585" s="89"/>
      <c r="K585" s="89"/>
      <c r="L585" s="89"/>
      <c r="M585" s="89"/>
      <c r="N585" s="89"/>
      <c r="O585" s="89"/>
      <c r="P585" s="89"/>
      <c r="Q585" s="89"/>
      <c r="R585" s="89"/>
      <c r="S585" s="89"/>
      <c r="T585" s="89"/>
      <c r="U585" s="89"/>
      <c r="V585" s="89"/>
      <c r="W585" s="89"/>
      <c r="X585" s="89"/>
      <c r="Y585" s="89"/>
      <c r="Z585" s="89"/>
      <c r="AA585" s="89"/>
      <c r="AB585" s="89"/>
      <c r="AC585" s="89"/>
      <c r="AD585" s="89"/>
    </row>
    <row r="586">
      <c r="A586" s="89"/>
      <c r="B586" s="89"/>
      <c r="C586" s="140"/>
      <c r="D586" s="89"/>
      <c r="E586" s="89"/>
      <c r="F586" s="89"/>
      <c r="G586" s="89"/>
      <c r="H586" s="89"/>
      <c r="I586" s="89"/>
      <c r="J586" s="89"/>
      <c r="K586" s="89"/>
      <c r="L586" s="89"/>
      <c r="M586" s="89"/>
      <c r="N586" s="89"/>
      <c r="O586" s="89"/>
      <c r="P586" s="89"/>
      <c r="Q586" s="89"/>
      <c r="R586" s="89"/>
      <c r="S586" s="89"/>
      <c r="T586" s="89"/>
      <c r="U586" s="89"/>
      <c r="V586" s="89"/>
      <c r="W586" s="89"/>
      <c r="X586" s="89"/>
      <c r="Y586" s="89"/>
      <c r="Z586" s="89"/>
      <c r="AA586" s="89"/>
      <c r="AB586" s="89"/>
      <c r="AC586" s="89"/>
      <c r="AD586" s="89"/>
    </row>
    <row r="587">
      <c r="A587" s="89"/>
      <c r="B587" s="89"/>
      <c r="C587" s="140"/>
      <c r="D587" s="89"/>
      <c r="E587" s="89"/>
      <c r="F587" s="89"/>
      <c r="G587" s="89"/>
      <c r="H587" s="89"/>
      <c r="I587" s="89"/>
      <c r="J587" s="89"/>
      <c r="K587" s="89"/>
      <c r="L587" s="89"/>
      <c r="M587" s="89"/>
      <c r="N587" s="89"/>
      <c r="O587" s="89"/>
      <c r="P587" s="89"/>
      <c r="Q587" s="89"/>
      <c r="R587" s="89"/>
      <c r="S587" s="89"/>
      <c r="T587" s="89"/>
      <c r="U587" s="89"/>
      <c r="V587" s="89"/>
      <c r="W587" s="89"/>
      <c r="X587" s="89"/>
      <c r="Y587" s="89"/>
      <c r="Z587" s="89"/>
      <c r="AA587" s="89"/>
      <c r="AB587" s="89"/>
      <c r="AC587" s="89"/>
      <c r="AD587" s="89"/>
    </row>
    <row r="588">
      <c r="A588" s="89"/>
      <c r="B588" s="89"/>
      <c r="C588" s="140"/>
      <c r="D588" s="89"/>
      <c r="E588" s="89"/>
      <c r="F588" s="89"/>
      <c r="G588" s="89"/>
      <c r="H588" s="89"/>
      <c r="I588" s="89"/>
      <c r="J588" s="89"/>
      <c r="K588" s="89"/>
      <c r="L588" s="89"/>
      <c r="M588" s="89"/>
      <c r="N588" s="89"/>
      <c r="O588" s="89"/>
      <c r="P588" s="89"/>
      <c r="Q588" s="89"/>
      <c r="R588" s="89"/>
      <c r="S588" s="89"/>
      <c r="T588" s="89"/>
      <c r="U588" s="89"/>
      <c r="V588" s="89"/>
      <c r="W588" s="89"/>
      <c r="X588" s="89"/>
      <c r="Y588" s="89"/>
      <c r="Z588" s="89"/>
      <c r="AA588" s="89"/>
      <c r="AB588" s="89"/>
      <c r="AC588" s="89"/>
      <c r="AD588" s="89"/>
    </row>
    <row r="589">
      <c r="A589" s="89"/>
      <c r="B589" s="89"/>
      <c r="C589" s="140"/>
      <c r="D589" s="89"/>
      <c r="E589" s="89"/>
      <c r="F589" s="89"/>
      <c r="G589" s="89"/>
      <c r="H589" s="89"/>
      <c r="I589" s="89"/>
      <c r="J589" s="89"/>
      <c r="K589" s="89"/>
      <c r="L589" s="89"/>
      <c r="M589" s="89"/>
      <c r="N589" s="89"/>
      <c r="O589" s="89"/>
      <c r="P589" s="89"/>
      <c r="Q589" s="89"/>
      <c r="R589" s="89"/>
      <c r="S589" s="89"/>
      <c r="T589" s="89"/>
      <c r="U589" s="89"/>
      <c r="V589" s="89"/>
      <c r="W589" s="89"/>
      <c r="X589" s="89"/>
      <c r="Y589" s="89"/>
      <c r="Z589" s="89"/>
      <c r="AA589" s="89"/>
      <c r="AB589" s="89"/>
      <c r="AC589" s="89"/>
      <c r="AD589" s="89"/>
    </row>
    <row r="590">
      <c r="A590" s="89"/>
      <c r="B590" s="89"/>
      <c r="C590" s="140"/>
      <c r="D590" s="89"/>
      <c r="E590" s="89"/>
      <c r="F590" s="89"/>
      <c r="G590" s="89"/>
      <c r="H590" s="89"/>
      <c r="I590" s="89"/>
      <c r="J590" s="89"/>
      <c r="K590" s="89"/>
      <c r="L590" s="89"/>
      <c r="M590" s="89"/>
      <c r="N590" s="89"/>
      <c r="O590" s="89"/>
      <c r="P590" s="89"/>
      <c r="Q590" s="89"/>
      <c r="R590" s="89"/>
      <c r="S590" s="89"/>
      <c r="T590" s="89"/>
      <c r="U590" s="89"/>
      <c r="V590" s="89"/>
      <c r="W590" s="89"/>
      <c r="X590" s="89"/>
      <c r="Y590" s="89"/>
      <c r="Z590" s="89"/>
      <c r="AA590" s="89"/>
      <c r="AB590" s="89"/>
      <c r="AC590" s="89"/>
      <c r="AD590" s="89"/>
    </row>
    <row r="591">
      <c r="A591" s="89"/>
      <c r="B591" s="89"/>
      <c r="C591" s="140"/>
      <c r="D591" s="89"/>
      <c r="E591" s="89"/>
      <c r="F591" s="89"/>
      <c r="G591" s="89"/>
      <c r="H591" s="89"/>
      <c r="I591" s="89"/>
      <c r="J591" s="89"/>
      <c r="K591" s="89"/>
      <c r="L591" s="89"/>
      <c r="M591" s="89"/>
      <c r="N591" s="89"/>
      <c r="O591" s="89"/>
      <c r="P591" s="89"/>
      <c r="Q591" s="89"/>
      <c r="R591" s="89"/>
      <c r="S591" s="89"/>
      <c r="T591" s="89"/>
      <c r="U591" s="89"/>
      <c r="V591" s="89"/>
      <c r="W591" s="89"/>
      <c r="X591" s="89"/>
      <c r="Y591" s="89"/>
      <c r="Z591" s="89"/>
      <c r="AA591" s="89"/>
      <c r="AB591" s="89"/>
      <c r="AC591" s="89"/>
      <c r="AD591" s="89"/>
    </row>
    <row r="592">
      <c r="A592" s="89"/>
      <c r="B592" s="89"/>
      <c r="C592" s="140"/>
      <c r="D592" s="89"/>
      <c r="E592" s="89"/>
      <c r="F592" s="89"/>
      <c r="G592" s="89"/>
      <c r="H592" s="89"/>
      <c r="I592" s="89"/>
      <c r="J592" s="89"/>
      <c r="K592" s="89"/>
      <c r="L592" s="89"/>
      <c r="M592" s="89"/>
      <c r="N592" s="89"/>
      <c r="O592" s="89"/>
      <c r="P592" s="89"/>
      <c r="Q592" s="89"/>
      <c r="R592" s="89"/>
      <c r="S592" s="89"/>
      <c r="T592" s="89"/>
      <c r="U592" s="89"/>
      <c r="V592" s="89"/>
      <c r="W592" s="89"/>
      <c r="X592" s="89"/>
      <c r="Y592" s="89"/>
      <c r="Z592" s="89"/>
      <c r="AA592" s="89"/>
      <c r="AB592" s="89"/>
      <c r="AC592" s="89"/>
      <c r="AD592" s="89"/>
    </row>
    <row r="593">
      <c r="A593" s="89"/>
      <c r="B593" s="89"/>
      <c r="C593" s="140"/>
      <c r="D593" s="89"/>
      <c r="E593" s="89"/>
      <c r="F593" s="89"/>
      <c r="G593" s="89"/>
      <c r="H593" s="89"/>
      <c r="I593" s="89"/>
      <c r="J593" s="89"/>
      <c r="K593" s="89"/>
      <c r="L593" s="89"/>
      <c r="M593" s="89"/>
      <c r="N593" s="89"/>
      <c r="O593" s="89"/>
      <c r="P593" s="89"/>
      <c r="Q593" s="89"/>
      <c r="R593" s="89"/>
      <c r="S593" s="89"/>
      <c r="T593" s="89"/>
      <c r="U593" s="89"/>
      <c r="V593" s="89"/>
      <c r="W593" s="89"/>
      <c r="X593" s="89"/>
      <c r="Y593" s="89"/>
      <c r="Z593" s="89"/>
      <c r="AA593" s="89"/>
      <c r="AB593" s="89"/>
      <c r="AC593" s="89"/>
      <c r="AD593" s="89"/>
    </row>
    <row r="594">
      <c r="A594" s="89"/>
      <c r="B594" s="89"/>
      <c r="C594" s="140"/>
      <c r="D594" s="89"/>
      <c r="E594" s="89"/>
      <c r="F594" s="89"/>
      <c r="G594" s="89"/>
      <c r="H594" s="89"/>
      <c r="I594" s="89"/>
      <c r="J594" s="89"/>
      <c r="K594" s="89"/>
      <c r="L594" s="89"/>
      <c r="M594" s="89"/>
      <c r="N594" s="89"/>
      <c r="O594" s="89"/>
      <c r="P594" s="89"/>
      <c r="Q594" s="89"/>
      <c r="R594" s="89"/>
      <c r="S594" s="89"/>
      <c r="T594" s="89"/>
      <c r="U594" s="89"/>
      <c r="V594" s="89"/>
      <c r="W594" s="89"/>
      <c r="X594" s="89"/>
      <c r="Y594" s="89"/>
      <c r="Z594" s="89"/>
      <c r="AA594" s="89"/>
      <c r="AB594" s="89"/>
      <c r="AC594" s="89"/>
      <c r="AD594" s="89"/>
    </row>
    <row r="595">
      <c r="A595" s="89"/>
      <c r="B595" s="89"/>
      <c r="C595" s="140"/>
      <c r="D595" s="89"/>
      <c r="E595" s="89"/>
      <c r="F595" s="89"/>
      <c r="G595" s="89"/>
      <c r="H595" s="89"/>
      <c r="I595" s="89"/>
      <c r="J595" s="89"/>
      <c r="K595" s="89"/>
      <c r="L595" s="89"/>
      <c r="M595" s="89"/>
      <c r="N595" s="89"/>
      <c r="O595" s="89"/>
      <c r="P595" s="89"/>
      <c r="Q595" s="89"/>
      <c r="R595" s="89"/>
      <c r="S595" s="89"/>
      <c r="T595" s="89"/>
      <c r="U595" s="89"/>
      <c r="V595" s="89"/>
      <c r="W595" s="89"/>
      <c r="X595" s="89"/>
      <c r="Y595" s="89"/>
      <c r="Z595" s="89"/>
      <c r="AA595" s="89"/>
      <c r="AB595" s="89"/>
      <c r="AC595" s="89"/>
      <c r="AD595" s="89"/>
    </row>
    <row r="596">
      <c r="A596" s="89"/>
      <c r="B596" s="89"/>
      <c r="C596" s="140"/>
      <c r="D596" s="89"/>
      <c r="E596" s="89"/>
      <c r="F596" s="89"/>
      <c r="G596" s="89"/>
      <c r="H596" s="89"/>
      <c r="I596" s="89"/>
      <c r="J596" s="89"/>
      <c r="K596" s="89"/>
      <c r="L596" s="89"/>
      <c r="M596" s="89"/>
      <c r="N596" s="89"/>
      <c r="O596" s="89"/>
      <c r="P596" s="89"/>
      <c r="Q596" s="89"/>
      <c r="R596" s="89"/>
      <c r="S596" s="89"/>
      <c r="T596" s="89"/>
      <c r="U596" s="89"/>
      <c r="V596" s="89"/>
      <c r="W596" s="89"/>
      <c r="X596" s="89"/>
      <c r="Y596" s="89"/>
      <c r="Z596" s="89"/>
      <c r="AA596" s="89"/>
      <c r="AB596" s="89"/>
      <c r="AC596" s="89"/>
      <c r="AD596" s="89"/>
    </row>
    <row r="597">
      <c r="A597" s="89"/>
      <c r="B597" s="89"/>
      <c r="C597" s="140"/>
      <c r="D597" s="89"/>
      <c r="E597" s="89"/>
      <c r="F597" s="89"/>
      <c r="G597" s="89"/>
      <c r="H597" s="89"/>
      <c r="I597" s="89"/>
      <c r="J597" s="89"/>
      <c r="K597" s="89"/>
      <c r="L597" s="89"/>
      <c r="M597" s="89"/>
      <c r="N597" s="89"/>
      <c r="O597" s="89"/>
      <c r="P597" s="89"/>
      <c r="Q597" s="89"/>
      <c r="R597" s="89"/>
      <c r="S597" s="89"/>
      <c r="T597" s="89"/>
      <c r="U597" s="89"/>
      <c r="V597" s="89"/>
      <c r="W597" s="89"/>
      <c r="X597" s="89"/>
      <c r="Y597" s="89"/>
      <c r="Z597" s="89"/>
      <c r="AA597" s="89"/>
      <c r="AB597" s="89"/>
      <c r="AC597" s="89"/>
      <c r="AD597" s="89"/>
    </row>
    <row r="598">
      <c r="A598" s="89"/>
      <c r="B598" s="89"/>
      <c r="C598" s="140"/>
      <c r="D598" s="89"/>
      <c r="E598" s="89"/>
      <c r="F598" s="89"/>
      <c r="G598" s="89"/>
      <c r="H598" s="89"/>
      <c r="I598" s="89"/>
      <c r="J598" s="89"/>
      <c r="K598" s="89"/>
      <c r="L598" s="89"/>
      <c r="M598" s="89"/>
      <c r="N598" s="89"/>
      <c r="O598" s="89"/>
      <c r="P598" s="89"/>
      <c r="Q598" s="89"/>
      <c r="R598" s="89"/>
      <c r="S598" s="89"/>
      <c r="T598" s="89"/>
      <c r="U598" s="89"/>
      <c r="V598" s="89"/>
      <c r="W598" s="89"/>
      <c r="X598" s="89"/>
      <c r="Y598" s="89"/>
      <c r="Z598" s="89"/>
      <c r="AA598" s="89"/>
      <c r="AB598" s="89"/>
      <c r="AC598" s="89"/>
      <c r="AD598" s="89"/>
    </row>
    <row r="599">
      <c r="A599" s="89"/>
      <c r="B599" s="89"/>
      <c r="C599" s="140"/>
      <c r="D599" s="89"/>
      <c r="E599" s="89"/>
      <c r="F599" s="89"/>
      <c r="G599" s="89"/>
      <c r="H599" s="89"/>
      <c r="I599" s="89"/>
      <c r="J599" s="89"/>
      <c r="K599" s="89"/>
      <c r="L599" s="89"/>
      <c r="M599" s="89"/>
      <c r="N599" s="89"/>
      <c r="O599" s="89"/>
      <c r="P599" s="89"/>
      <c r="Q599" s="89"/>
      <c r="R599" s="89"/>
      <c r="S599" s="89"/>
      <c r="T599" s="89"/>
      <c r="U599" s="89"/>
      <c r="V599" s="89"/>
      <c r="W599" s="89"/>
      <c r="X599" s="89"/>
      <c r="Y599" s="89"/>
      <c r="Z599" s="89"/>
      <c r="AA599" s="89"/>
      <c r="AB599" s="89"/>
      <c r="AC599" s="89"/>
      <c r="AD599" s="89"/>
    </row>
    <row r="600">
      <c r="A600" s="89"/>
      <c r="B600" s="89"/>
      <c r="C600" s="140"/>
      <c r="D600" s="89"/>
      <c r="E600" s="89"/>
      <c r="F600" s="89"/>
      <c r="G600" s="89"/>
      <c r="H600" s="89"/>
      <c r="I600" s="89"/>
      <c r="J600" s="89"/>
      <c r="K600" s="89"/>
      <c r="L600" s="89"/>
      <c r="M600" s="89"/>
      <c r="N600" s="89"/>
      <c r="O600" s="89"/>
      <c r="P600" s="89"/>
      <c r="Q600" s="89"/>
      <c r="R600" s="89"/>
      <c r="S600" s="89"/>
      <c r="T600" s="89"/>
      <c r="U600" s="89"/>
      <c r="V600" s="89"/>
      <c r="W600" s="89"/>
      <c r="X600" s="89"/>
      <c r="Y600" s="89"/>
      <c r="Z600" s="89"/>
      <c r="AA600" s="89"/>
      <c r="AB600" s="89"/>
      <c r="AC600" s="89"/>
      <c r="AD600" s="89"/>
    </row>
    <row r="601">
      <c r="A601" s="89"/>
      <c r="B601" s="89"/>
      <c r="C601" s="140"/>
      <c r="D601" s="89"/>
      <c r="E601" s="89"/>
      <c r="F601" s="89"/>
      <c r="G601" s="89"/>
      <c r="H601" s="89"/>
      <c r="I601" s="89"/>
      <c r="J601" s="89"/>
      <c r="K601" s="89"/>
      <c r="L601" s="89"/>
      <c r="M601" s="89"/>
      <c r="N601" s="89"/>
      <c r="O601" s="89"/>
      <c r="P601" s="89"/>
      <c r="Q601" s="89"/>
      <c r="R601" s="89"/>
      <c r="S601" s="89"/>
      <c r="T601" s="89"/>
      <c r="U601" s="89"/>
      <c r="V601" s="89"/>
      <c r="W601" s="89"/>
      <c r="X601" s="89"/>
      <c r="Y601" s="89"/>
      <c r="Z601" s="89"/>
      <c r="AA601" s="89"/>
      <c r="AB601" s="89"/>
      <c r="AC601" s="89"/>
      <c r="AD601" s="89"/>
    </row>
    <row r="602">
      <c r="A602" s="89"/>
      <c r="B602" s="89"/>
      <c r="C602" s="140"/>
      <c r="D602" s="89"/>
      <c r="E602" s="89"/>
      <c r="F602" s="89"/>
      <c r="G602" s="89"/>
      <c r="H602" s="89"/>
      <c r="I602" s="89"/>
      <c r="J602" s="89"/>
      <c r="K602" s="89"/>
      <c r="L602" s="89"/>
      <c r="M602" s="89"/>
      <c r="N602" s="89"/>
      <c r="O602" s="89"/>
      <c r="P602" s="89"/>
      <c r="Q602" s="89"/>
      <c r="R602" s="89"/>
      <c r="S602" s="89"/>
      <c r="T602" s="89"/>
      <c r="U602" s="89"/>
      <c r="V602" s="89"/>
      <c r="W602" s="89"/>
      <c r="X602" s="89"/>
      <c r="Y602" s="89"/>
      <c r="Z602" s="89"/>
      <c r="AA602" s="89"/>
      <c r="AB602" s="89"/>
      <c r="AC602" s="89"/>
      <c r="AD602" s="89"/>
    </row>
    <row r="603">
      <c r="A603" s="89"/>
      <c r="B603" s="89"/>
      <c r="C603" s="140"/>
      <c r="D603" s="89"/>
      <c r="E603" s="89"/>
      <c r="F603" s="89"/>
      <c r="G603" s="89"/>
      <c r="H603" s="89"/>
      <c r="I603" s="89"/>
      <c r="J603" s="89"/>
      <c r="K603" s="89"/>
      <c r="L603" s="89"/>
      <c r="M603" s="89"/>
      <c r="N603" s="89"/>
      <c r="O603" s="89"/>
      <c r="P603" s="89"/>
      <c r="Q603" s="89"/>
      <c r="R603" s="89"/>
      <c r="S603" s="89"/>
      <c r="T603" s="89"/>
      <c r="U603" s="89"/>
      <c r="V603" s="89"/>
      <c r="W603" s="89"/>
      <c r="X603" s="89"/>
      <c r="Y603" s="89"/>
      <c r="Z603" s="89"/>
      <c r="AA603" s="89"/>
      <c r="AB603" s="89"/>
      <c r="AC603" s="89"/>
      <c r="AD603" s="89"/>
    </row>
    <row r="604">
      <c r="A604" s="89"/>
      <c r="B604" s="89"/>
      <c r="C604" s="140"/>
      <c r="D604" s="89"/>
      <c r="E604" s="89"/>
      <c r="F604" s="89"/>
      <c r="G604" s="89"/>
      <c r="H604" s="89"/>
      <c r="I604" s="89"/>
      <c r="J604" s="89"/>
      <c r="K604" s="89"/>
      <c r="L604" s="89"/>
      <c r="M604" s="89"/>
      <c r="N604" s="89"/>
      <c r="O604" s="89"/>
      <c r="P604" s="89"/>
      <c r="Q604" s="89"/>
      <c r="R604" s="89"/>
      <c r="S604" s="89"/>
      <c r="T604" s="89"/>
      <c r="U604" s="89"/>
      <c r="V604" s="89"/>
      <c r="W604" s="89"/>
      <c r="X604" s="89"/>
      <c r="Y604" s="89"/>
      <c r="Z604" s="89"/>
      <c r="AA604" s="89"/>
      <c r="AB604" s="89"/>
      <c r="AC604" s="89"/>
      <c r="AD604" s="89"/>
    </row>
    <row r="605">
      <c r="A605" s="89"/>
      <c r="B605" s="89"/>
      <c r="C605" s="140"/>
      <c r="D605" s="89"/>
      <c r="E605" s="89"/>
      <c r="F605" s="89"/>
      <c r="G605" s="89"/>
      <c r="H605" s="89"/>
      <c r="I605" s="89"/>
      <c r="J605" s="89"/>
      <c r="K605" s="89"/>
      <c r="L605" s="89"/>
      <c r="M605" s="89"/>
      <c r="N605" s="89"/>
      <c r="O605" s="89"/>
      <c r="P605" s="89"/>
      <c r="Q605" s="89"/>
      <c r="R605" s="89"/>
      <c r="S605" s="89"/>
      <c r="T605" s="89"/>
      <c r="U605" s="89"/>
      <c r="V605" s="89"/>
      <c r="W605" s="89"/>
      <c r="X605" s="89"/>
      <c r="Y605" s="89"/>
      <c r="Z605" s="89"/>
      <c r="AA605" s="89"/>
      <c r="AB605" s="89"/>
      <c r="AC605" s="89"/>
      <c r="AD605" s="89"/>
    </row>
    <row r="606">
      <c r="A606" s="89"/>
      <c r="B606" s="89"/>
      <c r="C606" s="140"/>
      <c r="D606" s="89"/>
      <c r="E606" s="89"/>
      <c r="F606" s="89"/>
      <c r="G606" s="89"/>
      <c r="H606" s="89"/>
      <c r="I606" s="89"/>
      <c r="J606" s="89"/>
      <c r="K606" s="89"/>
      <c r="L606" s="89"/>
      <c r="M606" s="89"/>
      <c r="N606" s="89"/>
      <c r="O606" s="89"/>
      <c r="P606" s="89"/>
      <c r="Q606" s="89"/>
      <c r="R606" s="89"/>
      <c r="S606" s="89"/>
      <c r="T606" s="89"/>
      <c r="U606" s="89"/>
      <c r="V606" s="89"/>
      <c r="W606" s="89"/>
      <c r="X606" s="89"/>
      <c r="Y606" s="89"/>
      <c r="Z606" s="89"/>
      <c r="AA606" s="89"/>
      <c r="AB606" s="89"/>
      <c r="AC606" s="89"/>
      <c r="AD606" s="89"/>
    </row>
    <row r="607">
      <c r="A607" s="89"/>
      <c r="B607" s="89"/>
      <c r="C607" s="140"/>
      <c r="D607" s="89"/>
      <c r="E607" s="89"/>
      <c r="F607" s="89"/>
      <c r="G607" s="89"/>
      <c r="H607" s="89"/>
      <c r="I607" s="89"/>
      <c r="J607" s="89"/>
      <c r="K607" s="89"/>
      <c r="L607" s="89"/>
      <c r="M607" s="89"/>
      <c r="N607" s="89"/>
      <c r="O607" s="89"/>
      <c r="P607" s="89"/>
      <c r="Q607" s="89"/>
      <c r="R607" s="89"/>
      <c r="S607" s="89"/>
      <c r="T607" s="89"/>
      <c r="U607" s="89"/>
      <c r="V607" s="89"/>
      <c r="W607" s="89"/>
      <c r="X607" s="89"/>
      <c r="Y607" s="89"/>
      <c r="Z607" s="89"/>
      <c r="AA607" s="89"/>
      <c r="AB607" s="89"/>
      <c r="AC607" s="89"/>
      <c r="AD607" s="89"/>
    </row>
    <row r="608">
      <c r="A608" s="89"/>
      <c r="B608" s="89"/>
      <c r="C608" s="140"/>
      <c r="D608" s="89"/>
      <c r="E608" s="89"/>
      <c r="F608" s="89"/>
      <c r="G608" s="89"/>
      <c r="H608" s="89"/>
      <c r="I608" s="89"/>
      <c r="J608" s="89"/>
      <c r="K608" s="89"/>
      <c r="L608" s="89"/>
      <c r="M608" s="89"/>
      <c r="N608" s="89"/>
      <c r="O608" s="89"/>
      <c r="P608" s="89"/>
      <c r="Q608" s="89"/>
      <c r="R608" s="89"/>
      <c r="S608" s="89"/>
      <c r="T608" s="89"/>
      <c r="U608" s="89"/>
      <c r="V608" s="89"/>
      <c r="W608" s="89"/>
      <c r="X608" s="89"/>
      <c r="Y608" s="89"/>
      <c r="Z608" s="89"/>
      <c r="AA608" s="89"/>
      <c r="AB608" s="89"/>
      <c r="AC608" s="89"/>
      <c r="AD608" s="89"/>
    </row>
    <row r="609">
      <c r="A609" s="89"/>
      <c r="B609" s="89"/>
      <c r="C609" s="140"/>
      <c r="D609" s="89"/>
      <c r="E609" s="89"/>
      <c r="F609" s="89"/>
      <c r="G609" s="89"/>
      <c r="H609" s="89"/>
      <c r="I609" s="89"/>
      <c r="J609" s="89"/>
      <c r="K609" s="89"/>
      <c r="L609" s="89"/>
      <c r="M609" s="89"/>
      <c r="N609" s="89"/>
      <c r="O609" s="89"/>
      <c r="P609" s="89"/>
      <c r="Q609" s="89"/>
      <c r="R609" s="89"/>
      <c r="S609" s="89"/>
      <c r="T609" s="89"/>
      <c r="U609" s="89"/>
      <c r="V609" s="89"/>
      <c r="W609" s="89"/>
      <c r="X609" s="89"/>
      <c r="Y609" s="89"/>
      <c r="Z609" s="89"/>
      <c r="AA609" s="89"/>
      <c r="AB609" s="89"/>
      <c r="AC609" s="89"/>
      <c r="AD609" s="89"/>
    </row>
    <row r="610">
      <c r="A610" s="89"/>
      <c r="B610" s="89"/>
      <c r="C610" s="140"/>
      <c r="D610" s="89"/>
      <c r="E610" s="89"/>
      <c r="F610" s="89"/>
      <c r="G610" s="89"/>
      <c r="H610" s="89"/>
      <c r="I610" s="89"/>
      <c r="J610" s="89"/>
      <c r="K610" s="89"/>
      <c r="L610" s="89"/>
      <c r="M610" s="89"/>
      <c r="N610" s="89"/>
      <c r="O610" s="89"/>
      <c r="P610" s="89"/>
      <c r="Q610" s="89"/>
      <c r="R610" s="89"/>
      <c r="S610" s="89"/>
      <c r="T610" s="89"/>
      <c r="U610" s="89"/>
      <c r="V610" s="89"/>
      <c r="W610" s="89"/>
      <c r="X610" s="89"/>
      <c r="Y610" s="89"/>
      <c r="Z610" s="89"/>
      <c r="AA610" s="89"/>
      <c r="AB610" s="89"/>
      <c r="AC610" s="89"/>
      <c r="AD610" s="89"/>
    </row>
    <row r="611">
      <c r="A611" s="89"/>
      <c r="B611" s="89"/>
      <c r="C611" s="140"/>
      <c r="D611" s="89"/>
      <c r="E611" s="89"/>
      <c r="F611" s="89"/>
      <c r="G611" s="89"/>
      <c r="H611" s="89"/>
      <c r="I611" s="89"/>
      <c r="J611" s="89"/>
      <c r="K611" s="89"/>
      <c r="L611" s="89"/>
      <c r="M611" s="89"/>
      <c r="N611" s="89"/>
      <c r="O611" s="89"/>
      <c r="P611" s="89"/>
      <c r="Q611" s="89"/>
      <c r="R611" s="89"/>
      <c r="S611" s="89"/>
      <c r="T611" s="89"/>
      <c r="U611" s="89"/>
      <c r="V611" s="89"/>
      <c r="W611" s="89"/>
      <c r="X611" s="89"/>
      <c r="Y611" s="89"/>
      <c r="Z611" s="89"/>
      <c r="AA611" s="89"/>
      <c r="AB611" s="89"/>
      <c r="AC611" s="89"/>
      <c r="AD611" s="89"/>
    </row>
    <row r="612">
      <c r="A612" s="89"/>
      <c r="B612" s="89"/>
      <c r="C612" s="140"/>
      <c r="D612" s="89"/>
      <c r="E612" s="89"/>
      <c r="F612" s="89"/>
      <c r="G612" s="89"/>
      <c r="H612" s="89"/>
      <c r="I612" s="89"/>
      <c r="J612" s="89"/>
      <c r="K612" s="89"/>
      <c r="L612" s="89"/>
      <c r="M612" s="89"/>
      <c r="N612" s="89"/>
      <c r="O612" s="89"/>
      <c r="P612" s="89"/>
      <c r="Q612" s="89"/>
      <c r="R612" s="89"/>
      <c r="S612" s="89"/>
      <c r="T612" s="89"/>
      <c r="U612" s="89"/>
      <c r="V612" s="89"/>
      <c r="W612" s="89"/>
      <c r="X612" s="89"/>
      <c r="Y612" s="89"/>
      <c r="Z612" s="89"/>
      <c r="AA612" s="89"/>
      <c r="AB612" s="89"/>
      <c r="AC612" s="89"/>
      <c r="AD612" s="89"/>
    </row>
    <row r="613">
      <c r="A613" s="89"/>
      <c r="B613" s="89"/>
      <c r="C613" s="140"/>
      <c r="D613" s="89"/>
      <c r="E613" s="89"/>
      <c r="F613" s="89"/>
      <c r="G613" s="89"/>
      <c r="H613" s="89"/>
      <c r="I613" s="89"/>
      <c r="J613" s="89"/>
      <c r="K613" s="89"/>
      <c r="L613" s="89"/>
      <c r="M613" s="89"/>
      <c r="N613" s="89"/>
      <c r="O613" s="89"/>
      <c r="P613" s="89"/>
      <c r="Q613" s="89"/>
      <c r="R613" s="89"/>
      <c r="S613" s="89"/>
      <c r="T613" s="89"/>
      <c r="U613" s="89"/>
      <c r="V613" s="89"/>
      <c r="W613" s="89"/>
      <c r="X613" s="89"/>
      <c r="Y613" s="89"/>
      <c r="Z613" s="89"/>
      <c r="AA613" s="89"/>
      <c r="AB613" s="89"/>
      <c r="AC613" s="89"/>
      <c r="AD613" s="89"/>
    </row>
    <row r="614">
      <c r="A614" s="89"/>
      <c r="B614" s="89"/>
      <c r="C614" s="140"/>
      <c r="D614" s="89"/>
      <c r="E614" s="89"/>
      <c r="F614" s="89"/>
      <c r="G614" s="89"/>
      <c r="H614" s="89"/>
      <c r="I614" s="89"/>
      <c r="J614" s="89"/>
      <c r="K614" s="89"/>
      <c r="L614" s="89"/>
      <c r="M614" s="89"/>
      <c r="N614" s="89"/>
      <c r="O614" s="89"/>
      <c r="P614" s="89"/>
      <c r="Q614" s="89"/>
      <c r="R614" s="89"/>
      <c r="S614" s="89"/>
      <c r="T614" s="89"/>
      <c r="U614" s="89"/>
      <c r="V614" s="89"/>
      <c r="W614" s="89"/>
      <c r="X614" s="89"/>
      <c r="Y614" s="89"/>
      <c r="Z614" s="89"/>
      <c r="AA614" s="89"/>
      <c r="AB614" s="89"/>
      <c r="AC614" s="89"/>
      <c r="AD614" s="89"/>
    </row>
    <row r="615">
      <c r="A615" s="89"/>
      <c r="B615" s="89"/>
      <c r="C615" s="140"/>
      <c r="D615" s="89"/>
      <c r="E615" s="89"/>
      <c r="F615" s="89"/>
      <c r="G615" s="89"/>
      <c r="H615" s="89"/>
      <c r="I615" s="89"/>
      <c r="J615" s="89"/>
      <c r="K615" s="89"/>
      <c r="L615" s="89"/>
      <c r="M615" s="89"/>
      <c r="N615" s="89"/>
      <c r="O615" s="89"/>
      <c r="P615" s="89"/>
      <c r="Q615" s="89"/>
      <c r="R615" s="89"/>
      <c r="S615" s="89"/>
      <c r="T615" s="89"/>
      <c r="U615" s="89"/>
      <c r="V615" s="89"/>
      <c r="W615" s="89"/>
      <c r="X615" s="89"/>
      <c r="Y615" s="89"/>
      <c r="Z615" s="89"/>
      <c r="AA615" s="89"/>
      <c r="AB615" s="89"/>
      <c r="AC615" s="89"/>
      <c r="AD615" s="89"/>
    </row>
    <row r="616">
      <c r="A616" s="89"/>
      <c r="B616" s="89"/>
      <c r="C616" s="140"/>
      <c r="D616" s="89"/>
      <c r="E616" s="89"/>
      <c r="F616" s="89"/>
      <c r="G616" s="89"/>
      <c r="H616" s="89"/>
      <c r="I616" s="89"/>
      <c r="J616" s="89"/>
      <c r="K616" s="89"/>
      <c r="L616" s="89"/>
      <c r="M616" s="89"/>
      <c r="N616" s="89"/>
      <c r="O616" s="89"/>
      <c r="P616" s="89"/>
      <c r="Q616" s="89"/>
      <c r="R616" s="89"/>
      <c r="S616" s="89"/>
      <c r="T616" s="89"/>
      <c r="U616" s="89"/>
      <c r="V616" s="89"/>
      <c r="W616" s="89"/>
      <c r="X616" s="89"/>
      <c r="Y616" s="89"/>
      <c r="Z616" s="89"/>
      <c r="AA616" s="89"/>
      <c r="AB616" s="89"/>
      <c r="AC616" s="89"/>
      <c r="AD616" s="89"/>
    </row>
    <row r="617">
      <c r="A617" s="89"/>
      <c r="B617" s="89"/>
      <c r="C617" s="140"/>
      <c r="D617" s="89"/>
      <c r="E617" s="89"/>
      <c r="F617" s="89"/>
      <c r="G617" s="89"/>
      <c r="H617" s="89"/>
      <c r="I617" s="89"/>
      <c r="J617" s="89"/>
      <c r="K617" s="89"/>
      <c r="L617" s="89"/>
      <c r="M617" s="89"/>
      <c r="N617" s="89"/>
      <c r="O617" s="89"/>
      <c r="P617" s="89"/>
      <c r="Q617" s="89"/>
      <c r="R617" s="89"/>
      <c r="S617" s="89"/>
      <c r="T617" s="89"/>
      <c r="U617" s="89"/>
      <c r="V617" s="89"/>
      <c r="W617" s="89"/>
      <c r="X617" s="89"/>
      <c r="Y617" s="89"/>
      <c r="Z617" s="89"/>
      <c r="AA617" s="89"/>
      <c r="AB617" s="89"/>
      <c r="AC617" s="89"/>
      <c r="AD617" s="89"/>
    </row>
    <row r="618">
      <c r="A618" s="89"/>
      <c r="B618" s="89"/>
      <c r="C618" s="140"/>
      <c r="D618" s="89"/>
      <c r="E618" s="89"/>
      <c r="F618" s="89"/>
      <c r="G618" s="89"/>
      <c r="H618" s="89"/>
      <c r="I618" s="89"/>
      <c r="J618" s="89"/>
      <c r="K618" s="89"/>
      <c r="L618" s="89"/>
      <c r="M618" s="89"/>
      <c r="N618" s="89"/>
      <c r="O618" s="89"/>
      <c r="P618" s="89"/>
      <c r="Q618" s="89"/>
      <c r="R618" s="89"/>
      <c r="S618" s="89"/>
      <c r="T618" s="89"/>
      <c r="U618" s="89"/>
      <c r="V618" s="89"/>
      <c r="W618" s="89"/>
      <c r="X618" s="89"/>
      <c r="Y618" s="89"/>
      <c r="Z618" s="89"/>
      <c r="AA618" s="89"/>
      <c r="AB618" s="89"/>
      <c r="AC618" s="89"/>
      <c r="AD618" s="89"/>
    </row>
    <row r="619">
      <c r="A619" s="89"/>
      <c r="B619" s="89"/>
      <c r="C619" s="140"/>
      <c r="D619" s="89"/>
      <c r="E619" s="89"/>
      <c r="F619" s="89"/>
      <c r="G619" s="89"/>
      <c r="H619" s="89"/>
      <c r="I619" s="89"/>
      <c r="J619" s="89"/>
      <c r="K619" s="89"/>
      <c r="L619" s="89"/>
      <c r="M619" s="89"/>
      <c r="N619" s="89"/>
      <c r="O619" s="89"/>
      <c r="P619" s="89"/>
      <c r="Q619" s="89"/>
      <c r="R619" s="89"/>
      <c r="S619" s="89"/>
      <c r="T619" s="89"/>
      <c r="U619" s="89"/>
      <c r="V619" s="89"/>
      <c r="W619" s="89"/>
      <c r="X619" s="89"/>
      <c r="Y619" s="89"/>
      <c r="Z619" s="89"/>
      <c r="AA619" s="89"/>
      <c r="AB619" s="89"/>
      <c r="AC619" s="89"/>
      <c r="AD619" s="89"/>
    </row>
    <row r="620">
      <c r="A620" s="89"/>
      <c r="B620" s="89"/>
      <c r="C620" s="140"/>
      <c r="D620" s="89"/>
      <c r="E620" s="89"/>
      <c r="F620" s="89"/>
      <c r="G620" s="89"/>
      <c r="H620" s="89"/>
      <c r="I620" s="89"/>
      <c r="J620" s="89"/>
      <c r="K620" s="89"/>
      <c r="L620" s="89"/>
      <c r="M620" s="89"/>
      <c r="N620" s="89"/>
      <c r="O620" s="89"/>
      <c r="P620" s="89"/>
      <c r="Q620" s="89"/>
      <c r="R620" s="89"/>
      <c r="S620" s="89"/>
      <c r="T620" s="89"/>
      <c r="U620" s="89"/>
      <c r="V620" s="89"/>
      <c r="W620" s="89"/>
      <c r="X620" s="89"/>
      <c r="Y620" s="89"/>
      <c r="Z620" s="89"/>
      <c r="AA620" s="89"/>
      <c r="AB620" s="89"/>
      <c r="AC620" s="89"/>
      <c r="AD620" s="89"/>
    </row>
    <row r="621">
      <c r="A621" s="89"/>
      <c r="B621" s="89"/>
      <c r="C621" s="140"/>
      <c r="D621" s="89"/>
      <c r="E621" s="89"/>
      <c r="F621" s="89"/>
      <c r="G621" s="89"/>
      <c r="H621" s="89"/>
      <c r="I621" s="89"/>
      <c r="J621" s="89"/>
      <c r="K621" s="89"/>
      <c r="L621" s="89"/>
      <c r="M621" s="89"/>
      <c r="N621" s="89"/>
      <c r="O621" s="89"/>
      <c r="P621" s="89"/>
      <c r="Q621" s="89"/>
      <c r="R621" s="89"/>
      <c r="S621" s="89"/>
      <c r="T621" s="89"/>
      <c r="U621" s="89"/>
      <c r="V621" s="89"/>
      <c r="W621" s="89"/>
      <c r="X621" s="89"/>
      <c r="Y621" s="89"/>
      <c r="Z621" s="89"/>
      <c r="AA621" s="89"/>
      <c r="AB621" s="89"/>
      <c r="AC621" s="89"/>
      <c r="AD621" s="89"/>
    </row>
    <row r="622">
      <c r="A622" s="89"/>
      <c r="B622" s="89"/>
      <c r="C622" s="140"/>
      <c r="D622" s="89"/>
      <c r="E622" s="89"/>
      <c r="F622" s="89"/>
      <c r="G622" s="89"/>
      <c r="H622" s="89"/>
      <c r="I622" s="89"/>
      <c r="J622" s="89"/>
      <c r="K622" s="89"/>
      <c r="L622" s="89"/>
      <c r="M622" s="89"/>
      <c r="N622" s="89"/>
      <c r="O622" s="89"/>
      <c r="P622" s="89"/>
      <c r="Q622" s="89"/>
      <c r="R622" s="89"/>
      <c r="S622" s="89"/>
      <c r="T622" s="89"/>
      <c r="U622" s="89"/>
      <c r="V622" s="89"/>
      <c r="W622" s="89"/>
      <c r="X622" s="89"/>
      <c r="Y622" s="89"/>
      <c r="Z622" s="89"/>
      <c r="AA622" s="89"/>
      <c r="AB622" s="89"/>
      <c r="AC622" s="89"/>
      <c r="AD622" s="89"/>
    </row>
    <row r="623">
      <c r="A623" s="89"/>
      <c r="B623" s="89"/>
      <c r="C623" s="140"/>
      <c r="D623" s="89"/>
      <c r="E623" s="89"/>
      <c r="F623" s="89"/>
      <c r="G623" s="89"/>
      <c r="H623" s="89"/>
      <c r="I623" s="89"/>
      <c r="J623" s="89"/>
      <c r="K623" s="89"/>
      <c r="L623" s="89"/>
      <c r="M623" s="89"/>
      <c r="N623" s="89"/>
      <c r="O623" s="89"/>
      <c r="P623" s="89"/>
      <c r="Q623" s="89"/>
      <c r="R623" s="89"/>
      <c r="S623" s="89"/>
      <c r="T623" s="89"/>
      <c r="U623" s="89"/>
      <c r="V623" s="89"/>
      <c r="W623" s="89"/>
      <c r="X623" s="89"/>
      <c r="Y623" s="89"/>
      <c r="Z623" s="89"/>
      <c r="AA623" s="89"/>
      <c r="AB623" s="89"/>
      <c r="AC623" s="89"/>
      <c r="AD623" s="89"/>
    </row>
    <row r="624">
      <c r="A624" s="89"/>
      <c r="B624" s="89"/>
      <c r="C624" s="140"/>
      <c r="D624" s="89"/>
      <c r="E624" s="89"/>
      <c r="F624" s="89"/>
      <c r="G624" s="89"/>
      <c r="H624" s="89"/>
      <c r="I624" s="89"/>
      <c r="J624" s="89"/>
      <c r="K624" s="89"/>
      <c r="L624" s="89"/>
      <c r="M624" s="89"/>
      <c r="N624" s="89"/>
      <c r="O624" s="89"/>
      <c r="P624" s="89"/>
      <c r="Q624" s="89"/>
      <c r="R624" s="89"/>
      <c r="S624" s="89"/>
      <c r="T624" s="89"/>
      <c r="U624" s="89"/>
      <c r="V624" s="89"/>
      <c r="W624" s="89"/>
      <c r="X624" s="89"/>
      <c r="Y624" s="89"/>
      <c r="Z624" s="89"/>
      <c r="AA624" s="89"/>
      <c r="AB624" s="89"/>
      <c r="AC624" s="89"/>
      <c r="AD624" s="89"/>
    </row>
    <row r="625">
      <c r="A625" s="89"/>
      <c r="B625" s="89"/>
      <c r="C625" s="140"/>
      <c r="D625" s="89"/>
      <c r="E625" s="89"/>
      <c r="F625" s="89"/>
      <c r="G625" s="89"/>
      <c r="H625" s="89"/>
      <c r="I625" s="89"/>
      <c r="J625" s="89"/>
      <c r="K625" s="89"/>
      <c r="L625" s="89"/>
      <c r="M625" s="89"/>
      <c r="N625" s="89"/>
      <c r="O625" s="89"/>
      <c r="P625" s="89"/>
      <c r="Q625" s="89"/>
      <c r="R625" s="89"/>
      <c r="S625" s="89"/>
      <c r="T625" s="89"/>
      <c r="U625" s="89"/>
      <c r="V625" s="89"/>
      <c r="W625" s="89"/>
      <c r="X625" s="89"/>
      <c r="Y625" s="89"/>
      <c r="Z625" s="89"/>
      <c r="AA625" s="89"/>
      <c r="AB625" s="89"/>
      <c r="AC625" s="89"/>
      <c r="AD625" s="89"/>
    </row>
    <row r="626">
      <c r="A626" s="89"/>
      <c r="B626" s="89"/>
      <c r="C626" s="140"/>
      <c r="D626" s="89"/>
      <c r="E626" s="89"/>
      <c r="F626" s="89"/>
      <c r="G626" s="89"/>
      <c r="H626" s="89"/>
      <c r="I626" s="89"/>
      <c r="J626" s="89"/>
      <c r="K626" s="89"/>
      <c r="L626" s="89"/>
      <c r="M626" s="89"/>
      <c r="N626" s="89"/>
      <c r="O626" s="89"/>
      <c r="P626" s="89"/>
      <c r="Q626" s="89"/>
      <c r="R626" s="89"/>
      <c r="S626" s="89"/>
      <c r="T626" s="89"/>
      <c r="U626" s="89"/>
      <c r="V626" s="89"/>
      <c r="W626" s="89"/>
      <c r="X626" s="89"/>
      <c r="Y626" s="89"/>
      <c r="Z626" s="89"/>
      <c r="AA626" s="89"/>
      <c r="AB626" s="89"/>
      <c r="AC626" s="89"/>
      <c r="AD626" s="89"/>
    </row>
    <row r="627">
      <c r="A627" s="89"/>
      <c r="B627" s="89"/>
      <c r="C627" s="140"/>
      <c r="D627" s="89"/>
      <c r="E627" s="89"/>
      <c r="F627" s="89"/>
      <c r="G627" s="89"/>
      <c r="H627" s="89"/>
      <c r="I627" s="89"/>
      <c r="J627" s="89"/>
      <c r="K627" s="89"/>
      <c r="L627" s="89"/>
      <c r="M627" s="89"/>
      <c r="N627" s="89"/>
      <c r="O627" s="89"/>
      <c r="P627" s="89"/>
      <c r="Q627" s="89"/>
      <c r="R627" s="89"/>
      <c r="S627" s="89"/>
      <c r="T627" s="89"/>
      <c r="U627" s="89"/>
      <c r="V627" s="89"/>
      <c r="W627" s="89"/>
      <c r="X627" s="89"/>
      <c r="Y627" s="89"/>
      <c r="Z627" s="89"/>
      <c r="AA627" s="89"/>
      <c r="AB627" s="89"/>
      <c r="AC627" s="89"/>
      <c r="AD627" s="89"/>
    </row>
    <row r="628">
      <c r="A628" s="89"/>
      <c r="B628" s="89"/>
      <c r="C628" s="140"/>
      <c r="D628" s="89"/>
      <c r="E628" s="89"/>
      <c r="F628" s="89"/>
      <c r="G628" s="89"/>
      <c r="H628" s="89"/>
      <c r="I628" s="89"/>
      <c r="J628" s="89"/>
      <c r="K628" s="89"/>
      <c r="L628" s="89"/>
      <c r="M628" s="89"/>
      <c r="N628" s="89"/>
      <c r="O628" s="89"/>
      <c r="P628" s="89"/>
      <c r="Q628" s="89"/>
      <c r="R628" s="89"/>
      <c r="S628" s="89"/>
      <c r="T628" s="89"/>
      <c r="U628" s="89"/>
      <c r="V628" s="89"/>
      <c r="W628" s="89"/>
      <c r="X628" s="89"/>
      <c r="Y628" s="89"/>
      <c r="Z628" s="89"/>
      <c r="AA628" s="89"/>
      <c r="AB628" s="89"/>
      <c r="AC628" s="89"/>
      <c r="AD628" s="89"/>
    </row>
    <row r="629">
      <c r="A629" s="89"/>
      <c r="B629" s="89"/>
      <c r="C629" s="140"/>
      <c r="D629" s="89"/>
      <c r="E629" s="89"/>
      <c r="F629" s="89"/>
      <c r="G629" s="89"/>
      <c r="H629" s="89"/>
      <c r="I629" s="89"/>
      <c r="J629" s="89"/>
      <c r="K629" s="89"/>
      <c r="L629" s="89"/>
      <c r="M629" s="89"/>
      <c r="N629" s="89"/>
      <c r="O629" s="89"/>
      <c r="P629" s="89"/>
      <c r="Q629" s="89"/>
      <c r="R629" s="89"/>
      <c r="S629" s="89"/>
      <c r="T629" s="89"/>
      <c r="U629" s="89"/>
      <c r="V629" s="89"/>
      <c r="W629" s="89"/>
      <c r="X629" s="89"/>
      <c r="Y629" s="89"/>
      <c r="Z629" s="89"/>
      <c r="AA629" s="89"/>
      <c r="AB629" s="89"/>
      <c r="AC629" s="89"/>
      <c r="AD629" s="89"/>
    </row>
    <row r="630">
      <c r="A630" s="89"/>
      <c r="B630" s="89"/>
      <c r="C630" s="140"/>
      <c r="D630" s="89"/>
      <c r="E630" s="89"/>
      <c r="F630" s="89"/>
      <c r="G630" s="89"/>
      <c r="H630" s="89"/>
      <c r="I630" s="89"/>
      <c r="J630" s="89"/>
      <c r="K630" s="89"/>
      <c r="L630" s="89"/>
      <c r="M630" s="89"/>
      <c r="N630" s="89"/>
      <c r="O630" s="89"/>
      <c r="P630" s="89"/>
      <c r="Q630" s="89"/>
      <c r="R630" s="89"/>
      <c r="S630" s="89"/>
      <c r="T630" s="89"/>
      <c r="U630" s="89"/>
      <c r="V630" s="89"/>
      <c r="W630" s="89"/>
      <c r="X630" s="89"/>
      <c r="Y630" s="89"/>
      <c r="Z630" s="89"/>
      <c r="AA630" s="89"/>
      <c r="AB630" s="89"/>
      <c r="AC630" s="89"/>
      <c r="AD630" s="89"/>
    </row>
    <row r="631">
      <c r="A631" s="89"/>
      <c r="B631" s="89"/>
      <c r="C631" s="140"/>
      <c r="D631" s="89"/>
      <c r="E631" s="89"/>
      <c r="F631" s="89"/>
      <c r="G631" s="89"/>
      <c r="H631" s="89"/>
      <c r="I631" s="89"/>
      <c r="J631" s="89"/>
      <c r="K631" s="89"/>
      <c r="L631" s="89"/>
      <c r="M631" s="89"/>
      <c r="N631" s="89"/>
      <c r="O631" s="89"/>
      <c r="P631" s="89"/>
      <c r="Q631" s="89"/>
      <c r="R631" s="89"/>
      <c r="S631" s="89"/>
      <c r="T631" s="89"/>
      <c r="U631" s="89"/>
      <c r="V631" s="89"/>
      <c r="W631" s="89"/>
      <c r="X631" s="89"/>
      <c r="Y631" s="89"/>
      <c r="Z631" s="89"/>
      <c r="AA631" s="89"/>
      <c r="AB631" s="89"/>
      <c r="AC631" s="89"/>
      <c r="AD631" s="89"/>
    </row>
    <row r="632">
      <c r="A632" s="89"/>
      <c r="B632" s="89"/>
      <c r="C632" s="140"/>
      <c r="D632" s="89"/>
      <c r="E632" s="89"/>
      <c r="F632" s="89"/>
      <c r="G632" s="89"/>
      <c r="H632" s="89"/>
      <c r="I632" s="89"/>
      <c r="J632" s="89"/>
      <c r="K632" s="89"/>
      <c r="L632" s="89"/>
      <c r="M632" s="89"/>
      <c r="N632" s="89"/>
      <c r="O632" s="89"/>
      <c r="P632" s="89"/>
      <c r="Q632" s="89"/>
      <c r="R632" s="89"/>
      <c r="S632" s="89"/>
      <c r="T632" s="89"/>
      <c r="U632" s="89"/>
      <c r="V632" s="89"/>
      <c r="W632" s="89"/>
      <c r="X632" s="89"/>
      <c r="Y632" s="89"/>
      <c r="Z632" s="89"/>
      <c r="AA632" s="89"/>
      <c r="AB632" s="89"/>
      <c r="AC632" s="89"/>
      <c r="AD632" s="89"/>
    </row>
    <row r="633">
      <c r="A633" s="89"/>
      <c r="B633" s="89"/>
      <c r="C633" s="140"/>
      <c r="D633" s="89"/>
      <c r="E633" s="89"/>
      <c r="F633" s="89"/>
      <c r="G633" s="89"/>
      <c r="H633" s="89"/>
      <c r="I633" s="89"/>
      <c r="J633" s="89"/>
      <c r="K633" s="89"/>
      <c r="L633" s="89"/>
      <c r="M633" s="89"/>
      <c r="N633" s="89"/>
      <c r="O633" s="89"/>
      <c r="P633" s="89"/>
      <c r="Q633" s="89"/>
      <c r="R633" s="89"/>
      <c r="S633" s="89"/>
      <c r="T633" s="89"/>
      <c r="U633" s="89"/>
      <c r="V633" s="89"/>
      <c r="W633" s="89"/>
      <c r="X633" s="89"/>
      <c r="Y633" s="89"/>
      <c r="Z633" s="89"/>
      <c r="AA633" s="89"/>
      <c r="AB633" s="89"/>
      <c r="AC633" s="89"/>
      <c r="AD633" s="89"/>
    </row>
    <row r="634">
      <c r="A634" s="89"/>
      <c r="B634" s="89"/>
      <c r="C634" s="140"/>
      <c r="D634" s="89"/>
      <c r="E634" s="89"/>
      <c r="F634" s="89"/>
      <c r="G634" s="89"/>
      <c r="H634" s="89"/>
      <c r="I634" s="89"/>
      <c r="J634" s="89"/>
      <c r="K634" s="89"/>
      <c r="L634" s="89"/>
      <c r="M634" s="89"/>
      <c r="N634" s="89"/>
      <c r="O634" s="89"/>
      <c r="P634" s="89"/>
      <c r="Q634" s="89"/>
      <c r="R634" s="89"/>
      <c r="S634" s="89"/>
      <c r="T634" s="89"/>
      <c r="U634" s="89"/>
      <c r="V634" s="89"/>
      <c r="W634" s="89"/>
      <c r="X634" s="89"/>
      <c r="Y634" s="89"/>
      <c r="Z634" s="89"/>
      <c r="AA634" s="89"/>
      <c r="AB634" s="89"/>
      <c r="AC634" s="89"/>
      <c r="AD634" s="89"/>
    </row>
    <row r="635">
      <c r="A635" s="89"/>
      <c r="B635" s="89"/>
      <c r="C635" s="140"/>
      <c r="D635" s="89"/>
      <c r="E635" s="89"/>
      <c r="F635" s="89"/>
      <c r="G635" s="89"/>
      <c r="H635" s="89"/>
      <c r="I635" s="89"/>
      <c r="J635" s="89"/>
      <c r="K635" s="89"/>
      <c r="L635" s="89"/>
      <c r="M635" s="89"/>
      <c r="N635" s="89"/>
      <c r="O635" s="89"/>
      <c r="P635" s="89"/>
      <c r="Q635" s="89"/>
      <c r="R635" s="89"/>
      <c r="S635" s="89"/>
      <c r="T635" s="89"/>
      <c r="U635" s="89"/>
      <c r="V635" s="89"/>
      <c r="W635" s="89"/>
      <c r="X635" s="89"/>
      <c r="Y635" s="89"/>
      <c r="Z635" s="89"/>
      <c r="AA635" s="89"/>
      <c r="AB635" s="89"/>
      <c r="AC635" s="89"/>
      <c r="AD635" s="89"/>
    </row>
    <row r="636">
      <c r="A636" s="89"/>
      <c r="B636" s="89"/>
      <c r="C636" s="140"/>
      <c r="D636" s="89"/>
      <c r="E636" s="89"/>
      <c r="F636" s="89"/>
      <c r="G636" s="89"/>
      <c r="H636" s="89"/>
      <c r="I636" s="89"/>
      <c r="J636" s="89"/>
      <c r="K636" s="89"/>
      <c r="L636" s="89"/>
      <c r="M636" s="89"/>
      <c r="N636" s="89"/>
      <c r="O636" s="89"/>
      <c r="P636" s="89"/>
      <c r="Q636" s="89"/>
      <c r="R636" s="89"/>
      <c r="S636" s="89"/>
      <c r="T636" s="89"/>
      <c r="U636" s="89"/>
      <c r="V636" s="89"/>
      <c r="W636" s="89"/>
      <c r="X636" s="89"/>
      <c r="Y636" s="89"/>
      <c r="Z636" s="89"/>
      <c r="AA636" s="89"/>
      <c r="AB636" s="89"/>
      <c r="AC636" s="89"/>
      <c r="AD636" s="89"/>
    </row>
    <row r="637">
      <c r="A637" s="89"/>
      <c r="B637" s="89"/>
      <c r="C637" s="140"/>
      <c r="D637" s="89"/>
      <c r="E637" s="89"/>
      <c r="F637" s="89"/>
      <c r="G637" s="89"/>
      <c r="H637" s="89"/>
      <c r="I637" s="89"/>
      <c r="J637" s="89"/>
      <c r="K637" s="89"/>
      <c r="L637" s="89"/>
      <c r="M637" s="89"/>
      <c r="N637" s="89"/>
      <c r="O637" s="89"/>
      <c r="P637" s="89"/>
      <c r="Q637" s="89"/>
      <c r="R637" s="89"/>
      <c r="S637" s="89"/>
      <c r="T637" s="89"/>
      <c r="U637" s="89"/>
      <c r="V637" s="89"/>
      <c r="W637" s="89"/>
      <c r="X637" s="89"/>
      <c r="Y637" s="89"/>
      <c r="Z637" s="89"/>
      <c r="AA637" s="89"/>
      <c r="AB637" s="89"/>
      <c r="AC637" s="89"/>
      <c r="AD637" s="89"/>
    </row>
    <row r="638">
      <c r="A638" s="89"/>
      <c r="B638" s="89"/>
      <c r="C638" s="140"/>
      <c r="D638" s="89"/>
      <c r="E638" s="89"/>
      <c r="F638" s="89"/>
      <c r="G638" s="89"/>
      <c r="H638" s="89"/>
      <c r="I638" s="89"/>
      <c r="J638" s="89"/>
      <c r="K638" s="89"/>
      <c r="L638" s="89"/>
      <c r="M638" s="89"/>
      <c r="N638" s="89"/>
      <c r="O638" s="89"/>
      <c r="P638" s="89"/>
      <c r="Q638" s="89"/>
      <c r="R638" s="89"/>
      <c r="S638" s="89"/>
      <c r="T638" s="89"/>
      <c r="U638" s="89"/>
      <c r="V638" s="89"/>
      <c r="W638" s="89"/>
      <c r="X638" s="89"/>
      <c r="Y638" s="89"/>
      <c r="Z638" s="89"/>
      <c r="AA638" s="89"/>
      <c r="AB638" s="89"/>
      <c r="AC638" s="89"/>
      <c r="AD638" s="89"/>
    </row>
    <row r="639">
      <c r="A639" s="89"/>
      <c r="B639" s="89"/>
      <c r="C639" s="140"/>
      <c r="D639" s="89"/>
      <c r="E639" s="89"/>
      <c r="F639" s="89"/>
      <c r="G639" s="89"/>
      <c r="H639" s="89"/>
      <c r="I639" s="89"/>
      <c r="J639" s="89"/>
      <c r="K639" s="89"/>
      <c r="L639" s="89"/>
      <c r="M639" s="89"/>
      <c r="N639" s="89"/>
      <c r="O639" s="89"/>
      <c r="P639" s="89"/>
      <c r="Q639" s="89"/>
      <c r="R639" s="89"/>
      <c r="S639" s="89"/>
      <c r="T639" s="89"/>
      <c r="U639" s="89"/>
      <c r="V639" s="89"/>
      <c r="W639" s="89"/>
      <c r="X639" s="89"/>
      <c r="Y639" s="89"/>
      <c r="Z639" s="89"/>
      <c r="AA639" s="89"/>
      <c r="AB639" s="89"/>
      <c r="AC639" s="89"/>
      <c r="AD639" s="89"/>
    </row>
    <row r="640">
      <c r="A640" s="89"/>
      <c r="B640" s="89"/>
      <c r="C640" s="140"/>
      <c r="D640" s="89"/>
      <c r="E640" s="89"/>
      <c r="F640" s="89"/>
      <c r="G640" s="89"/>
      <c r="H640" s="89"/>
      <c r="I640" s="89"/>
      <c r="J640" s="89"/>
      <c r="K640" s="89"/>
      <c r="L640" s="89"/>
      <c r="M640" s="89"/>
      <c r="N640" s="89"/>
      <c r="O640" s="89"/>
      <c r="P640" s="89"/>
      <c r="Q640" s="89"/>
      <c r="R640" s="89"/>
      <c r="S640" s="89"/>
      <c r="T640" s="89"/>
      <c r="U640" s="89"/>
      <c r="V640" s="89"/>
      <c r="W640" s="89"/>
      <c r="X640" s="89"/>
      <c r="Y640" s="89"/>
      <c r="Z640" s="89"/>
      <c r="AA640" s="89"/>
      <c r="AB640" s="89"/>
      <c r="AC640" s="89"/>
      <c r="AD640" s="89"/>
    </row>
    <row r="641">
      <c r="A641" s="89"/>
      <c r="B641" s="89"/>
      <c r="C641" s="140"/>
      <c r="D641" s="89"/>
      <c r="E641" s="89"/>
      <c r="F641" s="89"/>
      <c r="G641" s="89"/>
      <c r="H641" s="89"/>
      <c r="I641" s="89"/>
      <c r="J641" s="89"/>
      <c r="K641" s="89"/>
      <c r="L641" s="89"/>
      <c r="M641" s="89"/>
      <c r="N641" s="89"/>
      <c r="O641" s="89"/>
      <c r="P641" s="89"/>
      <c r="Q641" s="89"/>
      <c r="R641" s="89"/>
      <c r="S641" s="89"/>
      <c r="T641" s="89"/>
      <c r="U641" s="89"/>
      <c r="V641" s="89"/>
      <c r="W641" s="89"/>
      <c r="X641" s="89"/>
      <c r="Y641" s="89"/>
      <c r="Z641" s="89"/>
      <c r="AA641" s="89"/>
      <c r="AB641" s="89"/>
      <c r="AC641" s="89"/>
      <c r="AD641" s="89"/>
    </row>
    <row r="642">
      <c r="A642" s="89"/>
      <c r="B642" s="89"/>
      <c r="C642" s="140"/>
      <c r="D642" s="89"/>
      <c r="E642" s="89"/>
      <c r="F642" s="89"/>
      <c r="G642" s="89"/>
      <c r="H642" s="89"/>
      <c r="I642" s="89"/>
      <c r="J642" s="89"/>
      <c r="K642" s="89"/>
      <c r="L642" s="89"/>
      <c r="M642" s="89"/>
      <c r="N642" s="89"/>
      <c r="O642" s="89"/>
      <c r="P642" s="89"/>
      <c r="Q642" s="89"/>
      <c r="R642" s="89"/>
      <c r="S642" s="89"/>
      <c r="T642" s="89"/>
      <c r="U642" s="89"/>
      <c r="V642" s="89"/>
      <c r="W642" s="89"/>
      <c r="X642" s="89"/>
      <c r="Y642" s="89"/>
      <c r="Z642" s="89"/>
      <c r="AA642" s="89"/>
      <c r="AB642" s="89"/>
      <c r="AC642" s="89"/>
      <c r="AD642" s="89"/>
    </row>
    <row r="643">
      <c r="A643" s="89"/>
      <c r="B643" s="89"/>
      <c r="C643" s="140"/>
      <c r="D643" s="89"/>
      <c r="E643" s="89"/>
      <c r="F643" s="89"/>
      <c r="G643" s="89"/>
      <c r="H643" s="89"/>
      <c r="I643" s="89"/>
      <c r="J643" s="89"/>
      <c r="K643" s="89"/>
      <c r="L643" s="89"/>
      <c r="M643" s="89"/>
      <c r="N643" s="89"/>
      <c r="O643" s="89"/>
      <c r="P643" s="89"/>
      <c r="Q643" s="89"/>
      <c r="R643" s="89"/>
      <c r="S643" s="89"/>
      <c r="T643" s="89"/>
      <c r="U643" s="89"/>
      <c r="V643" s="89"/>
      <c r="W643" s="89"/>
      <c r="X643" s="89"/>
      <c r="Y643" s="89"/>
      <c r="Z643" s="89"/>
      <c r="AA643" s="89"/>
      <c r="AB643" s="89"/>
      <c r="AC643" s="89"/>
      <c r="AD643" s="89"/>
    </row>
    <row r="644">
      <c r="A644" s="89"/>
      <c r="B644" s="89"/>
      <c r="C644" s="140"/>
      <c r="D644" s="89"/>
      <c r="E644" s="89"/>
      <c r="F644" s="89"/>
      <c r="G644" s="89"/>
      <c r="H644" s="89"/>
      <c r="I644" s="89"/>
      <c r="J644" s="89"/>
      <c r="K644" s="89"/>
      <c r="L644" s="89"/>
      <c r="M644" s="89"/>
      <c r="N644" s="89"/>
      <c r="O644" s="89"/>
      <c r="P644" s="89"/>
      <c r="Q644" s="89"/>
      <c r="R644" s="89"/>
      <c r="S644" s="89"/>
      <c r="T644" s="89"/>
      <c r="U644" s="89"/>
      <c r="V644" s="89"/>
      <c r="W644" s="89"/>
      <c r="X644" s="89"/>
      <c r="Y644" s="89"/>
      <c r="Z644" s="89"/>
      <c r="AA644" s="89"/>
      <c r="AB644" s="89"/>
      <c r="AC644" s="89"/>
      <c r="AD644" s="89"/>
    </row>
    <row r="645">
      <c r="A645" s="89"/>
      <c r="B645" s="89"/>
      <c r="C645" s="140"/>
      <c r="D645" s="89"/>
      <c r="E645" s="89"/>
      <c r="F645" s="89"/>
      <c r="G645" s="89"/>
      <c r="H645" s="89"/>
      <c r="I645" s="89"/>
      <c r="J645" s="89"/>
      <c r="K645" s="89"/>
      <c r="L645" s="89"/>
      <c r="M645" s="89"/>
      <c r="N645" s="89"/>
      <c r="O645" s="89"/>
      <c r="P645" s="89"/>
      <c r="Q645" s="89"/>
      <c r="R645" s="89"/>
      <c r="S645" s="89"/>
      <c r="T645" s="89"/>
      <c r="U645" s="89"/>
      <c r="V645" s="89"/>
      <c r="W645" s="89"/>
      <c r="X645" s="89"/>
      <c r="Y645" s="89"/>
      <c r="Z645" s="89"/>
      <c r="AA645" s="89"/>
      <c r="AB645" s="89"/>
      <c r="AC645" s="89"/>
      <c r="AD645" s="89"/>
    </row>
    <row r="646">
      <c r="A646" s="89"/>
      <c r="B646" s="89"/>
      <c r="C646" s="140"/>
      <c r="D646" s="89"/>
      <c r="E646" s="89"/>
      <c r="F646" s="89"/>
      <c r="G646" s="89"/>
      <c r="H646" s="89"/>
      <c r="I646" s="89"/>
      <c r="J646" s="89"/>
      <c r="K646" s="89"/>
      <c r="L646" s="89"/>
      <c r="M646" s="89"/>
      <c r="N646" s="89"/>
      <c r="O646" s="89"/>
      <c r="P646" s="89"/>
      <c r="Q646" s="89"/>
      <c r="R646" s="89"/>
      <c r="S646" s="89"/>
      <c r="T646" s="89"/>
      <c r="U646" s="89"/>
      <c r="V646" s="89"/>
      <c r="W646" s="89"/>
      <c r="X646" s="89"/>
      <c r="Y646" s="89"/>
      <c r="Z646" s="89"/>
      <c r="AA646" s="89"/>
      <c r="AB646" s="89"/>
      <c r="AC646" s="89"/>
      <c r="AD646" s="89"/>
    </row>
    <row r="647">
      <c r="A647" s="89"/>
      <c r="B647" s="89"/>
      <c r="C647" s="140"/>
      <c r="D647" s="89"/>
      <c r="E647" s="89"/>
      <c r="F647" s="89"/>
      <c r="G647" s="89"/>
      <c r="H647" s="89"/>
      <c r="I647" s="89"/>
      <c r="J647" s="89"/>
      <c r="K647" s="89"/>
      <c r="L647" s="89"/>
      <c r="M647" s="89"/>
      <c r="N647" s="89"/>
      <c r="O647" s="89"/>
      <c r="P647" s="89"/>
      <c r="Q647" s="89"/>
      <c r="R647" s="89"/>
      <c r="S647" s="89"/>
      <c r="T647" s="89"/>
      <c r="U647" s="89"/>
      <c r="V647" s="89"/>
      <c r="W647" s="89"/>
      <c r="X647" s="89"/>
      <c r="Y647" s="89"/>
      <c r="Z647" s="89"/>
      <c r="AA647" s="89"/>
      <c r="AB647" s="89"/>
      <c r="AC647" s="89"/>
      <c r="AD647" s="89"/>
    </row>
    <row r="648">
      <c r="A648" s="89"/>
      <c r="B648" s="89"/>
      <c r="C648" s="140"/>
      <c r="D648" s="89"/>
      <c r="E648" s="89"/>
      <c r="F648" s="89"/>
      <c r="G648" s="89"/>
      <c r="H648" s="89"/>
      <c r="I648" s="89"/>
      <c r="J648" s="89"/>
      <c r="K648" s="89"/>
      <c r="L648" s="89"/>
      <c r="M648" s="89"/>
      <c r="N648" s="89"/>
      <c r="O648" s="89"/>
      <c r="P648" s="89"/>
      <c r="Q648" s="89"/>
      <c r="R648" s="89"/>
      <c r="S648" s="89"/>
      <c r="T648" s="89"/>
      <c r="U648" s="89"/>
      <c r="V648" s="89"/>
      <c r="W648" s="89"/>
      <c r="X648" s="89"/>
      <c r="Y648" s="89"/>
      <c r="Z648" s="89"/>
      <c r="AA648" s="89"/>
      <c r="AB648" s="89"/>
      <c r="AC648" s="89"/>
      <c r="AD648" s="89"/>
    </row>
    <row r="649">
      <c r="A649" s="89"/>
      <c r="B649" s="89"/>
      <c r="C649" s="140"/>
      <c r="D649" s="89"/>
      <c r="E649" s="89"/>
      <c r="F649" s="89"/>
      <c r="G649" s="89"/>
      <c r="H649" s="89"/>
      <c r="I649" s="89"/>
      <c r="J649" s="89"/>
      <c r="K649" s="89"/>
      <c r="L649" s="89"/>
      <c r="M649" s="89"/>
      <c r="N649" s="89"/>
      <c r="O649" s="89"/>
      <c r="P649" s="89"/>
      <c r="Q649" s="89"/>
      <c r="R649" s="89"/>
      <c r="S649" s="89"/>
      <c r="T649" s="89"/>
      <c r="U649" s="89"/>
      <c r="V649" s="89"/>
      <c r="W649" s="89"/>
      <c r="X649" s="89"/>
      <c r="Y649" s="89"/>
      <c r="Z649" s="89"/>
      <c r="AA649" s="89"/>
      <c r="AB649" s="89"/>
      <c r="AC649" s="89"/>
      <c r="AD649" s="89"/>
    </row>
    <row r="650">
      <c r="A650" s="89"/>
      <c r="B650" s="89"/>
      <c r="C650" s="140"/>
      <c r="D650" s="89"/>
      <c r="E650" s="89"/>
      <c r="F650" s="89"/>
      <c r="G650" s="89"/>
      <c r="H650" s="89"/>
      <c r="I650" s="89"/>
      <c r="J650" s="89"/>
      <c r="K650" s="89"/>
      <c r="L650" s="89"/>
      <c r="M650" s="89"/>
      <c r="N650" s="89"/>
      <c r="O650" s="89"/>
      <c r="P650" s="89"/>
      <c r="Q650" s="89"/>
      <c r="R650" s="89"/>
      <c r="S650" s="89"/>
      <c r="T650" s="89"/>
      <c r="U650" s="89"/>
      <c r="V650" s="89"/>
      <c r="W650" s="89"/>
      <c r="X650" s="89"/>
      <c r="Y650" s="89"/>
      <c r="Z650" s="89"/>
      <c r="AA650" s="89"/>
      <c r="AB650" s="89"/>
      <c r="AC650" s="89"/>
      <c r="AD650" s="89"/>
    </row>
    <row r="651">
      <c r="A651" s="89"/>
      <c r="B651" s="89"/>
      <c r="C651" s="140"/>
      <c r="D651" s="89"/>
      <c r="E651" s="89"/>
      <c r="F651" s="89"/>
      <c r="G651" s="89"/>
      <c r="H651" s="89"/>
      <c r="I651" s="89"/>
      <c r="J651" s="89"/>
      <c r="K651" s="89"/>
      <c r="L651" s="89"/>
      <c r="M651" s="89"/>
      <c r="N651" s="89"/>
      <c r="O651" s="89"/>
      <c r="P651" s="89"/>
      <c r="Q651" s="89"/>
      <c r="R651" s="89"/>
      <c r="S651" s="89"/>
      <c r="T651" s="89"/>
      <c r="U651" s="89"/>
      <c r="V651" s="89"/>
      <c r="W651" s="89"/>
      <c r="X651" s="89"/>
      <c r="Y651" s="89"/>
      <c r="Z651" s="89"/>
      <c r="AA651" s="89"/>
      <c r="AB651" s="89"/>
      <c r="AC651" s="89"/>
      <c r="AD651" s="89"/>
    </row>
    <row r="652">
      <c r="A652" s="89"/>
      <c r="B652" s="89"/>
      <c r="C652" s="140"/>
      <c r="D652" s="89"/>
      <c r="E652" s="89"/>
      <c r="F652" s="89"/>
      <c r="G652" s="89"/>
      <c r="H652" s="89"/>
      <c r="I652" s="89"/>
      <c r="J652" s="89"/>
      <c r="K652" s="89"/>
      <c r="L652" s="89"/>
      <c r="M652" s="89"/>
      <c r="N652" s="89"/>
      <c r="O652" s="89"/>
      <c r="P652" s="89"/>
      <c r="Q652" s="89"/>
      <c r="R652" s="89"/>
      <c r="S652" s="89"/>
      <c r="T652" s="89"/>
      <c r="U652" s="89"/>
      <c r="V652" s="89"/>
      <c r="W652" s="89"/>
      <c r="X652" s="89"/>
      <c r="Y652" s="89"/>
      <c r="Z652" s="89"/>
      <c r="AA652" s="89"/>
      <c r="AB652" s="89"/>
      <c r="AC652" s="89"/>
      <c r="AD652" s="89"/>
    </row>
    <row r="653">
      <c r="A653" s="89"/>
      <c r="B653" s="89"/>
      <c r="C653" s="140"/>
      <c r="D653" s="89"/>
      <c r="E653" s="89"/>
      <c r="F653" s="89"/>
      <c r="G653" s="89"/>
      <c r="H653" s="89"/>
      <c r="I653" s="89"/>
      <c r="J653" s="89"/>
      <c r="K653" s="89"/>
      <c r="L653" s="89"/>
      <c r="M653" s="89"/>
      <c r="N653" s="89"/>
      <c r="O653" s="89"/>
      <c r="P653" s="89"/>
      <c r="Q653" s="89"/>
      <c r="R653" s="89"/>
      <c r="S653" s="89"/>
      <c r="T653" s="89"/>
      <c r="U653" s="89"/>
      <c r="V653" s="89"/>
      <c r="W653" s="89"/>
      <c r="X653" s="89"/>
      <c r="Y653" s="89"/>
      <c r="Z653" s="89"/>
      <c r="AA653" s="89"/>
      <c r="AB653" s="89"/>
      <c r="AC653" s="89"/>
      <c r="AD653" s="89"/>
    </row>
    <row r="654">
      <c r="A654" s="89"/>
      <c r="B654" s="89"/>
      <c r="C654" s="140"/>
      <c r="D654" s="89"/>
      <c r="E654" s="89"/>
      <c r="F654" s="89"/>
      <c r="G654" s="89"/>
      <c r="H654" s="89"/>
      <c r="I654" s="89"/>
      <c r="J654" s="89"/>
      <c r="K654" s="89"/>
      <c r="L654" s="89"/>
      <c r="M654" s="89"/>
      <c r="N654" s="89"/>
      <c r="O654" s="89"/>
      <c r="P654" s="89"/>
      <c r="Q654" s="89"/>
      <c r="R654" s="89"/>
      <c r="S654" s="89"/>
      <c r="T654" s="89"/>
      <c r="U654" s="89"/>
      <c r="V654" s="89"/>
      <c r="W654" s="89"/>
      <c r="X654" s="89"/>
      <c r="Y654" s="89"/>
      <c r="Z654" s="89"/>
      <c r="AA654" s="89"/>
      <c r="AB654" s="89"/>
      <c r="AC654" s="89"/>
      <c r="AD654" s="89"/>
    </row>
    <row r="655">
      <c r="A655" s="89"/>
      <c r="B655" s="89"/>
      <c r="C655" s="140"/>
      <c r="D655" s="89"/>
      <c r="E655" s="89"/>
      <c r="F655" s="89"/>
      <c r="G655" s="89"/>
      <c r="H655" s="89"/>
      <c r="I655" s="89"/>
      <c r="J655" s="89"/>
      <c r="K655" s="89"/>
      <c r="L655" s="89"/>
      <c r="M655" s="89"/>
      <c r="N655" s="89"/>
      <c r="O655" s="89"/>
      <c r="P655" s="89"/>
      <c r="Q655" s="89"/>
      <c r="R655" s="89"/>
      <c r="S655" s="89"/>
      <c r="T655" s="89"/>
      <c r="U655" s="89"/>
      <c r="V655" s="89"/>
      <c r="W655" s="89"/>
      <c r="X655" s="89"/>
      <c r="Y655" s="89"/>
      <c r="Z655" s="89"/>
      <c r="AA655" s="89"/>
      <c r="AB655" s="89"/>
      <c r="AC655" s="89"/>
      <c r="AD655" s="89"/>
    </row>
    <row r="656">
      <c r="A656" s="89"/>
      <c r="B656" s="89"/>
      <c r="C656" s="140"/>
      <c r="D656" s="89"/>
      <c r="E656" s="89"/>
      <c r="F656" s="89"/>
      <c r="G656" s="89"/>
      <c r="H656" s="89"/>
      <c r="I656" s="89"/>
      <c r="J656" s="89"/>
      <c r="K656" s="89"/>
      <c r="L656" s="89"/>
      <c r="M656" s="89"/>
      <c r="N656" s="89"/>
      <c r="O656" s="89"/>
      <c r="P656" s="89"/>
      <c r="Q656" s="89"/>
      <c r="R656" s="89"/>
      <c r="S656" s="89"/>
      <c r="T656" s="89"/>
      <c r="U656" s="89"/>
      <c r="V656" s="89"/>
      <c r="W656" s="89"/>
      <c r="X656" s="89"/>
      <c r="Y656" s="89"/>
      <c r="Z656" s="89"/>
      <c r="AA656" s="89"/>
      <c r="AB656" s="89"/>
      <c r="AC656" s="89"/>
      <c r="AD656" s="89"/>
    </row>
    <row r="657">
      <c r="A657" s="89"/>
      <c r="B657" s="89"/>
      <c r="C657" s="140"/>
      <c r="D657" s="89"/>
      <c r="E657" s="89"/>
      <c r="F657" s="89"/>
      <c r="G657" s="89"/>
      <c r="H657" s="89"/>
      <c r="I657" s="89"/>
      <c r="J657" s="89"/>
      <c r="K657" s="89"/>
      <c r="L657" s="89"/>
      <c r="M657" s="89"/>
      <c r="N657" s="89"/>
      <c r="O657" s="89"/>
      <c r="P657" s="89"/>
      <c r="Q657" s="89"/>
      <c r="R657" s="89"/>
      <c r="S657" s="89"/>
      <c r="T657" s="89"/>
      <c r="U657" s="89"/>
      <c r="V657" s="89"/>
      <c r="W657" s="89"/>
      <c r="X657" s="89"/>
      <c r="Y657" s="89"/>
      <c r="Z657" s="89"/>
      <c r="AA657" s="89"/>
      <c r="AB657" s="89"/>
      <c r="AC657" s="89"/>
      <c r="AD657" s="89"/>
    </row>
    <row r="658">
      <c r="A658" s="89"/>
      <c r="B658" s="89"/>
      <c r="C658" s="140"/>
      <c r="D658" s="89"/>
      <c r="E658" s="89"/>
      <c r="F658" s="89"/>
      <c r="G658" s="89"/>
      <c r="H658" s="89"/>
      <c r="I658" s="89"/>
      <c r="J658" s="89"/>
      <c r="K658" s="89"/>
      <c r="L658" s="89"/>
      <c r="M658" s="89"/>
      <c r="N658" s="89"/>
      <c r="O658" s="89"/>
      <c r="P658" s="89"/>
      <c r="Q658" s="89"/>
      <c r="R658" s="89"/>
      <c r="S658" s="89"/>
      <c r="T658" s="89"/>
      <c r="U658" s="89"/>
      <c r="V658" s="89"/>
      <c r="W658" s="89"/>
      <c r="X658" s="89"/>
      <c r="Y658" s="89"/>
      <c r="Z658" s="89"/>
      <c r="AA658" s="89"/>
      <c r="AB658" s="89"/>
      <c r="AC658" s="89"/>
      <c r="AD658" s="89"/>
    </row>
    <row r="659">
      <c r="A659" s="89"/>
      <c r="B659" s="89"/>
      <c r="C659" s="140"/>
      <c r="D659" s="89"/>
      <c r="E659" s="89"/>
      <c r="F659" s="89"/>
      <c r="G659" s="89"/>
      <c r="H659" s="89"/>
      <c r="I659" s="89"/>
      <c r="J659" s="89"/>
      <c r="K659" s="89"/>
      <c r="L659" s="89"/>
      <c r="M659" s="89"/>
      <c r="N659" s="89"/>
      <c r="O659" s="89"/>
      <c r="P659" s="89"/>
      <c r="Q659" s="89"/>
      <c r="R659" s="89"/>
      <c r="S659" s="89"/>
      <c r="T659" s="89"/>
      <c r="U659" s="89"/>
      <c r="V659" s="89"/>
      <c r="W659" s="89"/>
      <c r="X659" s="89"/>
      <c r="Y659" s="89"/>
      <c r="Z659" s="89"/>
      <c r="AA659" s="89"/>
      <c r="AB659" s="89"/>
      <c r="AC659" s="89"/>
      <c r="AD659" s="89"/>
    </row>
    <row r="660">
      <c r="A660" s="89"/>
      <c r="B660" s="89"/>
      <c r="C660" s="140"/>
      <c r="D660" s="89"/>
      <c r="E660" s="89"/>
      <c r="F660" s="89"/>
      <c r="G660" s="89"/>
      <c r="H660" s="89"/>
      <c r="I660" s="89"/>
      <c r="J660" s="89"/>
      <c r="K660" s="89"/>
      <c r="L660" s="89"/>
      <c r="M660" s="89"/>
      <c r="N660" s="89"/>
      <c r="O660" s="89"/>
      <c r="P660" s="89"/>
      <c r="Q660" s="89"/>
      <c r="R660" s="89"/>
      <c r="S660" s="89"/>
      <c r="T660" s="89"/>
      <c r="U660" s="89"/>
      <c r="V660" s="89"/>
      <c r="W660" s="89"/>
      <c r="X660" s="89"/>
      <c r="Y660" s="89"/>
      <c r="Z660" s="89"/>
      <c r="AA660" s="89"/>
      <c r="AB660" s="89"/>
      <c r="AC660" s="89"/>
      <c r="AD660" s="89"/>
    </row>
    <row r="661">
      <c r="A661" s="89"/>
      <c r="B661" s="89"/>
      <c r="C661" s="140"/>
      <c r="D661" s="89"/>
      <c r="E661" s="89"/>
      <c r="F661" s="89"/>
      <c r="G661" s="89"/>
      <c r="H661" s="89"/>
      <c r="I661" s="89"/>
      <c r="J661" s="89"/>
      <c r="K661" s="89"/>
      <c r="L661" s="89"/>
      <c r="M661" s="89"/>
      <c r="N661" s="89"/>
      <c r="O661" s="89"/>
      <c r="P661" s="89"/>
      <c r="Q661" s="89"/>
      <c r="R661" s="89"/>
      <c r="S661" s="89"/>
      <c r="T661" s="89"/>
      <c r="U661" s="89"/>
      <c r="V661" s="89"/>
      <c r="W661" s="89"/>
      <c r="X661" s="89"/>
      <c r="Y661" s="89"/>
      <c r="Z661" s="89"/>
      <c r="AA661" s="89"/>
      <c r="AB661" s="89"/>
      <c r="AC661" s="89"/>
      <c r="AD661" s="89"/>
    </row>
    <row r="662">
      <c r="A662" s="89"/>
      <c r="B662" s="89"/>
      <c r="C662" s="140"/>
      <c r="D662" s="89"/>
      <c r="E662" s="89"/>
      <c r="F662" s="89"/>
      <c r="G662" s="89"/>
      <c r="H662" s="89"/>
      <c r="I662" s="89"/>
      <c r="J662" s="89"/>
      <c r="K662" s="89"/>
      <c r="L662" s="89"/>
      <c r="M662" s="89"/>
      <c r="N662" s="89"/>
      <c r="O662" s="89"/>
      <c r="P662" s="89"/>
      <c r="Q662" s="89"/>
      <c r="R662" s="89"/>
      <c r="S662" s="89"/>
      <c r="T662" s="89"/>
      <c r="U662" s="89"/>
      <c r="V662" s="89"/>
      <c r="W662" s="89"/>
      <c r="X662" s="89"/>
      <c r="Y662" s="89"/>
      <c r="Z662" s="89"/>
      <c r="AA662" s="89"/>
      <c r="AB662" s="89"/>
      <c r="AC662" s="89"/>
      <c r="AD662" s="89"/>
    </row>
    <row r="663">
      <c r="A663" s="89"/>
      <c r="B663" s="89"/>
      <c r="C663" s="140"/>
      <c r="D663" s="89"/>
      <c r="E663" s="89"/>
      <c r="F663" s="89"/>
      <c r="G663" s="89"/>
      <c r="H663" s="89"/>
      <c r="I663" s="89"/>
      <c r="J663" s="89"/>
      <c r="K663" s="89"/>
      <c r="L663" s="89"/>
      <c r="M663" s="89"/>
      <c r="N663" s="89"/>
      <c r="O663" s="89"/>
      <c r="P663" s="89"/>
      <c r="Q663" s="89"/>
      <c r="R663" s="89"/>
      <c r="S663" s="89"/>
      <c r="T663" s="89"/>
      <c r="U663" s="89"/>
      <c r="V663" s="89"/>
      <c r="W663" s="89"/>
      <c r="X663" s="89"/>
      <c r="Y663" s="89"/>
      <c r="Z663" s="89"/>
      <c r="AA663" s="89"/>
      <c r="AB663" s="89"/>
      <c r="AC663" s="89"/>
      <c r="AD663" s="89"/>
    </row>
    <row r="664">
      <c r="A664" s="89"/>
      <c r="B664" s="89"/>
      <c r="C664" s="140"/>
      <c r="D664" s="89"/>
      <c r="E664" s="89"/>
      <c r="F664" s="89"/>
      <c r="G664" s="89"/>
      <c r="H664" s="89"/>
      <c r="I664" s="89"/>
      <c r="J664" s="89"/>
      <c r="K664" s="89"/>
      <c r="L664" s="89"/>
      <c r="M664" s="89"/>
      <c r="N664" s="89"/>
      <c r="O664" s="89"/>
      <c r="P664" s="89"/>
      <c r="Q664" s="89"/>
      <c r="R664" s="89"/>
      <c r="S664" s="89"/>
      <c r="T664" s="89"/>
      <c r="U664" s="89"/>
      <c r="V664" s="89"/>
      <c r="W664" s="89"/>
      <c r="X664" s="89"/>
      <c r="Y664" s="89"/>
      <c r="Z664" s="89"/>
      <c r="AA664" s="89"/>
      <c r="AB664" s="89"/>
      <c r="AC664" s="89"/>
      <c r="AD664" s="89"/>
    </row>
    <row r="665">
      <c r="A665" s="89"/>
      <c r="B665" s="89"/>
      <c r="C665" s="140"/>
      <c r="D665" s="89"/>
      <c r="E665" s="89"/>
      <c r="F665" s="89"/>
      <c r="G665" s="89"/>
      <c r="H665" s="89"/>
      <c r="I665" s="89"/>
      <c r="J665" s="89"/>
      <c r="K665" s="89"/>
      <c r="L665" s="89"/>
      <c r="M665" s="89"/>
      <c r="N665" s="89"/>
      <c r="O665" s="89"/>
      <c r="P665" s="89"/>
      <c r="Q665" s="89"/>
      <c r="R665" s="89"/>
      <c r="S665" s="89"/>
      <c r="T665" s="89"/>
      <c r="U665" s="89"/>
      <c r="V665" s="89"/>
      <c r="W665" s="89"/>
      <c r="X665" s="89"/>
      <c r="Y665" s="89"/>
      <c r="Z665" s="89"/>
      <c r="AA665" s="89"/>
      <c r="AB665" s="89"/>
      <c r="AC665" s="89"/>
      <c r="AD665" s="89"/>
    </row>
    <row r="666">
      <c r="A666" s="89"/>
      <c r="B666" s="89"/>
      <c r="C666" s="140"/>
      <c r="D666" s="89"/>
      <c r="E666" s="89"/>
      <c r="F666" s="89"/>
      <c r="G666" s="89"/>
      <c r="H666" s="89"/>
      <c r="I666" s="89"/>
      <c r="J666" s="89"/>
      <c r="K666" s="89"/>
      <c r="L666" s="89"/>
      <c r="M666" s="89"/>
      <c r="N666" s="89"/>
      <c r="O666" s="89"/>
      <c r="P666" s="89"/>
      <c r="Q666" s="89"/>
      <c r="R666" s="89"/>
      <c r="S666" s="89"/>
      <c r="T666" s="89"/>
      <c r="U666" s="89"/>
      <c r="V666" s="89"/>
      <c r="W666" s="89"/>
      <c r="X666" s="89"/>
      <c r="Y666" s="89"/>
      <c r="Z666" s="89"/>
      <c r="AA666" s="89"/>
      <c r="AB666" s="89"/>
      <c r="AC666" s="89"/>
      <c r="AD666" s="89"/>
    </row>
    <row r="667">
      <c r="A667" s="89"/>
      <c r="B667" s="89"/>
      <c r="C667" s="140"/>
      <c r="D667" s="89"/>
      <c r="E667" s="89"/>
      <c r="F667" s="89"/>
      <c r="G667" s="89"/>
      <c r="H667" s="89"/>
      <c r="I667" s="89"/>
      <c r="J667" s="89"/>
      <c r="K667" s="89"/>
      <c r="L667" s="89"/>
      <c r="M667" s="89"/>
      <c r="N667" s="89"/>
      <c r="O667" s="89"/>
      <c r="P667" s="89"/>
      <c r="Q667" s="89"/>
      <c r="R667" s="89"/>
      <c r="S667" s="89"/>
      <c r="T667" s="89"/>
      <c r="U667" s="89"/>
      <c r="V667" s="89"/>
      <c r="W667" s="89"/>
      <c r="X667" s="89"/>
      <c r="Y667" s="89"/>
      <c r="Z667" s="89"/>
      <c r="AA667" s="89"/>
      <c r="AB667" s="89"/>
      <c r="AC667" s="89"/>
      <c r="AD667" s="89"/>
    </row>
    <row r="668">
      <c r="A668" s="89"/>
      <c r="B668" s="89"/>
      <c r="C668" s="140"/>
      <c r="D668" s="89"/>
      <c r="E668" s="89"/>
      <c r="F668" s="89"/>
      <c r="G668" s="89"/>
      <c r="H668" s="89"/>
      <c r="I668" s="89"/>
      <c r="J668" s="89"/>
      <c r="K668" s="89"/>
      <c r="L668" s="89"/>
      <c r="M668" s="89"/>
      <c r="N668" s="89"/>
      <c r="O668" s="89"/>
      <c r="P668" s="89"/>
      <c r="Q668" s="89"/>
      <c r="R668" s="89"/>
      <c r="S668" s="89"/>
      <c r="T668" s="89"/>
      <c r="U668" s="89"/>
      <c r="V668" s="89"/>
      <c r="W668" s="89"/>
      <c r="X668" s="89"/>
      <c r="Y668" s="89"/>
      <c r="Z668" s="89"/>
      <c r="AA668" s="89"/>
      <c r="AB668" s="89"/>
      <c r="AC668" s="89"/>
      <c r="AD668" s="89"/>
    </row>
    <row r="669">
      <c r="A669" s="89"/>
      <c r="B669" s="89"/>
      <c r="C669" s="140"/>
      <c r="D669" s="89"/>
      <c r="E669" s="89"/>
      <c r="F669" s="89"/>
      <c r="G669" s="89"/>
      <c r="H669" s="89"/>
      <c r="I669" s="89"/>
      <c r="J669" s="89"/>
      <c r="K669" s="89"/>
      <c r="L669" s="89"/>
      <c r="M669" s="89"/>
      <c r="N669" s="89"/>
      <c r="O669" s="89"/>
      <c r="P669" s="89"/>
      <c r="Q669" s="89"/>
      <c r="R669" s="89"/>
      <c r="S669" s="89"/>
      <c r="T669" s="89"/>
      <c r="U669" s="89"/>
      <c r="V669" s="89"/>
      <c r="W669" s="89"/>
      <c r="X669" s="89"/>
      <c r="Y669" s="89"/>
      <c r="Z669" s="89"/>
      <c r="AA669" s="89"/>
      <c r="AB669" s="89"/>
      <c r="AC669" s="89"/>
      <c r="AD669" s="89"/>
    </row>
    <row r="670">
      <c r="A670" s="89"/>
      <c r="B670" s="89"/>
      <c r="C670" s="140"/>
      <c r="D670" s="89"/>
      <c r="E670" s="89"/>
      <c r="F670" s="89"/>
      <c r="G670" s="89"/>
      <c r="H670" s="89"/>
      <c r="I670" s="89"/>
      <c r="J670" s="89"/>
      <c r="K670" s="89"/>
      <c r="L670" s="89"/>
      <c r="M670" s="89"/>
      <c r="N670" s="89"/>
      <c r="O670" s="89"/>
      <c r="P670" s="89"/>
      <c r="Q670" s="89"/>
      <c r="R670" s="89"/>
      <c r="S670" s="89"/>
      <c r="T670" s="89"/>
      <c r="U670" s="89"/>
      <c r="V670" s="89"/>
      <c r="W670" s="89"/>
      <c r="X670" s="89"/>
      <c r="Y670" s="89"/>
      <c r="Z670" s="89"/>
      <c r="AA670" s="89"/>
      <c r="AB670" s="89"/>
      <c r="AC670" s="89"/>
      <c r="AD670" s="89"/>
    </row>
    <row r="671">
      <c r="A671" s="89"/>
      <c r="B671" s="89"/>
      <c r="C671" s="140"/>
      <c r="D671" s="89"/>
      <c r="E671" s="89"/>
      <c r="F671" s="89"/>
      <c r="G671" s="89"/>
      <c r="H671" s="89"/>
      <c r="I671" s="89"/>
      <c r="J671" s="89"/>
      <c r="K671" s="89"/>
      <c r="L671" s="89"/>
      <c r="M671" s="89"/>
      <c r="N671" s="89"/>
      <c r="O671" s="89"/>
      <c r="P671" s="89"/>
      <c r="Q671" s="89"/>
      <c r="R671" s="89"/>
      <c r="S671" s="89"/>
      <c r="T671" s="89"/>
      <c r="U671" s="89"/>
      <c r="V671" s="89"/>
      <c r="W671" s="89"/>
      <c r="X671" s="89"/>
      <c r="Y671" s="89"/>
      <c r="Z671" s="89"/>
      <c r="AA671" s="89"/>
      <c r="AB671" s="89"/>
      <c r="AC671" s="89"/>
      <c r="AD671" s="89"/>
    </row>
    <row r="672">
      <c r="A672" s="89"/>
      <c r="B672" s="89"/>
      <c r="C672" s="140"/>
      <c r="D672" s="89"/>
      <c r="E672" s="89"/>
      <c r="F672" s="89"/>
      <c r="G672" s="89"/>
      <c r="H672" s="89"/>
      <c r="I672" s="89"/>
      <c r="J672" s="89"/>
      <c r="K672" s="89"/>
      <c r="L672" s="89"/>
      <c r="M672" s="89"/>
      <c r="N672" s="89"/>
      <c r="O672" s="89"/>
      <c r="P672" s="89"/>
      <c r="Q672" s="89"/>
      <c r="R672" s="89"/>
      <c r="S672" s="89"/>
      <c r="T672" s="89"/>
      <c r="U672" s="89"/>
      <c r="V672" s="89"/>
      <c r="W672" s="89"/>
      <c r="X672" s="89"/>
      <c r="Y672" s="89"/>
      <c r="Z672" s="89"/>
      <c r="AA672" s="89"/>
      <c r="AB672" s="89"/>
      <c r="AC672" s="89"/>
      <c r="AD672" s="89"/>
    </row>
    <row r="673">
      <c r="A673" s="89"/>
      <c r="B673" s="89"/>
      <c r="C673" s="140"/>
      <c r="D673" s="89"/>
      <c r="E673" s="89"/>
      <c r="F673" s="89"/>
      <c r="G673" s="89"/>
      <c r="H673" s="89"/>
      <c r="I673" s="89"/>
      <c r="J673" s="89"/>
      <c r="K673" s="89"/>
      <c r="L673" s="89"/>
      <c r="M673" s="89"/>
      <c r="N673" s="89"/>
      <c r="O673" s="89"/>
      <c r="P673" s="89"/>
      <c r="Q673" s="89"/>
      <c r="R673" s="89"/>
      <c r="S673" s="89"/>
      <c r="T673" s="89"/>
      <c r="U673" s="89"/>
      <c r="V673" s="89"/>
      <c r="W673" s="89"/>
      <c r="X673" s="89"/>
      <c r="Y673" s="89"/>
      <c r="Z673" s="89"/>
      <c r="AA673" s="89"/>
      <c r="AB673" s="89"/>
      <c r="AC673" s="89"/>
      <c r="AD673" s="89"/>
    </row>
    <row r="674">
      <c r="A674" s="89"/>
      <c r="B674" s="89"/>
      <c r="C674" s="140"/>
      <c r="D674" s="89"/>
      <c r="E674" s="89"/>
      <c r="F674" s="89"/>
      <c r="G674" s="89"/>
      <c r="H674" s="89"/>
      <c r="I674" s="89"/>
      <c r="J674" s="89"/>
      <c r="K674" s="89"/>
      <c r="L674" s="89"/>
      <c r="M674" s="89"/>
      <c r="N674" s="89"/>
      <c r="O674" s="89"/>
      <c r="P674" s="89"/>
      <c r="Q674" s="89"/>
      <c r="R674" s="89"/>
      <c r="S674" s="89"/>
      <c r="T674" s="89"/>
      <c r="U674" s="89"/>
      <c r="V674" s="89"/>
      <c r="W674" s="89"/>
      <c r="X674" s="89"/>
      <c r="Y674" s="89"/>
      <c r="Z674" s="89"/>
      <c r="AA674" s="89"/>
      <c r="AB674" s="89"/>
      <c r="AC674" s="89"/>
      <c r="AD674" s="89"/>
    </row>
    <row r="675">
      <c r="A675" s="89"/>
      <c r="B675" s="89"/>
      <c r="C675" s="140"/>
      <c r="D675" s="89"/>
      <c r="E675" s="89"/>
      <c r="F675" s="89"/>
      <c r="G675" s="89"/>
      <c r="H675" s="89"/>
      <c r="I675" s="89"/>
      <c r="J675" s="89"/>
      <c r="K675" s="89"/>
      <c r="L675" s="89"/>
      <c r="M675" s="89"/>
      <c r="N675" s="89"/>
      <c r="O675" s="89"/>
      <c r="P675" s="89"/>
      <c r="Q675" s="89"/>
      <c r="R675" s="89"/>
      <c r="S675" s="89"/>
      <c r="T675" s="89"/>
      <c r="U675" s="89"/>
      <c r="V675" s="89"/>
      <c r="W675" s="89"/>
      <c r="X675" s="89"/>
      <c r="Y675" s="89"/>
      <c r="Z675" s="89"/>
      <c r="AA675" s="89"/>
      <c r="AB675" s="89"/>
      <c r="AC675" s="89"/>
      <c r="AD675" s="89"/>
    </row>
    <row r="676">
      <c r="A676" s="89"/>
      <c r="B676" s="89"/>
      <c r="C676" s="140"/>
      <c r="D676" s="89"/>
      <c r="E676" s="89"/>
      <c r="F676" s="89"/>
      <c r="G676" s="89"/>
      <c r="H676" s="89"/>
      <c r="I676" s="89"/>
      <c r="J676" s="89"/>
      <c r="K676" s="89"/>
      <c r="L676" s="89"/>
      <c r="M676" s="89"/>
      <c r="N676" s="89"/>
      <c r="O676" s="89"/>
      <c r="P676" s="89"/>
      <c r="Q676" s="89"/>
      <c r="R676" s="89"/>
      <c r="S676" s="89"/>
      <c r="T676" s="89"/>
      <c r="U676" s="89"/>
      <c r="V676" s="89"/>
      <c r="W676" s="89"/>
      <c r="X676" s="89"/>
      <c r="Y676" s="89"/>
      <c r="Z676" s="89"/>
      <c r="AA676" s="89"/>
      <c r="AB676" s="89"/>
      <c r="AC676" s="89"/>
      <c r="AD676" s="89"/>
    </row>
    <row r="677">
      <c r="A677" s="89"/>
      <c r="B677" s="89"/>
      <c r="C677" s="140"/>
      <c r="D677" s="89"/>
      <c r="E677" s="89"/>
      <c r="F677" s="89"/>
      <c r="G677" s="89"/>
      <c r="H677" s="89"/>
      <c r="I677" s="89"/>
      <c r="J677" s="89"/>
      <c r="K677" s="89"/>
      <c r="L677" s="89"/>
      <c r="M677" s="89"/>
      <c r="N677" s="89"/>
      <c r="O677" s="89"/>
      <c r="P677" s="89"/>
      <c r="Q677" s="89"/>
      <c r="R677" s="89"/>
      <c r="S677" s="89"/>
      <c r="T677" s="89"/>
      <c r="U677" s="89"/>
      <c r="V677" s="89"/>
      <c r="W677" s="89"/>
      <c r="X677" s="89"/>
      <c r="Y677" s="89"/>
      <c r="Z677" s="89"/>
      <c r="AA677" s="89"/>
      <c r="AB677" s="89"/>
      <c r="AC677" s="89"/>
      <c r="AD677" s="89"/>
    </row>
    <row r="678">
      <c r="A678" s="89"/>
      <c r="B678" s="89"/>
      <c r="C678" s="140"/>
      <c r="D678" s="89"/>
      <c r="E678" s="89"/>
      <c r="F678" s="89"/>
      <c r="G678" s="89"/>
      <c r="H678" s="89"/>
      <c r="I678" s="89"/>
      <c r="J678" s="89"/>
      <c r="K678" s="89"/>
      <c r="L678" s="89"/>
      <c r="M678" s="89"/>
      <c r="N678" s="89"/>
      <c r="O678" s="89"/>
      <c r="P678" s="89"/>
      <c r="Q678" s="89"/>
      <c r="R678" s="89"/>
      <c r="S678" s="89"/>
      <c r="T678" s="89"/>
      <c r="U678" s="89"/>
      <c r="V678" s="89"/>
      <c r="W678" s="89"/>
      <c r="X678" s="89"/>
      <c r="Y678" s="89"/>
      <c r="Z678" s="89"/>
      <c r="AA678" s="89"/>
      <c r="AB678" s="89"/>
      <c r="AC678" s="89"/>
      <c r="AD678" s="89"/>
    </row>
    <row r="679">
      <c r="A679" s="89"/>
      <c r="B679" s="89"/>
      <c r="C679" s="140"/>
      <c r="D679" s="89"/>
      <c r="E679" s="89"/>
      <c r="F679" s="89"/>
      <c r="G679" s="89"/>
      <c r="H679" s="89"/>
      <c r="I679" s="89"/>
      <c r="J679" s="89"/>
      <c r="K679" s="89"/>
      <c r="L679" s="89"/>
      <c r="M679" s="89"/>
      <c r="N679" s="89"/>
      <c r="O679" s="89"/>
      <c r="P679" s="89"/>
      <c r="Q679" s="89"/>
      <c r="R679" s="89"/>
      <c r="S679" s="89"/>
      <c r="T679" s="89"/>
      <c r="U679" s="89"/>
      <c r="V679" s="89"/>
      <c r="W679" s="89"/>
      <c r="X679" s="89"/>
      <c r="Y679" s="89"/>
      <c r="Z679" s="89"/>
      <c r="AA679" s="89"/>
      <c r="AB679" s="89"/>
      <c r="AC679" s="89"/>
      <c r="AD679" s="89"/>
    </row>
    <row r="680">
      <c r="A680" s="89"/>
      <c r="B680" s="89"/>
      <c r="C680" s="140"/>
      <c r="D680" s="89"/>
      <c r="E680" s="89"/>
      <c r="F680" s="89"/>
      <c r="G680" s="89"/>
      <c r="H680" s="89"/>
      <c r="I680" s="89"/>
      <c r="J680" s="89"/>
      <c r="K680" s="89"/>
      <c r="L680" s="89"/>
      <c r="M680" s="89"/>
      <c r="N680" s="89"/>
      <c r="O680" s="89"/>
      <c r="P680" s="89"/>
      <c r="Q680" s="89"/>
      <c r="R680" s="89"/>
      <c r="S680" s="89"/>
      <c r="T680" s="89"/>
      <c r="U680" s="89"/>
      <c r="V680" s="89"/>
      <c r="W680" s="89"/>
      <c r="X680" s="89"/>
      <c r="Y680" s="89"/>
      <c r="Z680" s="89"/>
      <c r="AA680" s="89"/>
      <c r="AB680" s="89"/>
      <c r="AC680" s="89"/>
      <c r="AD680" s="89"/>
    </row>
    <row r="681">
      <c r="A681" s="89"/>
      <c r="B681" s="89"/>
      <c r="C681" s="140"/>
      <c r="D681" s="89"/>
      <c r="E681" s="89"/>
      <c r="F681" s="89"/>
      <c r="G681" s="89"/>
      <c r="H681" s="89"/>
      <c r="I681" s="89"/>
      <c r="J681" s="89"/>
      <c r="K681" s="89"/>
      <c r="L681" s="89"/>
      <c r="M681" s="89"/>
      <c r="N681" s="89"/>
      <c r="O681" s="89"/>
      <c r="P681" s="89"/>
      <c r="Q681" s="89"/>
      <c r="R681" s="89"/>
      <c r="S681" s="89"/>
      <c r="T681" s="89"/>
      <c r="U681" s="89"/>
      <c r="V681" s="89"/>
      <c r="W681" s="89"/>
      <c r="X681" s="89"/>
      <c r="Y681" s="89"/>
      <c r="Z681" s="89"/>
      <c r="AA681" s="89"/>
      <c r="AB681" s="89"/>
      <c r="AC681" s="89"/>
      <c r="AD681" s="89"/>
    </row>
    <row r="682">
      <c r="A682" s="89"/>
      <c r="B682" s="89"/>
      <c r="C682" s="140"/>
      <c r="D682" s="89"/>
      <c r="E682" s="89"/>
      <c r="F682" s="89"/>
      <c r="G682" s="89"/>
      <c r="H682" s="89"/>
      <c r="I682" s="89"/>
      <c r="J682" s="89"/>
      <c r="K682" s="89"/>
      <c r="L682" s="89"/>
      <c r="M682" s="89"/>
      <c r="N682" s="89"/>
      <c r="O682" s="89"/>
      <c r="P682" s="89"/>
      <c r="Q682" s="89"/>
      <c r="R682" s="89"/>
      <c r="S682" s="89"/>
      <c r="T682" s="89"/>
      <c r="U682" s="89"/>
      <c r="V682" s="89"/>
      <c r="W682" s="89"/>
      <c r="X682" s="89"/>
      <c r="Y682" s="89"/>
      <c r="Z682" s="89"/>
      <c r="AA682" s="89"/>
      <c r="AB682" s="89"/>
      <c r="AC682" s="89"/>
      <c r="AD682" s="89"/>
    </row>
    <row r="683">
      <c r="A683" s="89"/>
      <c r="B683" s="89"/>
      <c r="C683" s="140"/>
      <c r="D683" s="89"/>
      <c r="E683" s="89"/>
      <c r="F683" s="89"/>
      <c r="G683" s="89"/>
      <c r="H683" s="89"/>
      <c r="I683" s="89"/>
      <c r="J683" s="89"/>
      <c r="K683" s="89"/>
      <c r="L683" s="89"/>
      <c r="M683" s="89"/>
      <c r="N683" s="89"/>
      <c r="O683" s="89"/>
      <c r="P683" s="89"/>
      <c r="Q683" s="89"/>
      <c r="R683" s="89"/>
      <c r="S683" s="89"/>
      <c r="T683" s="89"/>
      <c r="U683" s="89"/>
      <c r="V683" s="89"/>
      <c r="W683" s="89"/>
      <c r="X683" s="89"/>
      <c r="Y683" s="89"/>
      <c r="Z683" s="89"/>
      <c r="AA683" s="89"/>
      <c r="AB683" s="89"/>
      <c r="AC683" s="89"/>
      <c r="AD683" s="89"/>
    </row>
    <row r="684">
      <c r="A684" s="89"/>
      <c r="B684" s="89"/>
      <c r="C684" s="140"/>
      <c r="D684" s="89"/>
      <c r="E684" s="89"/>
      <c r="F684" s="89"/>
      <c r="G684" s="89"/>
      <c r="H684" s="89"/>
      <c r="I684" s="89"/>
      <c r="J684" s="89"/>
      <c r="K684" s="89"/>
      <c r="L684" s="89"/>
      <c r="M684" s="89"/>
      <c r="N684" s="89"/>
      <c r="O684" s="89"/>
      <c r="P684" s="89"/>
      <c r="Q684" s="89"/>
      <c r="R684" s="89"/>
      <c r="S684" s="89"/>
      <c r="T684" s="89"/>
      <c r="U684" s="89"/>
      <c r="V684" s="89"/>
      <c r="W684" s="89"/>
      <c r="X684" s="89"/>
      <c r="Y684" s="89"/>
      <c r="Z684" s="89"/>
      <c r="AA684" s="89"/>
      <c r="AB684" s="89"/>
      <c r="AC684" s="89"/>
      <c r="AD684" s="89"/>
    </row>
    <row r="685">
      <c r="A685" s="89"/>
      <c r="B685" s="89"/>
      <c r="C685" s="140"/>
      <c r="D685" s="89"/>
      <c r="E685" s="89"/>
      <c r="F685" s="89"/>
      <c r="G685" s="89"/>
      <c r="H685" s="89"/>
      <c r="I685" s="89"/>
      <c r="J685" s="89"/>
      <c r="K685" s="89"/>
      <c r="L685" s="89"/>
      <c r="M685" s="89"/>
      <c r="N685" s="89"/>
      <c r="O685" s="89"/>
      <c r="P685" s="89"/>
      <c r="Q685" s="89"/>
      <c r="R685" s="89"/>
      <c r="S685" s="89"/>
      <c r="T685" s="89"/>
      <c r="U685" s="89"/>
      <c r="V685" s="89"/>
      <c r="W685" s="89"/>
      <c r="X685" s="89"/>
      <c r="Y685" s="89"/>
      <c r="Z685" s="89"/>
      <c r="AA685" s="89"/>
      <c r="AB685" s="89"/>
      <c r="AC685" s="89"/>
      <c r="AD685" s="89"/>
    </row>
    <row r="686">
      <c r="A686" s="89"/>
      <c r="B686" s="89"/>
      <c r="C686" s="140"/>
      <c r="D686" s="89"/>
      <c r="E686" s="89"/>
      <c r="F686" s="89"/>
      <c r="G686" s="89"/>
      <c r="H686" s="89"/>
      <c r="I686" s="89"/>
      <c r="J686" s="89"/>
      <c r="K686" s="89"/>
      <c r="L686" s="89"/>
      <c r="M686" s="89"/>
      <c r="N686" s="89"/>
      <c r="O686" s="89"/>
      <c r="P686" s="89"/>
      <c r="Q686" s="89"/>
      <c r="R686" s="89"/>
      <c r="S686" s="89"/>
      <c r="T686" s="89"/>
      <c r="U686" s="89"/>
      <c r="V686" s="89"/>
      <c r="W686" s="89"/>
      <c r="X686" s="89"/>
      <c r="Y686" s="89"/>
      <c r="Z686" s="89"/>
      <c r="AA686" s="89"/>
      <c r="AB686" s="89"/>
      <c r="AC686" s="89"/>
      <c r="AD686" s="89"/>
    </row>
    <row r="687">
      <c r="A687" s="89"/>
      <c r="B687" s="89"/>
      <c r="C687" s="140"/>
      <c r="D687" s="89"/>
      <c r="E687" s="89"/>
      <c r="F687" s="89"/>
      <c r="G687" s="89"/>
      <c r="H687" s="89"/>
      <c r="I687" s="89"/>
      <c r="J687" s="89"/>
      <c r="K687" s="89"/>
      <c r="L687" s="89"/>
      <c r="M687" s="89"/>
      <c r="N687" s="89"/>
      <c r="O687" s="89"/>
      <c r="P687" s="89"/>
      <c r="Q687" s="89"/>
      <c r="R687" s="89"/>
      <c r="S687" s="89"/>
      <c r="T687" s="89"/>
      <c r="U687" s="89"/>
      <c r="V687" s="89"/>
      <c r="W687" s="89"/>
      <c r="X687" s="89"/>
      <c r="Y687" s="89"/>
      <c r="Z687" s="89"/>
      <c r="AA687" s="89"/>
      <c r="AB687" s="89"/>
      <c r="AC687" s="89"/>
      <c r="AD687" s="89"/>
    </row>
    <row r="688">
      <c r="A688" s="89"/>
      <c r="B688" s="89"/>
      <c r="C688" s="140"/>
      <c r="D688" s="89"/>
      <c r="E688" s="89"/>
      <c r="F688" s="89"/>
      <c r="G688" s="89"/>
      <c r="H688" s="89"/>
      <c r="I688" s="89"/>
      <c r="J688" s="89"/>
      <c r="K688" s="89"/>
      <c r="L688" s="89"/>
      <c r="M688" s="89"/>
      <c r="N688" s="89"/>
      <c r="O688" s="89"/>
      <c r="P688" s="89"/>
      <c r="Q688" s="89"/>
      <c r="R688" s="89"/>
      <c r="S688" s="89"/>
      <c r="T688" s="89"/>
      <c r="U688" s="89"/>
      <c r="V688" s="89"/>
      <c r="W688" s="89"/>
      <c r="X688" s="89"/>
      <c r="Y688" s="89"/>
      <c r="Z688" s="89"/>
      <c r="AA688" s="89"/>
      <c r="AB688" s="89"/>
      <c r="AC688" s="89"/>
      <c r="AD688" s="89"/>
    </row>
    <row r="689">
      <c r="A689" s="89"/>
      <c r="B689" s="89"/>
      <c r="C689" s="140"/>
      <c r="D689" s="89"/>
      <c r="E689" s="89"/>
      <c r="F689" s="89"/>
      <c r="G689" s="89"/>
      <c r="H689" s="89"/>
      <c r="I689" s="89"/>
      <c r="J689" s="89"/>
      <c r="K689" s="89"/>
      <c r="L689" s="89"/>
      <c r="M689" s="89"/>
      <c r="N689" s="89"/>
      <c r="O689" s="89"/>
      <c r="P689" s="89"/>
      <c r="Q689" s="89"/>
      <c r="R689" s="89"/>
      <c r="S689" s="89"/>
      <c r="T689" s="89"/>
      <c r="U689" s="89"/>
      <c r="V689" s="89"/>
      <c r="W689" s="89"/>
      <c r="X689" s="89"/>
      <c r="Y689" s="89"/>
      <c r="Z689" s="89"/>
      <c r="AA689" s="89"/>
      <c r="AB689" s="89"/>
      <c r="AC689" s="89"/>
      <c r="AD689" s="89"/>
    </row>
    <row r="690">
      <c r="A690" s="89"/>
      <c r="B690" s="89"/>
      <c r="C690" s="140"/>
      <c r="D690" s="89"/>
      <c r="E690" s="89"/>
      <c r="F690" s="89"/>
      <c r="G690" s="89"/>
      <c r="H690" s="89"/>
      <c r="I690" s="89"/>
      <c r="J690" s="89"/>
      <c r="K690" s="89"/>
      <c r="L690" s="89"/>
      <c r="M690" s="89"/>
      <c r="N690" s="89"/>
      <c r="O690" s="89"/>
      <c r="P690" s="89"/>
      <c r="Q690" s="89"/>
      <c r="R690" s="89"/>
      <c r="S690" s="89"/>
      <c r="T690" s="89"/>
      <c r="U690" s="89"/>
      <c r="V690" s="89"/>
      <c r="W690" s="89"/>
      <c r="X690" s="89"/>
      <c r="Y690" s="89"/>
      <c r="Z690" s="89"/>
      <c r="AA690" s="89"/>
      <c r="AB690" s="89"/>
      <c r="AC690" s="89"/>
      <c r="AD690" s="89"/>
    </row>
    <row r="691">
      <c r="A691" s="89"/>
      <c r="B691" s="89"/>
      <c r="C691" s="140"/>
      <c r="D691" s="89"/>
      <c r="E691" s="89"/>
      <c r="F691" s="89"/>
      <c r="G691" s="89"/>
      <c r="H691" s="89"/>
      <c r="I691" s="89"/>
      <c r="J691" s="89"/>
      <c r="K691" s="89"/>
      <c r="L691" s="89"/>
      <c r="M691" s="89"/>
      <c r="N691" s="89"/>
      <c r="O691" s="89"/>
      <c r="P691" s="89"/>
      <c r="Q691" s="89"/>
      <c r="R691" s="89"/>
      <c r="S691" s="89"/>
      <c r="T691" s="89"/>
      <c r="U691" s="89"/>
      <c r="V691" s="89"/>
      <c r="W691" s="89"/>
      <c r="X691" s="89"/>
      <c r="Y691" s="89"/>
      <c r="Z691" s="89"/>
      <c r="AA691" s="89"/>
      <c r="AB691" s="89"/>
      <c r="AC691" s="89"/>
      <c r="AD691" s="89"/>
    </row>
    <row r="692">
      <c r="A692" s="89"/>
      <c r="B692" s="89"/>
      <c r="C692" s="140"/>
      <c r="D692" s="89"/>
      <c r="E692" s="89"/>
      <c r="F692" s="89"/>
      <c r="G692" s="89"/>
      <c r="H692" s="89"/>
      <c r="I692" s="89"/>
      <c r="J692" s="89"/>
      <c r="K692" s="89"/>
      <c r="L692" s="89"/>
      <c r="M692" s="89"/>
      <c r="N692" s="89"/>
      <c r="O692" s="89"/>
      <c r="P692" s="89"/>
      <c r="Q692" s="89"/>
      <c r="R692" s="89"/>
      <c r="S692" s="89"/>
      <c r="T692" s="89"/>
      <c r="U692" s="89"/>
      <c r="V692" s="89"/>
      <c r="W692" s="89"/>
      <c r="X692" s="89"/>
      <c r="Y692" s="89"/>
      <c r="Z692" s="89"/>
      <c r="AA692" s="89"/>
      <c r="AB692" s="89"/>
      <c r="AC692" s="89"/>
      <c r="AD692" s="89"/>
    </row>
    <row r="693">
      <c r="A693" s="89"/>
      <c r="B693" s="89"/>
      <c r="C693" s="140"/>
      <c r="D693" s="89"/>
      <c r="E693" s="89"/>
      <c r="F693" s="89"/>
      <c r="G693" s="89"/>
      <c r="H693" s="89"/>
      <c r="I693" s="89"/>
      <c r="J693" s="89"/>
      <c r="K693" s="89"/>
      <c r="L693" s="89"/>
      <c r="M693" s="89"/>
      <c r="N693" s="89"/>
      <c r="O693" s="89"/>
      <c r="P693" s="89"/>
      <c r="Q693" s="89"/>
      <c r="R693" s="89"/>
      <c r="S693" s="89"/>
      <c r="T693" s="89"/>
      <c r="U693" s="89"/>
      <c r="V693" s="89"/>
      <c r="W693" s="89"/>
      <c r="X693" s="89"/>
      <c r="Y693" s="89"/>
      <c r="Z693" s="89"/>
      <c r="AA693" s="89"/>
      <c r="AB693" s="89"/>
      <c r="AC693" s="89"/>
      <c r="AD693" s="89"/>
    </row>
    <row r="694">
      <c r="A694" s="89"/>
      <c r="B694" s="89"/>
      <c r="C694" s="140"/>
      <c r="D694" s="89"/>
      <c r="E694" s="89"/>
      <c r="F694" s="89"/>
      <c r="G694" s="89"/>
      <c r="H694" s="89"/>
      <c r="I694" s="89"/>
      <c r="J694" s="89"/>
      <c r="K694" s="89"/>
      <c r="L694" s="89"/>
      <c r="M694" s="89"/>
      <c r="N694" s="89"/>
      <c r="O694" s="89"/>
      <c r="P694" s="89"/>
      <c r="Q694" s="89"/>
      <c r="R694" s="89"/>
      <c r="S694" s="89"/>
      <c r="T694" s="89"/>
      <c r="U694" s="89"/>
      <c r="V694" s="89"/>
      <c r="W694" s="89"/>
      <c r="X694" s="89"/>
      <c r="Y694" s="89"/>
      <c r="Z694" s="89"/>
      <c r="AA694" s="89"/>
      <c r="AB694" s="89"/>
      <c r="AC694" s="89"/>
      <c r="AD694" s="89"/>
    </row>
    <row r="695">
      <c r="A695" s="89"/>
      <c r="B695" s="89"/>
      <c r="C695" s="140"/>
      <c r="D695" s="89"/>
      <c r="E695" s="89"/>
      <c r="F695" s="89"/>
      <c r="G695" s="89"/>
      <c r="H695" s="89"/>
      <c r="I695" s="89"/>
      <c r="J695" s="89"/>
      <c r="K695" s="89"/>
      <c r="L695" s="89"/>
      <c r="M695" s="89"/>
      <c r="N695" s="89"/>
      <c r="O695" s="89"/>
      <c r="P695" s="89"/>
      <c r="Q695" s="89"/>
      <c r="R695" s="89"/>
      <c r="S695" s="89"/>
      <c r="T695" s="89"/>
      <c r="U695" s="89"/>
      <c r="V695" s="89"/>
      <c r="W695" s="89"/>
      <c r="X695" s="89"/>
      <c r="Y695" s="89"/>
      <c r="Z695" s="89"/>
      <c r="AA695" s="89"/>
      <c r="AB695" s="89"/>
      <c r="AC695" s="89"/>
      <c r="AD695" s="89"/>
    </row>
    <row r="696">
      <c r="A696" s="89"/>
      <c r="B696" s="89"/>
      <c r="C696" s="140"/>
      <c r="D696" s="89"/>
      <c r="E696" s="89"/>
      <c r="F696" s="89"/>
      <c r="G696" s="89"/>
      <c r="H696" s="89"/>
      <c r="I696" s="89"/>
      <c r="J696" s="89"/>
      <c r="K696" s="89"/>
      <c r="L696" s="89"/>
      <c r="M696" s="89"/>
      <c r="N696" s="89"/>
      <c r="O696" s="89"/>
      <c r="P696" s="89"/>
      <c r="Q696" s="89"/>
      <c r="R696" s="89"/>
      <c r="S696" s="89"/>
      <c r="T696" s="89"/>
      <c r="U696" s="89"/>
      <c r="V696" s="89"/>
      <c r="W696" s="89"/>
      <c r="X696" s="89"/>
      <c r="Y696" s="89"/>
      <c r="Z696" s="89"/>
      <c r="AA696" s="89"/>
      <c r="AB696" s="89"/>
      <c r="AC696" s="89"/>
      <c r="AD696" s="89"/>
    </row>
    <row r="697">
      <c r="A697" s="89"/>
      <c r="B697" s="89"/>
      <c r="C697" s="140"/>
      <c r="D697" s="89"/>
      <c r="E697" s="89"/>
      <c r="F697" s="89"/>
      <c r="G697" s="89"/>
      <c r="H697" s="89"/>
      <c r="I697" s="89"/>
      <c r="J697" s="89"/>
      <c r="K697" s="89"/>
      <c r="L697" s="89"/>
      <c r="M697" s="89"/>
      <c r="N697" s="89"/>
      <c r="O697" s="89"/>
      <c r="P697" s="89"/>
      <c r="Q697" s="89"/>
      <c r="R697" s="89"/>
      <c r="S697" s="89"/>
      <c r="T697" s="89"/>
      <c r="U697" s="89"/>
      <c r="V697" s="89"/>
      <c r="W697" s="89"/>
      <c r="X697" s="89"/>
      <c r="Y697" s="89"/>
      <c r="Z697" s="89"/>
      <c r="AA697" s="89"/>
      <c r="AB697" s="89"/>
      <c r="AC697" s="89"/>
      <c r="AD697" s="89"/>
    </row>
    <row r="698">
      <c r="A698" s="89"/>
      <c r="B698" s="89"/>
      <c r="C698" s="140"/>
      <c r="D698" s="89"/>
      <c r="E698" s="89"/>
      <c r="F698" s="89"/>
      <c r="G698" s="89"/>
      <c r="H698" s="89"/>
      <c r="I698" s="89"/>
      <c r="J698" s="89"/>
      <c r="K698" s="89"/>
      <c r="L698" s="89"/>
      <c r="M698" s="89"/>
      <c r="N698" s="89"/>
      <c r="O698" s="89"/>
      <c r="P698" s="89"/>
      <c r="Q698" s="89"/>
      <c r="R698" s="89"/>
      <c r="S698" s="89"/>
      <c r="T698" s="89"/>
      <c r="U698" s="89"/>
      <c r="V698" s="89"/>
      <c r="W698" s="89"/>
      <c r="X698" s="89"/>
      <c r="Y698" s="89"/>
      <c r="Z698" s="89"/>
      <c r="AA698" s="89"/>
      <c r="AB698" s="89"/>
      <c r="AC698" s="89"/>
      <c r="AD698" s="89"/>
    </row>
    <row r="699">
      <c r="A699" s="89"/>
      <c r="B699" s="89"/>
      <c r="C699" s="140"/>
      <c r="D699" s="89"/>
      <c r="E699" s="89"/>
      <c r="F699" s="89"/>
      <c r="G699" s="89"/>
      <c r="H699" s="89"/>
      <c r="I699" s="89"/>
      <c r="J699" s="89"/>
      <c r="K699" s="89"/>
      <c r="L699" s="89"/>
      <c r="M699" s="89"/>
      <c r="N699" s="89"/>
      <c r="O699" s="89"/>
      <c r="P699" s="89"/>
      <c r="Q699" s="89"/>
      <c r="R699" s="89"/>
      <c r="S699" s="89"/>
      <c r="T699" s="89"/>
      <c r="U699" s="89"/>
      <c r="V699" s="89"/>
      <c r="W699" s="89"/>
      <c r="X699" s="89"/>
      <c r="Y699" s="89"/>
      <c r="Z699" s="89"/>
      <c r="AA699" s="89"/>
      <c r="AB699" s="89"/>
      <c r="AC699" s="89"/>
      <c r="AD699" s="89"/>
    </row>
    <row r="700">
      <c r="A700" s="89"/>
      <c r="B700" s="89"/>
      <c r="C700" s="140"/>
      <c r="D700" s="89"/>
      <c r="E700" s="89"/>
      <c r="F700" s="89"/>
      <c r="G700" s="89"/>
      <c r="H700" s="89"/>
      <c r="I700" s="89"/>
      <c r="J700" s="89"/>
      <c r="K700" s="89"/>
      <c r="L700" s="89"/>
      <c r="M700" s="89"/>
      <c r="N700" s="89"/>
      <c r="O700" s="89"/>
      <c r="P700" s="89"/>
      <c r="Q700" s="89"/>
      <c r="R700" s="89"/>
      <c r="S700" s="89"/>
      <c r="T700" s="89"/>
      <c r="U700" s="89"/>
      <c r="V700" s="89"/>
      <c r="W700" s="89"/>
      <c r="X700" s="89"/>
      <c r="Y700" s="89"/>
      <c r="Z700" s="89"/>
      <c r="AA700" s="89"/>
      <c r="AB700" s="89"/>
      <c r="AC700" s="89"/>
      <c r="AD700" s="89"/>
    </row>
    <row r="701">
      <c r="A701" s="89"/>
      <c r="B701" s="89"/>
      <c r="C701" s="140"/>
      <c r="D701" s="89"/>
      <c r="E701" s="89"/>
      <c r="F701" s="89"/>
      <c r="G701" s="89"/>
      <c r="H701" s="89"/>
      <c r="I701" s="89"/>
      <c r="J701" s="89"/>
      <c r="K701" s="89"/>
      <c r="L701" s="89"/>
      <c r="M701" s="89"/>
      <c r="N701" s="89"/>
      <c r="O701" s="89"/>
      <c r="P701" s="89"/>
      <c r="Q701" s="89"/>
      <c r="R701" s="89"/>
      <c r="S701" s="89"/>
      <c r="T701" s="89"/>
      <c r="U701" s="89"/>
      <c r="V701" s="89"/>
      <c r="W701" s="89"/>
      <c r="X701" s="89"/>
      <c r="Y701" s="89"/>
      <c r="Z701" s="89"/>
      <c r="AA701" s="89"/>
      <c r="AB701" s="89"/>
      <c r="AC701" s="89"/>
      <c r="AD701" s="89"/>
    </row>
    <row r="702">
      <c r="A702" s="89"/>
      <c r="B702" s="89"/>
      <c r="C702" s="140"/>
      <c r="D702" s="89"/>
      <c r="E702" s="89"/>
      <c r="F702" s="89"/>
      <c r="G702" s="89"/>
      <c r="H702" s="89"/>
      <c r="I702" s="89"/>
      <c r="J702" s="89"/>
      <c r="K702" s="89"/>
      <c r="L702" s="89"/>
      <c r="M702" s="89"/>
      <c r="N702" s="89"/>
      <c r="O702" s="89"/>
      <c r="P702" s="89"/>
      <c r="Q702" s="89"/>
      <c r="R702" s="89"/>
      <c r="S702" s="89"/>
      <c r="T702" s="89"/>
      <c r="U702" s="89"/>
      <c r="V702" s="89"/>
      <c r="W702" s="89"/>
      <c r="X702" s="89"/>
      <c r="Y702" s="89"/>
      <c r="Z702" s="89"/>
      <c r="AA702" s="89"/>
      <c r="AB702" s="89"/>
      <c r="AC702" s="89"/>
      <c r="AD702" s="89"/>
    </row>
    <row r="703">
      <c r="A703" s="89"/>
      <c r="B703" s="89"/>
      <c r="C703" s="140"/>
      <c r="D703" s="89"/>
      <c r="E703" s="89"/>
      <c r="F703" s="89"/>
      <c r="G703" s="89"/>
      <c r="H703" s="89"/>
      <c r="I703" s="89"/>
      <c r="J703" s="89"/>
      <c r="K703" s="89"/>
      <c r="L703" s="89"/>
      <c r="M703" s="89"/>
      <c r="N703" s="89"/>
      <c r="O703" s="89"/>
      <c r="P703" s="89"/>
      <c r="Q703" s="89"/>
      <c r="R703" s="89"/>
      <c r="S703" s="89"/>
      <c r="T703" s="89"/>
      <c r="U703" s="89"/>
      <c r="V703" s="89"/>
      <c r="W703" s="89"/>
      <c r="X703" s="89"/>
      <c r="Y703" s="89"/>
      <c r="Z703" s="89"/>
      <c r="AA703" s="89"/>
      <c r="AB703" s="89"/>
      <c r="AC703" s="89"/>
      <c r="AD703" s="89"/>
    </row>
    <row r="704">
      <c r="A704" s="89"/>
      <c r="B704" s="89"/>
      <c r="C704" s="140"/>
      <c r="D704" s="89"/>
      <c r="E704" s="89"/>
      <c r="F704" s="89"/>
      <c r="G704" s="89"/>
      <c r="H704" s="89"/>
      <c r="I704" s="89"/>
      <c r="J704" s="89"/>
      <c r="K704" s="89"/>
      <c r="L704" s="89"/>
      <c r="M704" s="89"/>
      <c r="N704" s="89"/>
      <c r="O704" s="89"/>
      <c r="P704" s="89"/>
      <c r="Q704" s="89"/>
      <c r="R704" s="89"/>
      <c r="S704" s="89"/>
      <c r="T704" s="89"/>
      <c r="U704" s="89"/>
      <c r="V704" s="89"/>
      <c r="W704" s="89"/>
      <c r="X704" s="89"/>
      <c r="Y704" s="89"/>
      <c r="Z704" s="89"/>
      <c r="AA704" s="89"/>
      <c r="AB704" s="89"/>
      <c r="AC704" s="89"/>
      <c r="AD704" s="89"/>
    </row>
    <row r="705">
      <c r="A705" s="89"/>
      <c r="B705" s="89"/>
      <c r="C705" s="140"/>
      <c r="D705" s="89"/>
      <c r="E705" s="89"/>
      <c r="F705" s="89"/>
      <c r="G705" s="89"/>
      <c r="H705" s="89"/>
      <c r="I705" s="89"/>
      <c r="J705" s="89"/>
      <c r="K705" s="89"/>
      <c r="L705" s="89"/>
      <c r="M705" s="89"/>
      <c r="N705" s="89"/>
      <c r="O705" s="89"/>
      <c r="P705" s="89"/>
      <c r="Q705" s="89"/>
      <c r="R705" s="89"/>
      <c r="S705" s="89"/>
      <c r="T705" s="89"/>
      <c r="U705" s="89"/>
      <c r="V705" s="89"/>
      <c r="W705" s="89"/>
      <c r="X705" s="89"/>
      <c r="Y705" s="89"/>
      <c r="Z705" s="89"/>
      <c r="AA705" s="89"/>
      <c r="AB705" s="89"/>
      <c r="AC705" s="89"/>
      <c r="AD705" s="89"/>
    </row>
    <row r="706">
      <c r="A706" s="89"/>
      <c r="B706" s="89"/>
      <c r="C706" s="140"/>
      <c r="D706" s="89"/>
      <c r="E706" s="89"/>
      <c r="F706" s="89"/>
      <c r="G706" s="89"/>
      <c r="H706" s="89"/>
      <c r="I706" s="89"/>
      <c r="J706" s="89"/>
      <c r="K706" s="89"/>
      <c r="L706" s="89"/>
      <c r="M706" s="89"/>
      <c r="N706" s="89"/>
      <c r="O706" s="89"/>
      <c r="P706" s="89"/>
      <c r="Q706" s="89"/>
      <c r="R706" s="89"/>
      <c r="S706" s="89"/>
      <c r="T706" s="89"/>
      <c r="U706" s="89"/>
      <c r="V706" s="89"/>
      <c r="W706" s="89"/>
      <c r="X706" s="89"/>
      <c r="Y706" s="89"/>
      <c r="Z706" s="89"/>
      <c r="AA706" s="89"/>
      <c r="AB706" s="89"/>
      <c r="AC706" s="89"/>
      <c r="AD706" s="89"/>
    </row>
    <row r="707">
      <c r="A707" s="89"/>
      <c r="B707" s="89"/>
      <c r="C707" s="140"/>
      <c r="D707" s="89"/>
      <c r="E707" s="89"/>
      <c r="F707" s="89"/>
      <c r="G707" s="89"/>
      <c r="H707" s="89"/>
      <c r="I707" s="89"/>
      <c r="J707" s="89"/>
      <c r="K707" s="89"/>
      <c r="L707" s="89"/>
      <c r="M707" s="89"/>
      <c r="N707" s="89"/>
      <c r="O707" s="89"/>
      <c r="P707" s="89"/>
      <c r="Q707" s="89"/>
      <c r="R707" s="89"/>
      <c r="S707" s="89"/>
      <c r="T707" s="89"/>
      <c r="U707" s="89"/>
      <c r="V707" s="89"/>
      <c r="W707" s="89"/>
      <c r="X707" s="89"/>
      <c r="Y707" s="89"/>
      <c r="Z707" s="89"/>
      <c r="AA707" s="89"/>
      <c r="AB707" s="89"/>
      <c r="AC707" s="89"/>
      <c r="AD707" s="89"/>
    </row>
    <row r="708">
      <c r="A708" s="89"/>
      <c r="B708" s="89"/>
      <c r="C708" s="140"/>
      <c r="D708" s="89"/>
      <c r="E708" s="89"/>
      <c r="F708" s="89"/>
      <c r="G708" s="89"/>
      <c r="H708" s="89"/>
      <c r="I708" s="89"/>
      <c r="J708" s="89"/>
      <c r="K708" s="89"/>
      <c r="L708" s="89"/>
      <c r="M708" s="89"/>
      <c r="N708" s="89"/>
      <c r="O708" s="89"/>
      <c r="P708" s="89"/>
      <c r="Q708" s="89"/>
      <c r="R708" s="89"/>
      <c r="S708" s="89"/>
      <c r="T708" s="89"/>
      <c r="U708" s="89"/>
      <c r="V708" s="89"/>
      <c r="W708" s="89"/>
      <c r="X708" s="89"/>
      <c r="Y708" s="89"/>
      <c r="Z708" s="89"/>
      <c r="AA708" s="89"/>
      <c r="AB708" s="89"/>
      <c r="AC708" s="89"/>
      <c r="AD708" s="89"/>
    </row>
    <row r="709">
      <c r="A709" s="89"/>
      <c r="B709" s="89"/>
      <c r="C709" s="140"/>
      <c r="D709" s="89"/>
      <c r="E709" s="89"/>
      <c r="F709" s="89"/>
      <c r="G709" s="89"/>
      <c r="H709" s="89"/>
      <c r="I709" s="89"/>
      <c r="J709" s="89"/>
      <c r="K709" s="89"/>
      <c r="L709" s="89"/>
      <c r="M709" s="89"/>
      <c r="N709" s="89"/>
      <c r="O709" s="89"/>
      <c r="P709" s="89"/>
      <c r="Q709" s="89"/>
      <c r="R709" s="89"/>
      <c r="S709" s="89"/>
      <c r="T709" s="89"/>
      <c r="U709" s="89"/>
      <c r="V709" s="89"/>
      <c r="W709" s="89"/>
      <c r="X709" s="89"/>
      <c r="Y709" s="89"/>
      <c r="Z709" s="89"/>
      <c r="AA709" s="89"/>
      <c r="AB709" s="89"/>
      <c r="AC709" s="89"/>
      <c r="AD709" s="89"/>
    </row>
    <row r="710">
      <c r="A710" s="89"/>
      <c r="B710" s="89"/>
      <c r="C710" s="140"/>
      <c r="D710" s="89"/>
      <c r="E710" s="89"/>
      <c r="F710" s="89"/>
      <c r="G710" s="89"/>
      <c r="H710" s="89"/>
      <c r="I710" s="89"/>
      <c r="J710" s="89"/>
      <c r="K710" s="89"/>
      <c r="L710" s="89"/>
      <c r="M710" s="89"/>
      <c r="N710" s="89"/>
      <c r="O710" s="89"/>
      <c r="P710" s="89"/>
      <c r="Q710" s="89"/>
      <c r="R710" s="89"/>
      <c r="S710" s="89"/>
      <c r="T710" s="89"/>
      <c r="U710" s="89"/>
      <c r="V710" s="89"/>
      <c r="W710" s="89"/>
      <c r="X710" s="89"/>
      <c r="Y710" s="89"/>
      <c r="Z710" s="89"/>
      <c r="AA710" s="89"/>
      <c r="AB710" s="89"/>
      <c r="AC710" s="89"/>
      <c r="AD710" s="89"/>
    </row>
    <row r="711">
      <c r="A711" s="89"/>
      <c r="B711" s="89"/>
      <c r="C711" s="140"/>
      <c r="D711" s="89"/>
      <c r="E711" s="89"/>
      <c r="F711" s="89"/>
      <c r="G711" s="89"/>
      <c r="H711" s="89"/>
      <c r="I711" s="89"/>
      <c r="J711" s="89"/>
      <c r="K711" s="89"/>
      <c r="L711" s="89"/>
      <c r="M711" s="89"/>
      <c r="N711" s="89"/>
      <c r="O711" s="89"/>
      <c r="P711" s="89"/>
      <c r="Q711" s="89"/>
      <c r="R711" s="89"/>
      <c r="S711" s="89"/>
      <c r="T711" s="89"/>
      <c r="U711" s="89"/>
      <c r="V711" s="89"/>
      <c r="W711" s="89"/>
      <c r="X711" s="89"/>
      <c r="Y711" s="89"/>
      <c r="Z711" s="89"/>
      <c r="AA711" s="89"/>
      <c r="AB711" s="89"/>
      <c r="AC711" s="89"/>
      <c r="AD711" s="89"/>
    </row>
    <row r="712">
      <c r="A712" s="89"/>
      <c r="B712" s="89"/>
      <c r="C712" s="140"/>
      <c r="D712" s="89"/>
      <c r="E712" s="89"/>
      <c r="F712" s="89"/>
      <c r="G712" s="89"/>
      <c r="H712" s="89"/>
      <c r="I712" s="89"/>
      <c r="J712" s="89"/>
      <c r="K712" s="89"/>
      <c r="L712" s="89"/>
      <c r="M712" s="89"/>
      <c r="N712" s="89"/>
      <c r="O712" s="89"/>
      <c r="P712" s="89"/>
      <c r="Q712" s="89"/>
      <c r="R712" s="89"/>
      <c r="S712" s="89"/>
      <c r="T712" s="89"/>
      <c r="U712" s="89"/>
      <c r="V712" s="89"/>
      <c r="W712" s="89"/>
      <c r="X712" s="89"/>
      <c r="Y712" s="89"/>
      <c r="Z712" s="89"/>
      <c r="AA712" s="89"/>
      <c r="AB712" s="89"/>
      <c r="AC712" s="89"/>
      <c r="AD712" s="89"/>
    </row>
    <row r="713">
      <c r="A713" s="89"/>
      <c r="B713" s="89"/>
      <c r="C713" s="140"/>
      <c r="D713" s="89"/>
      <c r="E713" s="89"/>
      <c r="F713" s="89"/>
      <c r="G713" s="89"/>
      <c r="H713" s="89"/>
      <c r="I713" s="89"/>
      <c r="J713" s="89"/>
      <c r="K713" s="89"/>
      <c r="L713" s="89"/>
      <c r="M713" s="89"/>
      <c r="N713" s="89"/>
      <c r="O713" s="89"/>
      <c r="P713" s="89"/>
      <c r="Q713" s="89"/>
      <c r="R713" s="89"/>
      <c r="S713" s="89"/>
      <c r="T713" s="89"/>
      <c r="U713" s="89"/>
      <c r="V713" s="89"/>
      <c r="W713" s="89"/>
      <c r="X713" s="89"/>
      <c r="Y713" s="89"/>
      <c r="Z713" s="89"/>
      <c r="AA713" s="89"/>
      <c r="AB713" s="89"/>
      <c r="AC713" s="89"/>
      <c r="AD713" s="89"/>
    </row>
    <row r="714">
      <c r="A714" s="89"/>
      <c r="B714" s="89"/>
      <c r="C714" s="140"/>
      <c r="D714" s="89"/>
      <c r="E714" s="89"/>
      <c r="F714" s="89"/>
      <c r="G714" s="89"/>
      <c r="H714" s="89"/>
      <c r="I714" s="89"/>
      <c r="J714" s="89"/>
      <c r="K714" s="89"/>
      <c r="L714" s="89"/>
      <c r="M714" s="89"/>
      <c r="N714" s="89"/>
      <c r="O714" s="89"/>
      <c r="P714" s="89"/>
      <c r="Q714" s="89"/>
      <c r="R714" s="89"/>
      <c r="S714" s="89"/>
      <c r="T714" s="89"/>
      <c r="U714" s="89"/>
      <c r="V714" s="89"/>
      <c r="W714" s="89"/>
      <c r="X714" s="89"/>
      <c r="Y714" s="89"/>
      <c r="Z714" s="89"/>
      <c r="AA714" s="89"/>
      <c r="AB714" s="89"/>
      <c r="AC714" s="89"/>
      <c r="AD714" s="89"/>
    </row>
    <row r="715">
      <c r="A715" s="89"/>
      <c r="B715" s="89"/>
      <c r="C715" s="140"/>
      <c r="D715" s="89"/>
      <c r="E715" s="89"/>
      <c r="F715" s="89"/>
      <c r="G715" s="89"/>
      <c r="H715" s="89"/>
      <c r="I715" s="89"/>
      <c r="J715" s="89"/>
      <c r="K715" s="89"/>
      <c r="L715" s="89"/>
      <c r="M715" s="89"/>
      <c r="N715" s="89"/>
      <c r="O715" s="89"/>
      <c r="P715" s="89"/>
      <c r="Q715" s="89"/>
      <c r="R715" s="89"/>
      <c r="S715" s="89"/>
      <c r="T715" s="89"/>
      <c r="U715" s="89"/>
      <c r="V715" s="89"/>
      <c r="W715" s="89"/>
      <c r="X715" s="89"/>
      <c r="Y715" s="89"/>
      <c r="Z715" s="89"/>
      <c r="AA715" s="89"/>
      <c r="AB715" s="89"/>
      <c r="AC715" s="89"/>
      <c r="AD715" s="89"/>
    </row>
    <row r="716">
      <c r="A716" s="89"/>
      <c r="B716" s="89"/>
      <c r="C716" s="140"/>
      <c r="D716" s="89"/>
      <c r="E716" s="89"/>
      <c r="F716" s="89"/>
      <c r="G716" s="89"/>
      <c r="H716" s="89"/>
      <c r="I716" s="89"/>
      <c r="J716" s="89"/>
      <c r="K716" s="89"/>
      <c r="L716" s="89"/>
      <c r="M716" s="89"/>
      <c r="N716" s="89"/>
      <c r="O716" s="89"/>
      <c r="P716" s="89"/>
      <c r="Q716" s="89"/>
      <c r="R716" s="89"/>
      <c r="S716" s="89"/>
      <c r="T716" s="89"/>
      <c r="U716" s="89"/>
      <c r="V716" s="89"/>
      <c r="W716" s="89"/>
      <c r="X716" s="89"/>
      <c r="Y716" s="89"/>
      <c r="Z716" s="89"/>
      <c r="AA716" s="89"/>
      <c r="AB716" s="89"/>
      <c r="AC716" s="89"/>
      <c r="AD716" s="89"/>
    </row>
    <row r="717">
      <c r="A717" s="89"/>
      <c r="B717" s="89"/>
      <c r="C717" s="140"/>
      <c r="D717" s="89"/>
      <c r="E717" s="89"/>
      <c r="F717" s="89"/>
      <c r="G717" s="89"/>
      <c r="H717" s="89"/>
      <c r="I717" s="89"/>
      <c r="J717" s="89"/>
      <c r="K717" s="89"/>
      <c r="L717" s="89"/>
      <c r="M717" s="89"/>
      <c r="N717" s="89"/>
      <c r="O717" s="89"/>
      <c r="P717" s="89"/>
      <c r="Q717" s="89"/>
      <c r="R717" s="89"/>
      <c r="S717" s="89"/>
      <c r="T717" s="89"/>
      <c r="U717" s="89"/>
      <c r="V717" s="89"/>
      <c r="W717" s="89"/>
      <c r="X717" s="89"/>
      <c r="Y717" s="89"/>
      <c r="Z717" s="89"/>
      <c r="AA717" s="89"/>
      <c r="AB717" s="89"/>
      <c r="AC717" s="89"/>
      <c r="AD717" s="89"/>
    </row>
    <row r="718">
      <c r="A718" s="89"/>
      <c r="B718" s="89"/>
      <c r="C718" s="140"/>
      <c r="D718" s="89"/>
      <c r="E718" s="89"/>
      <c r="F718" s="89"/>
      <c r="G718" s="89"/>
      <c r="H718" s="89"/>
      <c r="I718" s="89"/>
      <c r="J718" s="89"/>
      <c r="K718" s="89"/>
      <c r="L718" s="89"/>
      <c r="M718" s="89"/>
      <c r="N718" s="89"/>
      <c r="O718" s="89"/>
      <c r="P718" s="89"/>
      <c r="Q718" s="89"/>
      <c r="R718" s="89"/>
      <c r="S718" s="89"/>
      <c r="T718" s="89"/>
      <c r="U718" s="89"/>
      <c r="V718" s="89"/>
      <c r="W718" s="89"/>
      <c r="X718" s="89"/>
      <c r="Y718" s="89"/>
      <c r="Z718" s="89"/>
      <c r="AA718" s="89"/>
      <c r="AB718" s="89"/>
      <c r="AC718" s="89"/>
      <c r="AD718" s="89"/>
    </row>
    <row r="719">
      <c r="A719" s="89"/>
      <c r="B719" s="89"/>
      <c r="C719" s="140"/>
      <c r="D719" s="89"/>
      <c r="E719" s="89"/>
      <c r="F719" s="89"/>
      <c r="G719" s="89"/>
      <c r="H719" s="89"/>
      <c r="I719" s="89"/>
      <c r="J719" s="89"/>
      <c r="K719" s="89"/>
      <c r="L719" s="89"/>
      <c r="M719" s="89"/>
      <c r="N719" s="89"/>
      <c r="O719" s="89"/>
      <c r="P719" s="89"/>
      <c r="Q719" s="89"/>
      <c r="R719" s="89"/>
      <c r="S719" s="89"/>
      <c r="T719" s="89"/>
      <c r="U719" s="89"/>
      <c r="V719" s="89"/>
      <c r="W719" s="89"/>
      <c r="X719" s="89"/>
      <c r="Y719" s="89"/>
      <c r="Z719" s="89"/>
      <c r="AA719" s="89"/>
      <c r="AB719" s="89"/>
      <c r="AC719" s="89"/>
      <c r="AD719" s="89"/>
    </row>
    <row r="720">
      <c r="A720" s="89"/>
      <c r="B720" s="89"/>
      <c r="C720" s="140"/>
      <c r="D720" s="89"/>
      <c r="E720" s="89"/>
      <c r="F720" s="89"/>
      <c r="G720" s="89"/>
      <c r="H720" s="89"/>
      <c r="I720" s="89"/>
      <c r="J720" s="89"/>
      <c r="K720" s="89"/>
      <c r="L720" s="89"/>
      <c r="M720" s="89"/>
      <c r="N720" s="89"/>
      <c r="O720" s="89"/>
      <c r="P720" s="89"/>
      <c r="Q720" s="89"/>
      <c r="R720" s="89"/>
      <c r="S720" s="89"/>
      <c r="T720" s="89"/>
      <c r="U720" s="89"/>
      <c r="V720" s="89"/>
      <c r="W720" s="89"/>
      <c r="X720" s="89"/>
      <c r="Y720" s="89"/>
      <c r="Z720" s="89"/>
      <c r="AA720" s="89"/>
      <c r="AB720" s="89"/>
      <c r="AC720" s="89"/>
      <c r="AD720" s="89"/>
    </row>
    <row r="721">
      <c r="A721" s="89"/>
      <c r="B721" s="89"/>
      <c r="C721" s="140"/>
      <c r="D721" s="89"/>
      <c r="E721" s="89"/>
      <c r="F721" s="89"/>
      <c r="G721" s="89"/>
      <c r="H721" s="89"/>
      <c r="I721" s="89"/>
      <c r="J721" s="89"/>
      <c r="K721" s="89"/>
      <c r="L721" s="89"/>
      <c r="M721" s="89"/>
      <c r="N721" s="89"/>
      <c r="O721" s="89"/>
      <c r="P721" s="89"/>
      <c r="Q721" s="89"/>
      <c r="R721" s="89"/>
      <c r="S721" s="89"/>
      <c r="T721" s="89"/>
      <c r="U721" s="89"/>
      <c r="V721" s="89"/>
      <c r="W721" s="89"/>
      <c r="X721" s="89"/>
      <c r="Y721" s="89"/>
      <c r="Z721" s="89"/>
      <c r="AA721" s="89"/>
      <c r="AB721" s="89"/>
      <c r="AC721" s="89"/>
      <c r="AD721" s="89"/>
    </row>
    <row r="722">
      <c r="A722" s="89"/>
      <c r="B722" s="89"/>
      <c r="C722" s="140"/>
      <c r="D722" s="89"/>
      <c r="E722" s="89"/>
      <c r="F722" s="89"/>
      <c r="G722" s="89"/>
      <c r="H722" s="89"/>
      <c r="I722" s="89"/>
      <c r="J722" s="89"/>
      <c r="K722" s="89"/>
      <c r="L722" s="89"/>
      <c r="M722" s="89"/>
      <c r="N722" s="89"/>
      <c r="O722" s="89"/>
      <c r="P722" s="89"/>
      <c r="Q722" s="89"/>
      <c r="R722" s="89"/>
      <c r="S722" s="89"/>
      <c r="T722" s="89"/>
      <c r="U722" s="89"/>
      <c r="V722" s="89"/>
      <c r="W722" s="89"/>
      <c r="X722" s="89"/>
      <c r="Y722" s="89"/>
      <c r="Z722" s="89"/>
      <c r="AA722" s="89"/>
      <c r="AB722" s="89"/>
      <c r="AC722" s="89"/>
      <c r="AD722" s="89"/>
    </row>
    <row r="723">
      <c r="A723" s="89"/>
      <c r="B723" s="89"/>
      <c r="C723" s="140"/>
      <c r="D723" s="89"/>
      <c r="E723" s="89"/>
      <c r="F723" s="89"/>
      <c r="G723" s="89"/>
      <c r="H723" s="89"/>
      <c r="I723" s="89"/>
      <c r="J723" s="89"/>
      <c r="K723" s="89"/>
      <c r="L723" s="89"/>
      <c r="M723" s="89"/>
      <c r="N723" s="89"/>
      <c r="O723" s="89"/>
      <c r="P723" s="89"/>
      <c r="Q723" s="89"/>
      <c r="R723" s="89"/>
      <c r="S723" s="89"/>
      <c r="T723" s="89"/>
      <c r="U723" s="89"/>
      <c r="V723" s="89"/>
      <c r="W723" s="89"/>
      <c r="X723" s="89"/>
      <c r="Y723" s="89"/>
      <c r="Z723" s="89"/>
      <c r="AA723" s="89"/>
      <c r="AB723" s="89"/>
      <c r="AC723" s="89"/>
      <c r="AD723" s="89"/>
    </row>
    <row r="724">
      <c r="A724" s="89"/>
      <c r="B724" s="89"/>
      <c r="C724" s="140"/>
      <c r="D724" s="89"/>
      <c r="E724" s="89"/>
      <c r="F724" s="89"/>
      <c r="G724" s="89"/>
      <c r="H724" s="89"/>
      <c r="I724" s="89"/>
      <c r="J724" s="89"/>
      <c r="K724" s="89"/>
      <c r="L724" s="89"/>
      <c r="M724" s="89"/>
      <c r="N724" s="89"/>
      <c r="O724" s="89"/>
      <c r="P724" s="89"/>
      <c r="Q724" s="89"/>
      <c r="R724" s="89"/>
      <c r="S724" s="89"/>
      <c r="T724" s="89"/>
      <c r="U724" s="89"/>
      <c r="V724" s="89"/>
      <c r="W724" s="89"/>
      <c r="X724" s="89"/>
      <c r="Y724" s="89"/>
      <c r="Z724" s="89"/>
      <c r="AA724" s="89"/>
      <c r="AB724" s="89"/>
      <c r="AC724" s="89"/>
      <c r="AD724" s="89"/>
    </row>
    <row r="725">
      <c r="A725" s="89"/>
      <c r="B725" s="89"/>
      <c r="C725" s="140"/>
      <c r="D725" s="89"/>
      <c r="E725" s="89"/>
      <c r="F725" s="89"/>
      <c r="G725" s="89"/>
      <c r="H725" s="89"/>
      <c r="I725" s="89"/>
      <c r="J725" s="89"/>
      <c r="K725" s="89"/>
      <c r="L725" s="89"/>
      <c r="M725" s="89"/>
      <c r="N725" s="89"/>
      <c r="O725" s="89"/>
      <c r="P725" s="89"/>
      <c r="Q725" s="89"/>
      <c r="R725" s="89"/>
      <c r="S725" s="89"/>
      <c r="T725" s="89"/>
      <c r="U725" s="89"/>
      <c r="V725" s="89"/>
      <c r="W725" s="89"/>
      <c r="X725" s="89"/>
      <c r="Y725" s="89"/>
      <c r="Z725" s="89"/>
      <c r="AA725" s="89"/>
      <c r="AB725" s="89"/>
      <c r="AC725" s="89"/>
      <c r="AD725" s="89"/>
    </row>
    <row r="726">
      <c r="A726" s="89"/>
      <c r="B726" s="89"/>
      <c r="C726" s="140"/>
      <c r="D726" s="89"/>
      <c r="E726" s="89"/>
      <c r="F726" s="89"/>
      <c r="G726" s="89"/>
      <c r="H726" s="89"/>
      <c r="I726" s="89"/>
      <c r="J726" s="89"/>
      <c r="K726" s="89"/>
      <c r="L726" s="89"/>
      <c r="M726" s="89"/>
      <c r="N726" s="89"/>
      <c r="O726" s="89"/>
      <c r="P726" s="89"/>
      <c r="Q726" s="89"/>
      <c r="R726" s="89"/>
      <c r="S726" s="89"/>
      <c r="T726" s="89"/>
      <c r="U726" s="89"/>
      <c r="V726" s="89"/>
      <c r="W726" s="89"/>
      <c r="X726" s="89"/>
      <c r="Y726" s="89"/>
      <c r="Z726" s="89"/>
      <c r="AA726" s="89"/>
      <c r="AB726" s="89"/>
      <c r="AC726" s="89"/>
      <c r="AD726" s="89"/>
    </row>
    <row r="727">
      <c r="A727" s="89"/>
      <c r="B727" s="89"/>
      <c r="C727" s="140"/>
      <c r="D727" s="89"/>
      <c r="E727" s="89"/>
      <c r="F727" s="89"/>
      <c r="G727" s="89"/>
      <c r="H727" s="89"/>
      <c r="I727" s="89"/>
      <c r="J727" s="89"/>
      <c r="K727" s="89"/>
      <c r="L727" s="89"/>
      <c r="M727" s="89"/>
      <c r="N727" s="89"/>
      <c r="O727" s="89"/>
      <c r="P727" s="89"/>
      <c r="Q727" s="89"/>
      <c r="R727" s="89"/>
      <c r="S727" s="89"/>
      <c r="T727" s="89"/>
      <c r="U727" s="89"/>
      <c r="V727" s="89"/>
      <c r="W727" s="89"/>
      <c r="X727" s="89"/>
      <c r="Y727" s="89"/>
      <c r="Z727" s="89"/>
      <c r="AA727" s="89"/>
      <c r="AB727" s="89"/>
      <c r="AC727" s="89"/>
      <c r="AD727" s="89"/>
    </row>
    <row r="728">
      <c r="A728" s="89"/>
      <c r="B728" s="89"/>
      <c r="C728" s="140"/>
      <c r="D728" s="89"/>
      <c r="E728" s="89"/>
      <c r="F728" s="89"/>
      <c r="G728" s="89"/>
      <c r="H728" s="89"/>
      <c r="I728" s="89"/>
      <c r="J728" s="89"/>
      <c r="K728" s="89"/>
      <c r="L728" s="89"/>
      <c r="M728" s="89"/>
      <c r="N728" s="89"/>
      <c r="O728" s="89"/>
      <c r="P728" s="89"/>
      <c r="Q728" s="89"/>
      <c r="R728" s="89"/>
      <c r="S728" s="89"/>
      <c r="T728" s="89"/>
      <c r="U728" s="89"/>
      <c r="V728" s="89"/>
      <c r="W728" s="89"/>
      <c r="X728" s="89"/>
      <c r="Y728" s="89"/>
      <c r="Z728" s="89"/>
      <c r="AA728" s="89"/>
      <c r="AB728" s="89"/>
      <c r="AC728" s="89"/>
      <c r="AD728" s="89"/>
    </row>
    <row r="729">
      <c r="A729" s="89"/>
      <c r="B729" s="89"/>
      <c r="C729" s="140"/>
      <c r="D729" s="89"/>
      <c r="E729" s="89"/>
      <c r="F729" s="89"/>
      <c r="G729" s="89"/>
      <c r="H729" s="89"/>
      <c r="I729" s="89"/>
      <c r="J729" s="89"/>
      <c r="K729" s="89"/>
      <c r="L729" s="89"/>
      <c r="M729" s="89"/>
      <c r="N729" s="89"/>
      <c r="O729" s="89"/>
      <c r="P729" s="89"/>
      <c r="Q729" s="89"/>
      <c r="R729" s="89"/>
      <c r="S729" s="89"/>
      <c r="T729" s="89"/>
      <c r="U729" s="89"/>
      <c r="V729" s="89"/>
      <c r="W729" s="89"/>
      <c r="X729" s="89"/>
      <c r="Y729" s="89"/>
      <c r="Z729" s="89"/>
      <c r="AA729" s="89"/>
      <c r="AB729" s="89"/>
      <c r="AC729" s="89"/>
      <c r="AD729" s="89"/>
    </row>
    <row r="730">
      <c r="A730" s="89"/>
      <c r="B730" s="89"/>
      <c r="C730" s="140"/>
      <c r="D730" s="89"/>
      <c r="E730" s="89"/>
      <c r="F730" s="89"/>
      <c r="G730" s="89"/>
      <c r="H730" s="89"/>
      <c r="I730" s="89"/>
      <c r="J730" s="89"/>
      <c r="K730" s="89"/>
      <c r="L730" s="89"/>
      <c r="M730" s="89"/>
      <c r="N730" s="89"/>
      <c r="O730" s="89"/>
      <c r="P730" s="89"/>
      <c r="Q730" s="89"/>
      <c r="R730" s="89"/>
      <c r="S730" s="89"/>
      <c r="T730" s="89"/>
      <c r="U730" s="89"/>
      <c r="V730" s="89"/>
      <c r="W730" s="89"/>
      <c r="X730" s="89"/>
      <c r="Y730" s="89"/>
      <c r="Z730" s="89"/>
      <c r="AA730" s="89"/>
      <c r="AB730" s="89"/>
      <c r="AC730" s="89"/>
      <c r="AD730" s="89"/>
    </row>
    <row r="731">
      <c r="A731" s="89"/>
      <c r="B731" s="89"/>
      <c r="C731" s="140"/>
      <c r="D731" s="89"/>
      <c r="E731" s="89"/>
      <c r="F731" s="89"/>
      <c r="G731" s="89"/>
      <c r="H731" s="89"/>
      <c r="I731" s="89"/>
      <c r="J731" s="89"/>
      <c r="K731" s="89"/>
      <c r="L731" s="89"/>
      <c r="M731" s="89"/>
      <c r="N731" s="89"/>
      <c r="O731" s="89"/>
      <c r="P731" s="89"/>
      <c r="Q731" s="89"/>
      <c r="R731" s="89"/>
      <c r="S731" s="89"/>
      <c r="T731" s="89"/>
      <c r="U731" s="89"/>
      <c r="V731" s="89"/>
      <c r="W731" s="89"/>
      <c r="X731" s="89"/>
      <c r="Y731" s="89"/>
      <c r="Z731" s="89"/>
      <c r="AA731" s="89"/>
      <c r="AB731" s="89"/>
      <c r="AC731" s="89"/>
      <c r="AD731" s="89"/>
    </row>
    <row r="732">
      <c r="A732" s="89"/>
      <c r="B732" s="89"/>
      <c r="C732" s="140"/>
      <c r="D732" s="89"/>
      <c r="E732" s="89"/>
      <c r="F732" s="89"/>
      <c r="G732" s="89"/>
      <c r="H732" s="89"/>
      <c r="I732" s="89"/>
      <c r="J732" s="89"/>
      <c r="K732" s="89"/>
      <c r="L732" s="89"/>
      <c r="M732" s="89"/>
      <c r="N732" s="89"/>
      <c r="O732" s="89"/>
      <c r="P732" s="89"/>
      <c r="Q732" s="89"/>
      <c r="R732" s="89"/>
      <c r="S732" s="89"/>
      <c r="T732" s="89"/>
      <c r="U732" s="89"/>
      <c r="V732" s="89"/>
      <c r="W732" s="89"/>
      <c r="X732" s="89"/>
      <c r="Y732" s="89"/>
      <c r="Z732" s="89"/>
      <c r="AA732" s="89"/>
      <c r="AB732" s="89"/>
      <c r="AC732" s="89"/>
      <c r="AD732" s="89"/>
    </row>
    <row r="733">
      <c r="A733" s="89"/>
      <c r="B733" s="89"/>
      <c r="C733" s="140"/>
      <c r="D733" s="89"/>
      <c r="E733" s="89"/>
      <c r="F733" s="89"/>
      <c r="G733" s="89"/>
      <c r="H733" s="89"/>
      <c r="I733" s="89"/>
      <c r="J733" s="89"/>
      <c r="K733" s="89"/>
      <c r="L733" s="89"/>
      <c r="M733" s="89"/>
      <c r="N733" s="89"/>
      <c r="O733" s="89"/>
      <c r="P733" s="89"/>
      <c r="Q733" s="89"/>
      <c r="R733" s="89"/>
      <c r="S733" s="89"/>
      <c r="T733" s="89"/>
      <c r="U733" s="89"/>
      <c r="V733" s="89"/>
      <c r="W733" s="89"/>
      <c r="X733" s="89"/>
      <c r="Y733" s="89"/>
      <c r="Z733" s="89"/>
      <c r="AA733" s="89"/>
      <c r="AB733" s="89"/>
      <c r="AC733" s="89"/>
      <c r="AD733" s="89"/>
    </row>
    <row r="734">
      <c r="A734" s="89"/>
      <c r="B734" s="89"/>
      <c r="C734" s="140"/>
      <c r="D734" s="89"/>
      <c r="E734" s="89"/>
      <c r="F734" s="89"/>
      <c r="G734" s="89"/>
      <c r="H734" s="89"/>
      <c r="I734" s="89"/>
      <c r="J734" s="89"/>
      <c r="K734" s="89"/>
      <c r="L734" s="89"/>
      <c r="M734" s="89"/>
      <c r="N734" s="89"/>
      <c r="O734" s="89"/>
      <c r="P734" s="89"/>
      <c r="Q734" s="89"/>
      <c r="R734" s="89"/>
      <c r="S734" s="89"/>
      <c r="T734" s="89"/>
      <c r="U734" s="89"/>
      <c r="V734" s="89"/>
      <c r="W734" s="89"/>
      <c r="X734" s="89"/>
      <c r="Y734" s="89"/>
      <c r="Z734" s="89"/>
      <c r="AA734" s="89"/>
      <c r="AB734" s="89"/>
      <c r="AC734" s="89"/>
      <c r="AD734" s="89"/>
    </row>
    <row r="735">
      <c r="A735" s="89"/>
      <c r="B735" s="89"/>
      <c r="C735" s="140"/>
      <c r="D735" s="89"/>
      <c r="E735" s="89"/>
      <c r="F735" s="89"/>
      <c r="G735" s="89"/>
      <c r="H735" s="89"/>
      <c r="I735" s="89"/>
      <c r="J735" s="89"/>
      <c r="K735" s="89"/>
      <c r="L735" s="89"/>
      <c r="M735" s="89"/>
      <c r="N735" s="89"/>
      <c r="O735" s="89"/>
      <c r="P735" s="89"/>
      <c r="Q735" s="89"/>
      <c r="R735" s="89"/>
      <c r="S735" s="89"/>
      <c r="T735" s="89"/>
      <c r="U735" s="89"/>
      <c r="V735" s="89"/>
      <c r="W735" s="89"/>
      <c r="X735" s="89"/>
      <c r="Y735" s="89"/>
      <c r="Z735" s="89"/>
      <c r="AA735" s="89"/>
      <c r="AB735" s="89"/>
      <c r="AC735" s="89"/>
      <c r="AD735" s="89"/>
    </row>
    <row r="736">
      <c r="A736" s="89"/>
      <c r="B736" s="89"/>
      <c r="C736" s="140"/>
      <c r="D736" s="89"/>
      <c r="E736" s="89"/>
      <c r="F736" s="89"/>
      <c r="G736" s="89"/>
      <c r="H736" s="89"/>
      <c r="I736" s="89"/>
      <c r="J736" s="89"/>
      <c r="K736" s="89"/>
      <c r="L736" s="89"/>
      <c r="M736" s="89"/>
      <c r="N736" s="89"/>
      <c r="O736" s="89"/>
      <c r="P736" s="89"/>
      <c r="Q736" s="89"/>
      <c r="R736" s="89"/>
      <c r="S736" s="89"/>
      <c r="T736" s="89"/>
      <c r="U736" s="89"/>
      <c r="V736" s="89"/>
      <c r="W736" s="89"/>
      <c r="X736" s="89"/>
      <c r="Y736" s="89"/>
      <c r="Z736" s="89"/>
      <c r="AA736" s="89"/>
      <c r="AB736" s="89"/>
      <c r="AC736" s="89"/>
      <c r="AD736" s="89"/>
    </row>
    <row r="737">
      <c r="A737" s="89"/>
      <c r="B737" s="89"/>
      <c r="C737" s="140"/>
      <c r="D737" s="89"/>
      <c r="E737" s="89"/>
      <c r="F737" s="89"/>
      <c r="G737" s="89"/>
      <c r="H737" s="89"/>
      <c r="I737" s="89"/>
      <c r="J737" s="89"/>
      <c r="K737" s="89"/>
      <c r="L737" s="89"/>
      <c r="M737" s="89"/>
      <c r="N737" s="89"/>
      <c r="O737" s="89"/>
      <c r="P737" s="89"/>
      <c r="Q737" s="89"/>
      <c r="R737" s="89"/>
      <c r="S737" s="89"/>
      <c r="T737" s="89"/>
      <c r="U737" s="89"/>
      <c r="V737" s="89"/>
      <c r="W737" s="89"/>
      <c r="X737" s="89"/>
      <c r="Y737" s="89"/>
      <c r="Z737" s="89"/>
      <c r="AA737" s="89"/>
      <c r="AB737" s="89"/>
      <c r="AC737" s="89"/>
      <c r="AD737" s="89"/>
    </row>
    <row r="738">
      <c r="A738" s="89"/>
      <c r="B738" s="89"/>
      <c r="C738" s="140"/>
      <c r="D738" s="89"/>
      <c r="E738" s="89"/>
      <c r="F738" s="89"/>
      <c r="G738" s="89"/>
      <c r="H738" s="89"/>
      <c r="I738" s="89"/>
      <c r="J738" s="89"/>
      <c r="K738" s="89"/>
      <c r="L738" s="89"/>
      <c r="M738" s="89"/>
      <c r="N738" s="89"/>
      <c r="O738" s="89"/>
      <c r="P738" s="89"/>
      <c r="Q738" s="89"/>
      <c r="R738" s="89"/>
      <c r="S738" s="89"/>
      <c r="T738" s="89"/>
      <c r="U738" s="89"/>
      <c r="V738" s="89"/>
      <c r="W738" s="89"/>
      <c r="X738" s="89"/>
      <c r="Y738" s="89"/>
      <c r="Z738" s="89"/>
      <c r="AA738" s="89"/>
      <c r="AB738" s="89"/>
      <c r="AC738" s="89"/>
      <c r="AD738" s="89"/>
    </row>
    <row r="739">
      <c r="A739" s="89"/>
      <c r="B739" s="89"/>
      <c r="C739" s="140"/>
      <c r="D739" s="89"/>
      <c r="E739" s="89"/>
      <c r="F739" s="89"/>
      <c r="G739" s="89"/>
      <c r="H739" s="89"/>
      <c r="I739" s="89"/>
      <c r="J739" s="89"/>
      <c r="K739" s="89"/>
      <c r="L739" s="89"/>
      <c r="M739" s="89"/>
      <c r="N739" s="89"/>
      <c r="O739" s="89"/>
      <c r="P739" s="89"/>
      <c r="Q739" s="89"/>
      <c r="R739" s="89"/>
      <c r="S739" s="89"/>
      <c r="T739" s="89"/>
      <c r="U739" s="89"/>
      <c r="V739" s="89"/>
      <c r="W739" s="89"/>
      <c r="X739" s="89"/>
      <c r="Y739" s="89"/>
      <c r="Z739" s="89"/>
      <c r="AA739" s="89"/>
      <c r="AB739" s="89"/>
      <c r="AC739" s="89"/>
      <c r="AD739" s="89"/>
    </row>
    <row r="740">
      <c r="A740" s="89"/>
      <c r="B740" s="89"/>
      <c r="C740" s="140"/>
      <c r="D740" s="89"/>
      <c r="E740" s="89"/>
      <c r="F740" s="89"/>
      <c r="G740" s="89"/>
      <c r="H740" s="89"/>
      <c r="I740" s="89"/>
      <c r="J740" s="89"/>
      <c r="K740" s="89"/>
      <c r="L740" s="89"/>
      <c r="M740" s="89"/>
      <c r="N740" s="89"/>
      <c r="O740" s="89"/>
      <c r="P740" s="89"/>
      <c r="Q740" s="89"/>
      <c r="R740" s="89"/>
      <c r="S740" s="89"/>
      <c r="T740" s="89"/>
      <c r="U740" s="89"/>
      <c r="V740" s="89"/>
      <c r="W740" s="89"/>
      <c r="X740" s="89"/>
      <c r="Y740" s="89"/>
      <c r="Z740" s="89"/>
      <c r="AA740" s="89"/>
      <c r="AB740" s="89"/>
      <c r="AC740" s="89"/>
      <c r="AD740" s="89"/>
    </row>
    <row r="741">
      <c r="A741" s="89"/>
      <c r="B741" s="89"/>
      <c r="C741" s="140"/>
      <c r="D741" s="89"/>
      <c r="E741" s="89"/>
      <c r="F741" s="89"/>
      <c r="G741" s="89"/>
      <c r="H741" s="89"/>
      <c r="I741" s="89"/>
      <c r="J741" s="89"/>
      <c r="K741" s="89"/>
      <c r="L741" s="89"/>
      <c r="M741" s="89"/>
      <c r="N741" s="89"/>
      <c r="O741" s="89"/>
      <c r="P741" s="89"/>
      <c r="Q741" s="89"/>
      <c r="R741" s="89"/>
      <c r="S741" s="89"/>
      <c r="T741" s="89"/>
      <c r="U741" s="89"/>
      <c r="V741" s="89"/>
      <c r="W741" s="89"/>
      <c r="X741" s="89"/>
      <c r="Y741" s="89"/>
      <c r="Z741" s="89"/>
      <c r="AA741" s="89"/>
      <c r="AB741" s="89"/>
      <c r="AC741" s="89"/>
      <c r="AD741" s="89"/>
    </row>
    <row r="742">
      <c r="A742" s="89"/>
      <c r="B742" s="89"/>
      <c r="C742" s="140"/>
      <c r="D742" s="89"/>
      <c r="E742" s="89"/>
      <c r="F742" s="89"/>
      <c r="G742" s="89"/>
      <c r="H742" s="89"/>
      <c r="I742" s="89"/>
      <c r="J742" s="89"/>
      <c r="K742" s="89"/>
      <c r="L742" s="89"/>
      <c r="M742" s="89"/>
      <c r="N742" s="89"/>
      <c r="O742" s="89"/>
      <c r="P742" s="89"/>
      <c r="Q742" s="89"/>
      <c r="R742" s="89"/>
      <c r="S742" s="89"/>
      <c r="T742" s="89"/>
      <c r="U742" s="89"/>
      <c r="V742" s="89"/>
      <c r="W742" s="89"/>
      <c r="X742" s="89"/>
      <c r="Y742" s="89"/>
      <c r="Z742" s="89"/>
      <c r="AA742" s="89"/>
      <c r="AB742" s="89"/>
      <c r="AC742" s="89"/>
      <c r="AD742" s="89"/>
    </row>
    <row r="743">
      <c r="A743" s="89"/>
      <c r="B743" s="89"/>
      <c r="C743" s="140"/>
      <c r="D743" s="89"/>
      <c r="E743" s="89"/>
      <c r="F743" s="89"/>
      <c r="G743" s="89"/>
      <c r="H743" s="89"/>
      <c r="I743" s="89"/>
      <c r="J743" s="89"/>
      <c r="K743" s="89"/>
      <c r="L743" s="89"/>
      <c r="M743" s="89"/>
      <c r="N743" s="89"/>
      <c r="O743" s="89"/>
      <c r="P743" s="89"/>
      <c r="Q743" s="89"/>
      <c r="R743" s="89"/>
      <c r="S743" s="89"/>
      <c r="T743" s="89"/>
      <c r="U743" s="89"/>
      <c r="V743" s="89"/>
      <c r="W743" s="89"/>
      <c r="X743" s="89"/>
      <c r="Y743" s="89"/>
      <c r="Z743" s="89"/>
      <c r="AA743" s="89"/>
      <c r="AB743" s="89"/>
      <c r="AC743" s="89"/>
      <c r="AD743" s="89"/>
    </row>
    <row r="744">
      <c r="A744" s="89"/>
      <c r="B744" s="89"/>
      <c r="C744" s="140"/>
      <c r="D744" s="89"/>
      <c r="E744" s="89"/>
      <c r="F744" s="89"/>
      <c r="G744" s="89"/>
      <c r="H744" s="89"/>
      <c r="I744" s="89"/>
      <c r="J744" s="89"/>
      <c r="K744" s="89"/>
      <c r="L744" s="89"/>
      <c r="M744" s="89"/>
      <c r="N744" s="89"/>
      <c r="O744" s="89"/>
      <c r="P744" s="89"/>
      <c r="Q744" s="89"/>
      <c r="R744" s="89"/>
      <c r="S744" s="89"/>
      <c r="T744" s="89"/>
      <c r="U744" s="89"/>
      <c r="V744" s="89"/>
      <c r="W744" s="89"/>
      <c r="X744" s="89"/>
      <c r="Y744" s="89"/>
      <c r="Z744" s="89"/>
      <c r="AA744" s="89"/>
      <c r="AB744" s="89"/>
      <c r="AC744" s="89"/>
      <c r="AD744" s="89"/>
    </row>
    <row r="745">
      <c r="A745" s="89"/>
      <c r="B745" s="89"/>
      <c r="C745" s="140"/>
      <c r="D745" s="89"/>
      <c r="E745" s="89"/>
      <c r="F745" s="89"/>
      <c r="G745" s="89"/>
      <c r="H745" s="89"/>
      <c r="I745" s="89"/>
      <c r="J745" s="89"/>
      <c r="K745" s="89"/>
      <c r="L745" s="89"/>
      <c r="M745" s="89"/>
      <c r="N745" s="89"/>
      <c r="O745" s="89"/>
      <c r="P745" s="89"/>
      <c r="Q745" s="89"/>
      <c r="R745" s="89"/>
      <c r="S745" s="89"/>
      <c r="T745" s="89"/>
      <c r="U745" s="89"/>
      <c r="V745" s="89"/>
      <c r="W745" s="89"/>
      <c r="X745" s="89"/>
      <c r="Y745" s="89"/>
      <c r="Z745" s="89"/>
      <c r="AA745" s="89"/>
      <c r="AB745" s="89"/>
      <c r="AC745" s="89"/>
      <c r="AD745" s="89"/>
    </row>
    <row r="746">
      <c r="A746" s="89"/>
      <c r="B746" s="89"/>
      <c r="C746" s="140"/>
      <c r="D746" s="89"/>
      <c r="E746" s="89"/>
      <c r="F746" s="89"/>
      <c r="G746" s="89"/>
      <c r="H746" s="89"/>
      <c r="I746" s="89"/>
      <c r="J746" s="89"/>
      <c r="K746" s="89"/>
      <c r="L746" s="89"/>
      <c r="M746" s="89"/>
      <c r="N746" s="89"/>
      <c r="O746" s="89"/>
      <c r="P746" s="89"/>
      <c r="Q746" s="89"/>
      <c r="R746" s="89"/>
      <c r="S746" s="89"/>
      <c r="T746" s="89"/>
      <c r="U746" s="89"/>
      <c r="V746" s="89"/>
      <c r="W746" s="89"/>
      <c r="X746" s="89"/>
      <c r="Y746" s="89"/>
      <c r="Z746" s="89"/>
      <c r="AA746" s="89"/>
      <c r="AB746" s="89"/>
      <c r="AC746" s="89"/>
      <c r="AD746" s="89"/>
    </row>
    <row r="747">
      <c r="A747" s="89"/>
      <c r="B747" s="89"/>
      <c r="C747" s="140"/>
      <c r="D747" s="89"/>
      <c r="E747" s="89"/>
      <c r="F747" s="89"/>
      <c r="G747" s="89"/>
      <c r="H747" s="89"/>
      <c r="I747" s="89"/>
      <c r="J747" s="89"/>
      <c r="K747" s="89"/>
      <c r="L747" s="89"/>
      <c r="M747" s="89"/>
      <c r="N747" s="89"/>
      <c r="O747" s="89"/>
      <c r="P747" s="89"/>
      <c r="Q747" s="89"/>
      <c r="R747" s="89"/>
      <c r="S747" s="89"/>
      <c r="T747" s="89"/>
      <c r="U747" s="89"/>
      <c r="V747" s="89"/>
      <c r="W747" s="89"/>
      <c r="X747" s="89"/>
      <c r="Y747" s="89"/>
      <c r="Z747" s="89"/>
      <c r="AA747" s="89"/>
      <c r="AB747" s="89"/>
      <c r="AC747" s="89"/>
      <c r="AD747" s="89"/>
    </row>
    <row r="748">
      <c r="A748" s="89"/>
      <c r="B748" s="89"/>
      <c r="C748" s="140"/>
      <c r="D748" s="89"/>
      <c r="E748" s="89"/>
      <c r="F748" s="89"/>
      <c r="G748" s="89"/>
      <c r="H748" s="89"/>
      <c r="I748" s="89"/>
      <c r="J748" s="89"/>
      <c r="K748" s="89"/>
      <c r="L748" s="89"/>
      <c r="M748" s="89"/>
      <c r="N748" s="89"/>
      <c r="O748" s="89"/>
      <c r="P748" s="89"/>
      <c r="Q748" s="89"/>
      <c r="R748" s="89"/>
      <c r="S748" s="89"/>
      <c r="T748" s="89"/>
      <c r="U748" s="89"/>
      <c r="V748" s="89"/>
      <c r="W748" s="89"/>
      <c r="X748" s="89"/>
      <c r="Y748" s="89"/>
      <c r="Z748" s="89"/>
      <c r="AA748" s="89"/>
      <c r="AB748" s="89"/>
      <c r="AC748" s="89"/>
      <c r="AD748" s="89"/>
    </row>
    <row r="749">
      <c r="A749" s="89"/>
      <c r="B749" s="89"/>
      <c r="C749" s="140"/>
      <c r="D749" s="89"/>
      <c r="E749" s="89"/>
      <c r="F749" s="89"/>
      <c r="G749" s="89"/>
      <c r="H749" s="89"/>
      <c r="I749" s="89"/>
      <c r="J749" s="89"/>
      <c r="K749" s="89"/>
      <c r="L749" s="89"/>
      <c r="M749" s="89"/>
      <c r="N749" s="89"/>
      <c r="O749" s="89"/>
      <c r="P749" s="89"/>
      <c r="Q749" s="89"/>
      <c r="R749" s="89"/>
      <c r="S749" s="89"/>
      <c r="T749" s="89"/>
      <c r="U749" s="89"/>
      <c r="V749" s="89"/>
      <c r="W749" s="89"/>
      <c r="X749" s="89"/>
      <c r="Y749" s="89"/>
      <c r="Z749" s="89"/>
      <c r="AA749" s="89"/>
      <c r="AB749" s="89"/>
      <c r="AC749" s="89"/>
      <c r="AD749" s="89"/>
    </row>
    <row r="750">
      <c r="A750" s="89"/>
      <c r="B750" s="89"/>
      <c r="C750" s="140"/>
      <c r="D750" s="89"/>
      <c r="E750" s="89"/>
      <c r="F750" s="89"/>
      <c r="G750" s="89"/>
      <c r="H750" s="89"/>
      <c r="I750" s="89"/>
      <c r="J750" s="89"/>
      <c r="K750" s="89"/>
      <c r="L750" s="89"/>
      <c r="M750" s="89"/>
      <c r="N750" s="89"/>
      <c r="O750" s="89"/>
      <c r="P750" s="89"/>
      <c r="Q750" s="89"/>
      <c r="R750" s="89"/>
      <c r="S750" s="89"/>
      <c r="T750" s="89"/>
      <c r="U750" s="89"/>
      <c r="V750" s="89"/>
      <c r="W750" s="89"/>
      <c r="X750" s="89"/>
      <c r="Y750" s="89"/>
      <c r="Z750" s="89"/>
      <c r="AA750" s="89"/>
      <c r="AB750" s="89"/>
      <c r="AC750" s="89"/>
      <c r="AD750" s="89"/>
    </row>
    <row r="751">
      <c r="A751" s="89"/>
      <c r="B751" s="89"/>
      <c r="C751" s="140"/>
      <c r="D751" s="89"/>
      <c r="E751" s="89"/>
      <c r="F751" s="89"/>
      <c r="G751" s="89"/>
      <c r="H751" s="89"/>
      <c r="I751" s="89"/>
      <c r="J751" s="89"/>
      <c r="K751" s="89"/>
      <c r="L751" s="89"/>
      <c r="M751" s="89"/>
      <c r="N751" s="89"/>
      <c r="O751" s="89"/>
      <c r="P751" s="89"/>
      <c r="Q751" s="89"/>
      <c r="R751" s="89"/>
      <c r="S751" s="89"/>
      <c r="T751" s="89"/>
      <c r="U751" s="89"/>
      <c r="V751" s="89"/>
      <c r="W751" s="89"/>
      <c r="X751" s="89"/>
      <c r="Y751" s="89"/>
      <c r="Z751" s="89"/>
      <c r="AA751" s="89"/>
      <c r="AB751" s="89"/>
      <c r="AC751" s="89"/>
      <c r="AD751" s="89"/>
    </row>
    <row r="752">
      <c r="A752" s="89"/>
      <c r="B752" s="89"/>
      <c r="C752" s="140"/>
      <c r="D752" s="89"/>
      <c r="E752" s="89"/>
      <c r="F752" s="89"/>
      <c r="G752" s="89"/>
      <c r="H752" s="89"/>
      <c r="I752" s="89"/>
      <c r="J752" s="89"/>
      <c r="K752" s="89"/>
      <c r="L752" s="89"/>
      <c r="M752" s="89"/>
      <c r="N752" s="89"/>
      <c r="O752" s="89"/>
      <c r="P752" s="89"/>
      <c r="Q752" s="89"/>
      <c r="R752" s="89"/>
      <c r="S752" s="89"/>
      <c r="T752" s="89"/>
      <c r="U752" s="89"/>
      <c r="V752" s="89"/>
      <c r="W752" s="89"/>
      <c r="X752" s="89"/>
      <c r="Y752" s="89"/>
      <c r="Z752" s="89"/>
      <c r="AA752" s="89"/>
      <c r="AB752" s="89"/>
      <c r="AC752" s="89"/>
      <c r="AD752" s="89"/>
    </row>
    <row r="753">
      <c r="A753" s="89"/>
      <c r="B753" s="89"/>
      <c r="C753" s="140"/>
      <c r="D753" s="89"/>
      <c r="E753" s="89"/>
      <c r="F753" s="89"/>
      <c r="G753" s="89"/>
      <c r="H753" s="89"/>
      <c r="I753" s="89"/>
      <c r="J753" s="89"/>
      <c r="K753" s="89"/>
      <c r="L753" s="89"/>
      <c r="M753" s="89"/>
      <c r="N753" s="89"/>
      <c r="O753" s="89"/>
      <c r="P753" s="89"/>
      <c r="Q753" s="89"/>
      <c r="R753" s="89"/>
      <c r="S753" s="89"/>
      <c r="T753" s="89"/>
      <c r="U753" s="89"/>
      <c r="V753" s="89"/>
      <c r="W753" s="89"/>
      <c r="X753" s="89"/>
      <c r="Y753" s="89"/>
      <c r="Z753" s="89"/>
      <c r="AA753" s="89"/>
      <c r="AB753" s="89"/>
      <c r="AC753" s="89"/>
      <c r="AD753" s="89"/>
    </row>
    <row r="754">
      <c r="A754" s="89"/>
      <c r="B754" s="89"/>
      <c r="C754" s="140"/>
      <c r="D754" s="89"/>
      <c r="E754" s="89"/>
      <c r="F754" s="89"/>
      <c r="G754" s="89"/>
      <c r="H754" s="89"/>
      <c r="I754" s="89"/>
      <c r="J754" s="89"/>
      <c r="K754" s="89"/>
      <c r="L754" s="89"/>
      <c r="M754" s="89"/>
      <c r="N754" s="89"/>
      <c r="O754" s="89"/>
      <c r="P754" s="89"/>
      <c r="Q754" s="89"/>
      <c r="R754" s="89"/>
      <c r="S754" s="89"/>
      <c r="T754" s="89"/>
      <c r="U754" s="89"/>
      <c r="V754" s="89"/>
      <c r="W754" s="89"/>
      <c r="X754" s="89"/>
      <c r="Y754" s="89"/>
      <c r="Z754" s="89"/>
      <c r="AA754" s="89"/>
      <c r="AB754" s="89"/>
      <c r="AC754" s="89"/>
      <c r="AD754" s="89"/>
    </row>
    <row r="755">
      <c r="A755" s="89"/>
      <c r="B755" s="89"/>
      <c r="C755" s="140"/>
      <c r="D755" s="89"/>
      <c r="E755" s="89"/>
      <c r="F755" s="89"/>
      <c r="G755" s="89"/>
      <c r="H755" s="89"/>
      <c r="I755" s="89"/>
      <c r="J755" s="89"/>
      <c r="K755" s="89"/>
      <c r="L755" s="89"/>
      <c r="M755" s="89"/>
      <c r="N755" s="89"/>
      <c r="O755" s="89"/>
      <c r="P755" s="89"/>
      <c r="Q755" s="89"/>
      <c r="R755" s="89"/>
      <c r="S755" s="89"/>
      <c r="T755" s="89"/>
      <c r="U755" s="89"/>
      <c r="V755" s="89"/>
      <c r="W755" s="89"/>
      <c r="X755" s="89"/>
      <c r="Y755" s="89"/>
      <c r="Z755" s="89"/>
      <c r="AA755" s="89"/>
      <c r="AB755" s="89"/>
      <c r="AC755" s="89"/>
      <c r="AD755" s="89"/>
    </row>
    <row r="756">
      <c r="A756" s="89"/>
      <c r="B756" s="89"/>
      <c r="C756" s="140"/>
      <c r="D756" s="89"/>
      <c r="E756" s="89"/>
      <c r="F756" s="89"/>
      <c r="G756" s="89"/>
      <c r="H756" s="89"/>
      <c r="I756" s="89"/>
      <c r="J756" s="89"/>
      <c r="K756" s="89"/>
      <c r="L756" s="89"/>
      <c r="M756" s="89"/>
      <c r="N756" s="89"/>
      <c r="O756" s="89"/>
      <c r="P756" s="89"/>
      <c r="Q756" s="89"/>
      <c r="R756" s="89"/>
      <c r="S756" s="89"/>
      <c r="T756" s="89"/>
      <c r="U756" s="89"/>
      <c r="V756" s="89"/>
      <c r="W756" s="89"/>
      <c r="X756" s="89"/>
      <c r="Y756" s="89"/>
      <c r="Z756" s="89"/>
      <c r="AA756" s="89"/>
      <c r="AB756" s="89"/>
      <c r="AC756" s="89"/>
      <c r="AD756" s="89"/>
    </row>
    <row r="757">
      <c r="A757" s="89"/>
      <c r="B757" s="89"/>
      <c r="C757" s="140"/>
      <c r="D757" s="89"/>
      <c r="E757" s="89"/>
      <c r="F757" s="89"/>
      <c r="G757" s="89"/>
      <c r="H757" s="89"/>
      <c r="I757" s="89"/>
      <c r="J757" s="89"/>
      <c r="K757" s="89"/>
      <c r="L757" s="89"/>
      <c r="M757" s="89"/>
      <c r="N757" s="89"/>
      <c r="O757" s="89"/>
      <c r="P757" s="89"/>
      <c r="Q757" s="89"/>
      <c r="R757" s="89"/>
      <c r="S757" s="89"/>
      <c r="T757" s="89"/>
      <c r="U757" s="89"/>
      <c r="V757" s="89"/>
      <c r="W757" s="89"/>
      <c r="X757" s="89"/>
      <c r="Y757" s="89"/>
      <c r="Z757" s="89"/>
      <c r="AA757" s="89"/>
      <c r="AB757" s="89"/>
      <c r="AC757" s="89"/>
      <c r="AD757" s="89"/>
    </row>
    <row r="758">
      <c r="A758" s="89"/>
      <c r="B758" s="89"/>
      <c r="C758" s="140"/>
      <c r="D758" s="89"/>
      <c r="E758" s="89"/>
      <c r="F758" s="89"/>
      <c r="G758" s="89"/>
      <c r="H758" s="89"/>
      <c r="I758" s="89"/>
      <c r="J758" s="89"/>
      <c r="K758" s="89"/>
      <c r="L758" s="89"/>
      <c r="M758" s="89"/>
      <c r="N758" s="89"/>
      <c r="O758" s="89"/>
      <c r="P758" s="89"/>
      <c r="Q758" s="89"/>
      <c r="R758" s="89"/>
      <c r="S758" s="89"/>
      <c r="T758" s="89"/>
      <c r="U758" s="89"/>
      <c r="V758" s="89"/>
      <c r="W758" s="89"/>
      <c r="X758" s="89"/>
      <c r="Y758" s="89"/>
      <c r="Z758" s="89"/>
      <c r="AA758" s="89"/>
      <c r="AB758" s="89"/>
      <c r="AC758" s="89"/>
      <c r="AD758" s="89"/>
    </row>
    <row r="759">
      <c r="A759" s="89"/>
      <c r="B759" s="89"/>
      <c r="C759" s="140"/>
      <c r="D759" s="89"/>
      <c r="E759" s="89"/>
      <c r="F759" s="89"/>
      <c r="G759" s="89"/>
      <c r="H759" s="89"/>
      <c r="I759" s="89"/>
      <c r="J759" s="89"/>
      <c r="K759" s="89"/>
      <c r="L759" s="89"/>
      <c r="M759" s="89"/>
      <c r="N759" s="89"/>
      <c r="O759" s="89"/>
      <c r="P759" s="89"/>
      <c r="Q759" s="89"/>
      <c r="R759" s="89"/>
      <c r="S759" s="89"/>
      <c r="T759" s="89"/>
      <c r="U759" s="89"/>
      <c r="V759" s="89"/>
      <c r="W759" s="89"/>
      <c r="X759" s="89"/>
      <c r="Y759" s="89"/>
      <c r="Z759" s="89"/>
      <c r="AA759" s="89"/>
      <c r="AB759" s="89"/>
      <c r="AC759" s="89"/>
      <c r="AD759" s="89"/>
    </row>
    <row r="760">
      <c r="A760" s="89"/>
      <c r="B760" s="89"/>
      <c r="C760" s="140"/>
      <c r="D760" s="89"/>
      <c r="E760" s="89"/>
      <c r="F760" s="89"/>
      <c r="G760" s="89"/>
      <c r="H760" s="89"/>
      <c r="I760" s="89"/>
      <c r="J760" s="89"/>
      <c r="K760" s="89"/>
      <c r="L760" s="89"/>
      <c r="M760" s="89"/>
      <c r="N760" s="89"/>
      <c r="O760" s="89"/>
      <c r="P760" s="89"/>
      <c r="Q760" s="89"/>
      <c r="R760" s="89"/>
      <c r="S760" s="89"/>
      <c r="T760" s="89"/>
      <c r="U760" s="89"/>
      <c r="V760" s="89"/>
      <c r="W760" s="89"/>
      <c r="X760" s="89"/>
      <c r="Y760" s="89"/>
      <c r="Z760" s="89"/>
      <c r="AA760" s="89"/>
      <c r="AB760" s="89"/>
      <c r="AC760" s="89"/>
      <c r="AD760" s="89"/>
    </row>
    <row r="761">
      <c r="A761" s="89"/>
      <c r="B761" s="89"/>
      <c r="C761" s="140"/>
      <c r="D761" s="89"/>
      <c r="E761" s="89"/>
      <c r="F761" s="89"/>
      <c r="G761" s="89"/>
      <c r="H761" s="89"/>
      <c r="I761" s="89"/>
      <c r="J761" s="89"/>
      <c r="K761" s="89"/>
      <c r="L761" s="89"/>
      <c r="M761" s="89"/>
      <c r="N761" s="89"/>
      <c r="O761" s="89"/>
      <c r="P761" s="89"/>
      <c r="Q761" s="89"/>
      <c r="R761" s="89"/>
      <c r="S761" s="89"/>
      <c r="T761" s="89"/>
      <c r="U761" s="89"/>
      <c r="V761" s="89"/>
      <c r="W761" s="89"/>
      <c r="X761" s="89"/>
      <c r="Y761" s="89"/>
      <c r="Z761" s="89"/>
      <c r="AA761" s="89"/>
      <c r="AB761" s="89"/>
      <c r="AC761" s="89"/>
      <c r="AD761" s="89"/>
    </row>
    <row r="762">
      <c r="A762" s="89"/>
      <c r="B762" s="89"/>
      <c r="C762" s="140"/>
      <c r="D762" s="89"/>
      <c r="E762" s="89"/>
      <c r="F762" s="89"/>
      <c r="G762" s="89"/>
      <c r="H762" s="89"/>
      <c r="I762" s="89"/>
      <c r="J762" s="89"/>
      <c r="K762" s="89"/>
      <c r="L762" s="89"/>
      <c r="M762" s="89"/>
      <c r="N762" s="89"/>
      <c r="O762" s="89"/>
      <c r="P762" s="89"/>
      <c r="Q762" s="89"/>
      <c r="R762" s="89"/>
      <c r="S762" s="89"/>
      <c r="T762" s="89"/>
      <c r="U762" s="89"/>
      <c r="V762" s="89"/>
      <c r="W762" s="89"/>
      <c r="X762" s="89"/>
      <c r="Y762" s="89"/>
      <c r="Z762" s="89"/>
      <c r="AA762" s="89"/>
      <c r="AB762" s="89"/>
      <c r="AC762" s="89"/>
      <c r="AD762" s="89"/>
    </row>
    <row r="763">
      <c r="A763" s="89"/>
      <c r="B763" s="89"/>
      <c r="C763" s="140"/>
      <c r="D763" s="89"/>
      <c r="E763" s="89"/>
      <c r="F763" s="89"/>
      <c r="G763" s="89"/>
      <c r="H763" s="89"/>
      <c r="I763" s="89"/>
      <c r="J763" s="89"/>
      <c r="K763" s="89"/>
      <c r="L763" s="89"/>
      <c r="M763" s="89"/>
      <c r="N763" s="89"/>
      <c r="O763" s="89"/>
      <c r="P763" s="89"/>
      <c r="Q763" s="89"/>
      <c r="R763" s="89"/>
      <c r="S763" s="89"/>
      <c r="T763" s="89"/>
      <c r="U763" s="89"/>
      <c r="V763" s="89"/>
      <c r="W763" s="89"/>
      <c r="X763" s="89"/>
      <c r="Y763" s="89"/>
      <c r="Z763" s="89"/>
      <c r="AA763" s="89"/>
      <c r="AB763" s="89"/>
      <c r="AC763" s="89"/>
      <c r="AD763" s="89"/>
    </row>
    <row r="764">
      <c r="A764" s="89"/>
      <c r="B764" s="89"/>
      <c r="C764" s="140"/>
      <c r="D764" s="89"/>
      <c r="E764" s="89"/>
      <c r="F764" s="89"/>
      <c r="G764" s="89"/>
      <c r="H764" s="89"/>
      <c r="I764" s="89"/>
      <c r="J764" s="89"/>
      <c r="K764" s="89"/>
      <c r="L764" s="89"/>
      <c r="M764" s="89"/>
      <c r="N764" s="89"/>
      <c r="O764" s="89"/>
      <c r="P764" s="89"/>
      <c r="Q764" s="89"/>
      <c r="R764" s="89"/>
      <c r="S764" s="89"/>
      <c r="T764" s="89"/>
      <c r="U764" s="89"/>
      <c r="V764" s="89"/>
      <c r="W764" s="89"/>
      <c r="X764" s="89"/>
      <c r="Y764" s="89"/>
      <c r="Z764" s="89"/>
      <c r="AA764" s="89"/>
      <c r="AB764" s="89"/>
      <c r="AC764" s="89"/>
      <c r="AD764" s="89"/>
    </row>
    <row r="765">
      <c r="A765" s="89"/>
      <c r="B765" s="89"/>
      <c r="C765" s="140"/>
      <c r="D765" s="89"/>
      <c r="E765" s="89"/>
      <c r="F765" s="89"/>
      <c r="G765" s="89"/>
      <c r="H765" s="89"/>
      <c r="I765" s="89"/>
      <c r="J765" s="89"/>
      <c r="K765" s="89"/>
      <c r="L765" s="89"/>
      <c r="M765" s="89"/>
      <c r="N765" s="89"/>
      <c r="O765" s="89"/>
      <c r="P765" s="89"/>
      <c r="Q765" s="89"/>
      <c r="R765" s="89"/>
      <c r="S765" s="89"/>
      <c r="T765" s="89"/>
      <c r="U765" s="89"/>
      <c r="V765" s="89"/>
      <c r="W765" s="89"/>
      <c r="X765" s="89"/>
      <c r="Y765" s="89"/>
      <c r="Z765" s="89"/>
      <c r="AA765" s="89"/>
      <c r="AB765" s="89"/>
      <c r="AC765" s="89"/>
      <c r="AD765" s="89"/>
    </row>
    <row r="766">
      <c r="A766" s="89"/>
      <c r="B766" s="89"/>
      <c r="C766" s="140"/>
      <c r="D766" s="89"/>
      <c r="E766" s="89"/>
      <c r="F766" s="89"/>
      <c r="G766" s="89"/>
      <c r="H766" s="89"/>
      <c r="I766" s="89"/>
      <c r="J766" s="89"/>
      <c r="K766" s="89"/>
      <c r="L766" s="89"/>
      <c r="M766" s="89"/>
      <c r="N766" s="89"/>
      <c r="O766" s="89"/>
      <c r="P766" s="89"/>
      <c r="Q766" s="89"/>
      <c r="R766" s="89"/>
      <c r="S766" s="89"/>
      <c r="T766" s="89"/>
      <c r="U766" s="89"/>
      <c r="V766" s="89"/>
      <c r="W766" s="89"/>
      <c r="X766" s="89"/>
      <c r="Y766" s="89"/>
      <c r="Z766" s="89"/>
      <c r="AA766" s="89"/>
      <c r="AB766" s="89"/>
      <c r="AC766" s="89"/>
      <c r="AD766" s="89"/>
    </row>
    <row r="767">
      <c r="A767" s="89"/>
      <c r="B767" s="89"/>
      <c r="C767" s="140"/>
      <c r="D767" s="89"/>
      <c r="E767" s="89"/>
      <c r="F767" s="89"/>
      <c r="G767" s="89"/>
      <c r="H767" s="89"/>
      <c r="I767" s="89"/>
      <c r="J767" s="89"/>
      <c r="K767" s="89"/>
      <c r="L767" s="89"/>
      <c r="M767" s="89"/>
      <c r="N767" s="89"/>
      <c r="O767" s="89"/>
      <c r="P767" s="89"/>
      <c r="Q767" s="89"/>
      <c r="R767" s="89"/>
      <c r="S767" s="89"/>
      <c r="T767" s="89"/>
      <c r="U767" s="89"/>
      <c r="V767" s="89"/>
      <c r="W767" s="89"/>
      <c r="X767" s="89"/>
      <c r="Y767" s="89"/>
      <c r="Z767" s="89"/>
      <c r="AA767" s="89"/>
      <c r="AB767" s="89"/>
      <c r="AC767" s="89"/>
      <c r="AD767" s="89"/>
    </row>
    <row r="768">
      <c r="A768" s="89"/>
      <c r="B768" s="89"/>
      <c r="C768" s="140"/>
      <c r="D768" s="89"/>
      <c r="E768" s="89"/>
      <c r="F768" s="89"/>
      <c r="G768" s="89"/>
      <c r="H768" s="89"/>
      <c r="I768" s="89"/>
      <c r="J768" s="89"/>
      <c r="K768" s="89"/>
      <c r="L768" s="89"/>
      <c r="M768" s="89"/>
      <c r="N768" s="89"/>
      <c r="O768" s="89"/>
      <c r="P768" s="89"/>
      <c r="Q768" s="89"/>
      <c r="R768" s="89"/>
      <c r="S768" s="89"/>
      <c r="T768" s="89"/>
      <c r="U768" s="89"/>
      <c r="V768" s="89"/>
      <c r="W768" s="89"/>
      <c r="X768" s="89"/>
      <c r="Y768" s="89"/>
      <c r="Z768" s="89"/>
      <c r="AA768" s="89"/>
      <c r="AB768" s="89"/>
      <c r="AC768" s="89"/>
      <c r="AD768" s="89"/>
    </row>
    <row r="769">
      <c r="A769" s="89"/>
      <c r="B769" s="89"/>
      <c r="C769" s="140"/>
      <c r="D769" s="89"/>
      <c r="E769" s="89"/>
      <c r="F769" s="89"/>
      <c r="G769" s="89"/>
      <c r="H769" s="89"/>
      <c r="I769" s="89"/>
      <c r="J769" s="89"/>
      <c r="K769" s="89"/>
      <c r="L769" s="89"/>
      <c r="M769" s="89"/>
      <c r="N769" s="89"/>
      <c r="O769" s="89"/>
      <c r="P769" s="89"/>
      <c r="Q769" s="89"/>
      <c r="R769" s="89"/>
      <c r="S769" s="89"/>
      <c r="T769" s="89"/>
      <c r="U769" s="89"/>
      <c r="V769" s="89"/>
      <c r="W769" s="89"/>
      <c r="X769" s="89"/>
      <c r="Y769" s="89"/>
      <c r="Z769" s="89"/>
      <c r="AA769" s="89"/>
      <c r="AB769" s="89"/>
      <c r="AC769" s="89"/>
      <c r="AD769" s="89"/>
    </row>
    <row r="770">
      <c r="A770" s="89"/>
      <c r="B770" s="89"/>
      <c r="C770" s="140"/>
      <c r="D770" s="89"/>
      <c r="E770" s="89"/>
      <c r="F770" s="89"/>
      <c r="G770" s="89"/>
      <c r="H770" s="89"/>
      <c r="I770" s="89"/>
      <c r="J770" s="89"/>
      <c r="K770" s="89"/>
      <c r="L770" s="89"/>
      <c r="M770" s="89"/>
      <c r="N770" s="89"/>
      <c r="O770" s="89"/>
      <c r="P770" s="89"/>
      <c r="Q770" s="89"/>
      <c r="R770" s="89"/>
      <c r="S770" s="89"/>
      <c r="T770" s="89"/>
      <c r="U770" s="89"/>
      <c r="V770" s="89"/>
      <c r="W770" s="89"/>
      <c r="X770" s="89"/>
      <c r="Y770" s="89"/>
      <c r="Z770" s="89"/>
      <c r="AA770" s="89"/>
      <c r="AB770" s="89"/>
      <c r="AC770" s="89"/>
      <c r="AD770" s="89"/>
    </row>
    <row r="771">
      <c r="A771" s="89"/>
      <c r="B771" s="89"/>
      <c r="C771" s="140"/>
      <c r="D771" s="89"/>
      <c r="E771" s="89"/>
      <c r="F771" s="89"/>
      <c r="G771" s="89"/>
      <c r="H771" s="89"/>
      <c r="I771" s="89"/>
      <c r="J771" s="89"/>
      <c r="K771" s="89"/>
      <c r="L771" s="89"/>
      <c r="M771" s="89"/>
      <c r="N771" s="89"/>
      <c r="O771" s="89"/>
      <c r="P771" s="89"/>
      <c r="Q771" s="89"/>
      <c r="R771" s="89"/>
      <c r="S771" s="89"/>
      <c r="T771" s="89"/>
      <c r="U771" s="89"/>
      <c r="V771" s="89"/>
      <c r="W771" s="89"/>
      <c r="X771" s="89"/>
      <c r="Y771" s="89"/>
      <c r="Z771" s="89"/>
      <c r="AA771" s="89"/>
      <c r="AB771" s="89"/>
      <c r="AC771" s="89"/>
      <c r="AD771" s="89"/>
    </row>
    <row r="772">
      <c r="A772" s="89"/>
      <c r="B772" s="89"/>
      <c r="C772" s="140"/>
      <c r="D772" s="89"/>
      <c r="E772" s="89"/>
      <c r="F772" s="89"/>
      <c r="G772" s="89"/>
      <c r="H772" s="89"/>
      <c r="I772" s="89"/>
      <c r="J772" s="89"/>
      <c r="K772" s="89"/>
      <c r="L772" s="89"/>
      <c r="M772" s="89"/>
      <c r="N772" s="89"/>
      <c r="O772" s="89"/>
      <c r="P772" s="89"/>
      <c r="Q772" s="89"/>
      <c r="R772" s="89"/>
      <c r="S772" s="89"/>
      <c r="T772" s="89"/>
      <c r="U772" s="89"/>
      <c r="V772" s="89"/>
      <c r="W772" s="89"/>
      <c r="X772" s="89"/>
      <c r="Y772" s="89"/>
      <c r="Z772" s="89"/>
      <c r="AA772" s="89"/>
      <c r="AB772" s="89"/>
      <c r="AC772" s="89"/>
      <c r="AD772" s="89"/>
    </row>
    <row r="773">
      <c r="A773" s="89"/>
      <c r="B773" s="89"/>
      <c r="C773" s="140"/>
      <c r="D773" s="89"/>
      <c r="E773" s="89"/>
      <c r="F773" s="89"/>
      <c r="G773" s="89"/>
      <c r="H773" s="89"/>
      <c r="I773" s="89"/>
      <c r="J773" s="89"/>
      <c r="K773" s="89"/>
      <c r="L773" s="89"/>
      <c r="M773" s="89"/>
      <c r="N773" s="89"/>
      <c r="O773" s="89"/>
      <c r="P773" s="89"/>
      <c r="Q773" s="89"/>
      <c r="R773" s="89"/>
      <c r="S773" s="89"/>
      <c r="T773" s="89"/>
      <c r="U773" s="89"/>
      <c r="V773" s="89"/>
      <c r="W773" s="89"/>
      <c r="X773" s="89"/>
      <c r="Y773" s="89"/>
      <c r="Z773" s="89"/>
      <c r="AA773" s="89"/>
      <c r="AB773" s="89"/>
      <c r="AC773" s="89"/>
      <c r="AD773" s="89"/>
    </row>
    <row r="774">
      <c r="A774" s="89"/>
      <c r="B774" s="89"/>
      <c r="C774" s="140"/>
      <c r="D774" s="89"/>
      <c r="E774" s="89"/>
      <c r="F774" s="89"/>
      <c r="G774" s="89"/>
      <c r="H774" s="89"/>
      <c r="I774" s="89"/>
      <c r="J774" s="89"/>
      <c r="K774" s="89"/>
      <c r="L774" s="89"/>
      <c r="M774" s="89"/>
      <c r="N774" s="89"/>
      <c r="O774" s="89"/>
      <c r="P774" s="89"/>
      <c r="Q774" s="89"/>
      <c r="R774" s="89"/>
      <c r="S774" s="89"/>
      <c r="T774" s="89"/>
      <c r="U774" s="89"/>
      <c r="V774" s="89"/>
      <c r="W774" s="89"/>
      <c r="X774" s="89"/>
      <c r="Y774" s="89"/>
      <c r="Z774" s="89"/>
      <c r="AA774" s="89"/>
      <c r="AB774" s="89"/>
      <c r="AC774" s="89"/>
      <c r="AD774" s="89"/>
    </row>
    <row r="775">
      <c r="A775" s="89"/>
      <c r="B775" s="89"/>
      <c r="C775" s="140"/>
      <c r="D775" s="89"/>
      <c r="E775" s="89"/>
      <c r="F775" s="89"/>
      <c r="G775" s="89"/>
      <c r="H775" s="89"/>
      <c r="I775" s="89"/>
      <c r="J775" s="89"/>
      <c r="K775" s="89"/>
      <c r="L775" s="89"/>
      <c r="M775" s="89"/>
      <c r="N775" s="89"/>
      <c r="O775" s="89"/>
      <c r="P775" s="89"/>
      <c r="Q775" s="89"/>
      <c r="R775" s="89"/>
      <c r="S775" s="89"/>
      <c r="T775" s="89"/>
      <c r="U775" s="89"/>
      <c r="V775" s="89"/>
      <c r="W775" s="89"/>
      <c r="X775" s="89"/>
      <c r="Y775" s="89"/>
      <c r="Z775" s="89"/>
      <c r="AA775" s="89"/>
      <c r="AB775" s="89"/>
      <c r="AC775" s="89"/>
      <c r="AD775" s="89"/>
    </row>
    <row r="776">
      <c r="A776" s="89"/>
      <c r="B776" s="89"/>
      <c r="C776" s="140"/>
      <c r="D776" s="89"/>
      <c r="E776" s="89"/>
      <c r="F776" s="89"/>
      <c r="G776" s="89"/>
      <c r="H776" s="89"/>
      <c r="I776" s="89"/>
      <c r="J776" s="89"/>
      <c r="K776" s="89"/>
      <c r="L776" s="89"/>
      <c r="M776" s="89"/>
      <c r="N776" s="89"/>
      <c r="O776" s="89"/>
      <c r="P776" s="89"/>
      <c r="Q776" s="89"/>
      <c r="R776" s="89"/>
      <c r="S776" s="89"/>
      <c r="T776" s="89"/>
      <c r="U776" s="89"/>
      <c r="V776" s="89"/>
      <c r="W776" s="89"/>
      <c r="X776" s="89"/>
      <c r="Y776" s="89"/>
      <c r="Z776" s="89"/>
      <c r="AA776" s="89"/>
      <c r="AB776" s="89"/>
      <c r="AC776" s="89"/>
      <c r="AD776" s="89"/>
    </row>
    <row r="777">
      <c r="A777" s="89"/>
      <c r="B777" s="89"/>
      <c r="C777" s="140"/>
      <c r="D777" s="89"/>
      <c r="E777" s="89"/>
      <c r="F777" s="89"/>
      <c r="G777" s="89"/>
      <c r="H777" s="89"/>
      <c r="I777" s="89"/>
      <c r="J777" s="89"/>
      <c r="K777" s="89"/>
      <c r="L777" s="89"/>
      <c r="M777" s="89"/>
      <c r="N777" s="89"/>
      <c r="O777" s="89"/>
      <c r="P777" s="89"/>
      <c r="Q777" s="89"/>
      <c r="R777" s="89"/>
      <c r="S777" s="89"/>
      <c r="T777" s="89"/>
      <c r="U777" s="89"/>
      <c r="V777" s="89"/>
      <c r="W777" s="89"/>
      <c r="X777" s="89"/>
      <c r="Y777" s="89"/>
      <c r="Z777" s="89"/>
      <c r="AA777" s="89"/>
      <c r="AB777" s="89"/>
      <c r="AC777" s="89"/>
      <c r="AD777" s="89"/>
    </row>
    <row r="778">
      <c r="A778" s="89"/>
      <c r="B778" s="89"/>
      <c r="C778" s="140"/>
      <c r="D778" s="89"/>
      <c r="E778" s="89"/>
      <c r="F778" s="89"/>
      <c r="G778" s="89"/>
      <c r="H778" s="89"/>
      <c r="I778" s="89"/>
      <c r="J778" s="89"/>
      <c r="K778" s="89"/>
      <c r="L778" s="89"/>
      <c r="M778" s="89"/>
      <c r="N778" s="89"/>
      <c r="O778" s="89"/>
      <c r="P778" s="89"/>
      <c r="Q778" s="89"/>
      <c r="R778" s="89"/>
      <c r="S778" s="89"/>
      <c r="T778" s="89"/>
      <c r="U778" s="89"/>
      <c r="V778" s="89"/>
      <c r="W778" s="89"/>
      <c r="X778" s="89"/>
      <c r="Y778" s="89"/>
      <c r="Z778" s="89"/>
      <c r="AA778" s="89"/>
      <c r="AB778" s="89"/>
      <c r="AC778" s="89"/>
      <c r="AD778" s="89"/>
    </row>
    <row r="779">
      <c r="A779" s="89"/>
      <c r="B779" s="89"/>
      <c r="C779" s="140"/>
      <c r="D779" s="89"/>
      <c r="E779" s="89"/>
      <c r="F779" s="89"/>
      <c r="G779" s="89"/>
      <c r="H779" s="89"/>
      <c r="I779" s="89"/>
      <c r="J779" s="89"/>
      <c r="K779" s="89"/>
      <c r="L779" s="89"/>
      <c r="M779" s="89"/>
      <c r="N779" s="89"/>
      <c r="O779" s="89"/>
      <c r="P779" s="89"/>
      <c r="Q779" s="89"/>
      <c r="R779" s="89"/>
      <c r="S779" s="89"/>
      <c r="T779" s="89"/>
      <c r="U779" s="89"/>
      <c r="V779" s="89"/>
      <c r="W779" s="89"/>
      <c r="X779" s="89"/>
      <c r="Y779" s="89"/>
      <c r="Z779" s="89"/>
      <c r="AA779" s="89"/>
      <c r="AB779" s="89"/>
      <c r="AC779" s="89"/>
      <c r="AD779" s="89"/>
    </row>
    <row r="780">
      <c r="A780" s="89"/>
      <c r="B780" s="89"/>
      <c r="C780" s="140"/>
      <c r="D780" s="89"/>
      <c r="E780" s="89"/>
      <c r="F780" s="89"/>
      <c r="G780" s="89"/>
      <c r="H780" s="89"/>
      <c r="I780" s="89"/>
      <c r="J780" s="89"/>
      <c r="K780" s="89"/>
      <c r="L780" s="89"/>
      <c r="M780" s="89"/>
      <c r="N780" s="89"/>
      <c r="O780" s="89"/>
      <c r="P780" s="89"/>
      <c r="Q780" s="89"/>
      <c r="R780" s="89"/>
      <c r="S780" s="89"/>
      <c r="T780" s="89"/>
      <c r="U780" s="89"/>
      <c r="V780" s="89"/>
      <c r="W780" s="89"/>
      <c r="X780" s="89"/>
      <c r="Y780" s="89"/>
      <c r="Z780" s="89"/>
      <c r="AA780" s="89"/>
      <c r="AB780" s="89"/>
      <c r="AC780" s="89"/>
      <c r="AD780" s="89"/>
    </row>
    <row r="781">
      <c r="A781" s="89"/>
      <c r="B781" s="89"/>
      <c r="C781" s="140"/>
      <c r="D781" s="89"/>
      <c r="E781" s="89"/>
      <c r="F781" s="89"/>
      <c r="G781" s="89"/>
      <c r="H781" s="89"/>
      <c r="I781" s="89"/>
      <c r="J781" s="89"/>
      <c r="K781" s="89"/>
      <c r="L781" s="89"/>
      <c r="M781" s="89"/>
      <c r="N781" s="89"/>
      <c r="O781" s="89"/>
      <c r="P781" s="89"/>
      <c r="Q781" s="89"/>
      <c r="R781" s="89"/>
      <c r="S781" s="89"/>
      <c r="T781" s="89"/>
      <c r="U781" s="89"/>
      <c r="V781" s="89"/>
      <c r="W781" s="89"/>
      <c r="X781" s="89"/>
      <c r="Y781" s="89"/>
      <c r="Z781" s="89"/>
      <c r="AA781" s="89"/>
      <c r="AB781" s="89"/>
      <c r="AC781" s="89"/>
      <c r="AD781" s="89"/>
    </row>
    <row r="782">
      <c r="A782" s="89"/>
      <c r="B782" s="89"/>
      <c r="C782" s="140"/>
      <c r="D782" s="89"/>
      <c r="E782" s="89"/>
      <c r="F782" s="89"/>
      <c r="G782" s="89"/>
      <c r="H782" s="89"/>
      <c r="I782" s="89"/>
      <c r="J782" s="89"/>
      <c r="K782" s="89"/>
      <c r="L782" s="89"/>
      <c r="M782" s="89"/>
      <c r="N782" s="89"/>
      <c r="O782" s="89"/>
      <c r="P782" s="89"/>
      <c r="Q782" s="89"/>
      <c r="R782" s="89"/>
      <c r="S782" s="89"/>
      <c r="T782" s="89"/>
      <c r="U782" s="89"/>
      <c r="V782" s="89"/>
      <c r="W782" s="89"/>
      <c r="X782" s="89"/>
      <c r="Y782" s="89"/>
      <c r="Z782" s="89"/>
      <c r="AA782" s="89"/>
      <c r="AB782" s="89"/>
      <c r="AC782" s="89"/>
      <c r="AD782" s="89"/>
    </row>
    <row r="783">
      <c r="A783" s="89"/>
      <c r="B783" s="89"/>
      <c r="C783" s="140"/>
      <c r="D783" s="89"/>
      <c r="E783" s="89"/>
      <c r="F783" s="89"/>
      <c r="G783" s="89"/>
      <c r="H783" s="89"/>
      <c r="I783" s="89"/>
      <c r="J783" s="89"/>
      <c r="K783" s="89"/>
      <c r="L783" s="89"/>
      <c r="M783" s="89"/>
      <c r="N783" s="89"/>
      <c r="O783" s="89"/>
      <c r="P783" s="89"/>
      <c r="Q783" s="89"/>
      <c r="R783" s="89"/>
      <c r="S783" s="89"/>
      <c r="T783" s="89"/>
      <c r="U783" s="89"/>
      <c r="V783" s="89"/>
      <c r="W783" s="89"/>
      <c r="X783" s="89"/>
      <c r="Y783" s="89"/>
      <c r="Z783" s="89"/>
      <c r="AA783" s="89"/>
      <c r="AB783" s="89"/>
      <c r="AC783" s="89"/>
      <c r="AD783" s="89"/>
    </row>
    <row r="784">
      <c r="A784" s="89"/>
      <c r="B784" s="89"/>
      <c r="C784" s="140"/>
      <c r="D784" s="89"/>
      <c r="E784" s="89"/>
      <c r="F784" s="89"/>
      <c r="G784" s="89"/>
      <c r="H784" s="89"/>
      <c r="I784" s="89"/>
      <c r="J784" s="89"/>
      <c r="K784" s="89"/>
      <c r="L784" s="89"/>
      <c r="M784" s="89"/>
      <c r="N784" s="89"/>
      <c r="O784" s="89"/>
      <c r="P784" s="89"/>
      <c r="Q784" s="89"/>
      <c r="R784" s="89"/>
      <c r="S784" s="89"/>
      <c r="T784" s="89"/>
      <c r="U784" s="89"/>
      <c r="V784" s="89"/>
      <c r="W784" s="89"/>
      <c r="X784" s="89"/>
      <c r="Y784" s="89"/>
      <c r="Z784" s="89"/>
      <c r="AA784" s="89"/>
      <c r="AB784" s="89"/>
      <c r="AC784" s="89"/>
      <c r="AD784" s="89"/>
    </row>
    <row r="785">
      <c r="A785" s="89"/>
      <c r="B785" s="89"/>
      <c r="C785" s="140"/>
      <c r="D785" s="89"/>
      <c r="E785" s="89"/>
      <c r="F785" s="89"/>
      <c r="G785" s="89"/>
      <c r="H785" s="89"/>
      <c r="I785" s="89"/>
      <c r="J785" s="89"/>
      <c r="K785" s="89"/>
      <c r="L785" s="89"/>
      <c r="M785" s="89"/>
      <c r="N785" s="89"/>
      <c r="O785" s="89"/>
      <c r="P785" s="89"/>
      <c r="Q785" s="89"/>
      <c r="R785" s="89"/>
      <c r="S785" s="89"/>
      <c r="T785" s="89"/>
      <c r="U785" s="89"/>
      <c r="V785" s="89"/>
      <c r="W785" s="89"/>
      <c r="X785" s="89"/>
      <c r="Y785" s="89"/>
      <c r="Z785" s="89"/>
      <c r="AA785" s="89"/>
      <c r="AB785" s="89"/>
      <c r="AC785" s="89"/>
      <c r="AD785" s="89"/>
    </row>
    <row r="786">
      <c r="A786" s="89"/>
      <c r="B786" s="89"/>
      <c r="C786" s="140"/>
      <c r="D786" s="89"/>
      <c r="E786" s="89"/>
      <c r="F786" s="89"/>
      <c r="G786" s="89"/>
      <c r="H786" s="89"/>
      <c r="I786" s="89"/>
      <c r="J786" s="89"/>
      <c r="K786" s="89"/>
      <c r="L786" s="89"/>
      <c r="M786" s="89"/>
      <c r="N786" s="89"/>
      <c r="O786" s="89"/>
      <c r="P786" s="89"/>
      <c r="Q786" s="89"/>
      <c r="R786" s="89"/>
      <c r="S786" s="89"/>
      <c r="T786" s="89"/>
      <c r="U786" s="89"/>
      <c r="V786" s="89"/>
      <c r="W786" s="89"/>
      <c r="X786" s="89"/>
      <c r="Y786" s="89"/>
      <c r="Z786" s="89"/>
      <c r="AA786" s="89"/>
      <c r="AB786" s="89"/>
      <c r="AC786" s="89"/>
      <c r="AD786" s="89"/>
    </row>
    <row r="787">
      <c r="A787" s="89"/>
      <c r="B787" s="89"/>
      <c r="C787" s="140"/>
      <c r="D787" s="89"/>
      <c r="E787" s="89"/>
      <c r="F787" s="89"/>
      <c r="G787" s="89"/>
      <c r="H787" s="89"/>
      <c r="I787" s="89"/>
      <c r="J787" s="89"/>
      <c r="K787" s="89"/>
      <c r="L787" s="89"/>
      <c r="M787" s="89"/>
      <c r="N787" s="89"/>
      <c r="O787" s="89"/>
      <c r="P787" s="89"/>
      <c r="Q787" s="89"/>
      <c r="R787" s="89"/>
      <c r="S787" s="89"/>
      <c r="T787" s="89"/>
      <c r="U787" s="89"/>
      <c r="V787" s="89"/>
      <c r="W787" s="89"/>
      <c r="X787" s="89"/>
      <c r="Y787" s="89"/>
      <c r="Z787" s="89"/>
      <c r="AA787" s="89"/>
      <c r="AB787" s="89"/>
      <c r="AC787" s="89"/>
      <c r="AD787" s="89"/>
    </row>
    <row r="788">
      <c r="A788" s="89"/>
      <c r="B788" s="89"/>
      <c r="C788" s="140"/>
      <c r="D788" s="89"/>
      <c r="E788" s="89"/>
      <c r="F788" s="89"/>
      <c r="G788" s="89"/>
      <c r="H788" s="89"/>
      <c r="I788" s="89"/>
      <c r="J788" s="89"/>
      <c r="K788" s="89"/>
      <c r="L788" s="89"/>
      <c r="M788" s="89"/>
      <c r="N788" s="89"/>
      <c r="O788" s="89"/>
      <c r="P788" s="89"/>
      <c r="Q788" s="89"/>
      <c r="R788" s="89"/>
      <c r="S788" s="89"/>
      <c r="T788" s="89"/>
      <c r="U788" s="89"/>
      <c r="V788" s="89"/>
      <c r="W788" s="89"/>
      <c r="X788" s="89"/>
      <c r="Y788" s="89"/>
      <c r="Z788" s="89"/>
      <c r="AA788" s="89"/>
      <c r="AB788" s="89"/>
      <c r="AC788" s="89"/>
      <c r="AD788" s="89"/>
    </row>
    <row r="789">
      <c r="A789" s="89"/>
      <c r="B789" s="89"/>
      <c r="C789" s="140"/>
      <c r="D789" s="89"/>
      <c r="E789" s="89"/>
      <c r="F789" s="89"/>
      <c r="G789" s="89"/>
      <c r="H789" s="89"/>
      <c r="I789" s="89"/>
      <c r="J789" s="89"/>
      <c r="K789" s="89"/>
      <c r="L789" s="89"/>
      <c r="M789" s="89"/>
      <c r="N789" s="89"/>
      <c r="O789" s="89"/>
      <c r="P789" s="89"/>
      <c r="Q789" s="89"/>
      <c r="R789" s="89"/>
      <c r="S789" s="89"/>
      <c r="T789" s="89"/>
      <c r="U789" s="89"/>
      <c r="V789" s="89"/>
      <c r="W789" s="89"/>
      <c r="X789" s="89"/>
      <c r="Y789" s="89"/>
      <c r="Z789" s="89"/>
      <c r="AA789" s="89"/>
      <c r="AB789" s="89"/>
      <c r="AC789" s="89"/>
      <c r="AD789" s="89"/>
    </row>
    <row r="790">
      <c r="A790" s="89"/>
      <c r="B790" s="89"/>
      <c r="C790" s="140"/>
      <c r="D790" s="89"/>
      <c r="E790" s="89"/>
      <c r="F790" s="89"/>
      <c r="G790" s="89"/>
      <c r="H790" s="89"/>
      <c r="I790" s="89"/>
      <c r="J790" s="89"/>
      <c r="K790" s="89"/>
      <c r="L790" s="89"/>
      <c r="M790" s="89"/>
      <c r="N790" s="89"/>
      <c r="O790" s="89"/>
      <c r="P790" s="89"/>
      <c r="Q790" s="89"/>
      <c r="R790" s="89"/>
      <c r="S790" s="89"/>
      <c r="T790" s="89"/>
      <c r="U790" s="89"/>
      <c r="V790" s="89"/>
      <c r="W790" s="89"/>
      <c r="X790" s="89"/>
      <c r="Y790" s="89"/>
      <c r="Z790" s="89"/>
      <c r="AA790" s="89"/>
      <c r="AB790" s="89"/>
      <c r="AC790" s="89"/>
      <c r="AD790" s="89"/>
    </row>
    <row r="791">
      <c r="A791" s="89"/>
      <c r="B791" s="89"/>
      <c r="C791" s="140"/>
      <c r="D791" s="89"/>
      <c r="E791" s="89"/>
      <c r="F791" s="89"/>
      <c r="G791" s="89"/>
      <c r="H791" s="89"/>
      <c r="I791" s="89"/>
      <c r="J791" s="89"/>
      <c r="K791" s="89"/>
      <c r="L791" s="89"/>
      <c r="M791" s="89"/>
      <c r="N791" s="89"/>
      <c r="O791" s="89"/>
      <c r="P791" s="89"/>
      <c r="Q791" s="89"/>
      <c r="R791" s="89"/>
      <c r="S791" s="89"/>
      <c r="T791" s="89"/>
      <c r="U791" s="89"/>
      <c r="V791" s="89"/>
      <c r="W791" s="89"/>
      <c r="X791" s="89"/>
      <c r="Y791" s="89"/>
      <c r="Z791" s="89"/>
      <c r="AA791" s="89"/>
      <c r="AB791" s="89"/>
      <c r="AC791" s="89"/>
      <c r="AD791" s="89"/>
    </row>
    <row r="792">
      <c r="A792" s="89"/>
      <c r="B792" s="89"/>
      <c r="C792" s="140"/>
      <c r="D792" s="89"/>
      <c r="E792" s="89"/>
      <c r="F792" s="89"/>
      <c r="G792" s="89"/>
      <c r="H792" s="89"/>
      <c r="I792" s="89"/>
      <c r="J792" s="89"/>
      <c r="K792" s="89"/>
      <c r="L792" s="89"/>
      <c r="M792" s="89"/>
      <c r="N792" s="89"/>
      <c r="O792" s="89"/>
      <c r="P792" s="89"/>
      <c r="Q792" s="89"/>
      <c r="R792" s="89"/>
      <c r="S792" s="89"/>
      <c r="T792" s="89"/>
      <c r="U792" s="89"/>
      <c r="V792" s="89"/>
      <c r="W792" s="89"/>
      <c r="X792" s="89"/>
      <c r="Y792" s="89"/>
      <c r="Z792" s="89"/>
      <c r="AA792" s="89"/>
      <c r="AB792" s="89"/>
      <c r="AC792" s="89"/>
      <c r="AD792" s="89"/>
    </row>
    <row r="793">
      <c r="A793" s="89"/>
      <c r="B793" s="89"/>
      <c r="C793" s="140"/>
      <c r="D793" s="89"/>
      <c r="E793" s="89"/>
      <c r="F793" s="89"/>
      <c r="G793" s="89"/>
      <c r="H793" s="89"/>
      <c r="I793" s="89"/>
      <c r="J793" s="89"/>
      <c r="K793" s="89"/>
      <c r="L793" s="89"/>
      <c r="M793" s="89"/>
      <c r="N793" s="89"/>
      <c r="O793" s="89"/>
      <c r="P793" s="89"/>
      <c r="Q793" s="89"/>
      <c r="R793" s="89"/>
      <c r="S793" s="89"/>
      <c r="T793" s="89"/>
      <c r="U793" s="89"/>
      <c r="V793" s="89"/>
      <c r="W793" s="89"/>
      <c r="X793" s="89"/>
      <c r="Y793" s="89"/>
      <c r="Z793" s="89"/>
      <c r="AA793" s="89"/>
      <c r="AB793" s="89"/>
      <c r="AC793" s="89"/>
      <c r="AD793" s="89"/>
    </row>
    <row r="794">
      <c r="A794" s="89"/>
      <c r="B794" s="89"/>
      <c r="C794" s="140"/>
      <c r="D794" s="89"/>
      <c r="E794" s="89"/>
      <c r="F794" s="89"/>
      <c r="G794" s="89"/>
      <c r="H794" s="89"/>
      <c r="I794" s="89"/>
      <c r="J794" s="89"/>
      <c r="K794" s="89"/>
      <c r="L794" s="89"/>
      <c r="M794" s="89"/>
      <c r="N794" s="89"/>
      <c r="O794" s="89"/>
      <c r="P794" s="89"/>
      <c r="Q794" s="89"/>
      <c r="R794" s="89"/>
      <c r="S794" s="89"/>
      <c r="T794" s="89"/>
      <c r="U794" s="89"/>
      <c r="V794" s="89"/>
      <c r="W794" s="89"/>
      <c r="X794" s="89"/>
      <c r="Y794" s="89"/>
      <c r="Z794" s="89"/>
      <c r="AA794" s="89"/>
      <c r="AB794" s="89"/>
      <c r="AC794" s="89"/>
      <c r="AD794" s="89"/>
    </row>
    <row r="795">
      <c r="A795" s="89"/>
      <c r="B795" s="89"/>
      <c r="C795" s="140"/>
      <c r="D795" s="89"/>
      <c r="E795" s="89"/>
      <c r="F795" s="89"/>
      <c r="G795" s="89"/>
      <c r="H795" s="89"/>
      <c r="I795" s="89"/>
      <c r="J795" s="89"/>
      <c r="K795" s="89"/>
      <c r="L795" s="89"/>
      <c r="M795" s="89"/>
      <c r="N795" s="89"/>
      <c r="O795" s="89"/>
      <c r="P795" s="89"/>
      <c r="Q795" s="89"/>
      <c r="R795" s="89"/>
      <c r="S795" s="89"/>
      <c r="T795" s="89"/>
      <c r="U795" s="89"/>
      <c r="V795" s="89"/>
      <c r="W795" s="89"/>
      <c r="X795" s="89"/>
      <c r="Y795" s="89"/>
      <c r="Z795" s="89"/>
      <c r="AA795" s="89"/>
      <c r="AB795" s="89"/>
      <c r="AC795" s="89"/>
      <c r="AD795" s="89"/>
    </row>
    <row r="796">
      <c r="A796" s="89"/>
      <c r="B796" s="89"/>
      <c r="C796" s="140"/>
      <c r="D796" s="89"/>
      <c r="E796" s="89"/>
      <c r="F796" s="89"/>
      <c r="G796" s="89"/>
      <c r="H796" s="89"/>
      <c r="I796" s="89"/>
      <c r="J796" s="89"/>
      <c r="K796" s="89"/>
      <c r="L796" s="89"/>
      <c r="M796" s="89"/>
      <c r="N796" s="89"/>
      <c r="O796" s="89"/>
      <c r="P796" s="89"/>
      <c r="Q796" s="89"/>
      <c r="R796" s="89"/>
      <c r="S796" s="89"/>
      <c r="T796" s="89"/>
      <c r="U796" s="89"/>
      <c r="V796" s="89"/>
      <c r="W796" s="89"/>
      <c r="X796" s="89"/>
      <c r="Y796" s="89"/>
      <c r="Z796" s="89"/>
      <c r="AA796" s="89"/>
      <c r="AB796" s="89"/>
      <c r="AC796" s="89"/>
      <c r="AD796" s="89"/>
    </row>
    <row r="797">
      <c r="A797" s="89"/>
      <c r="B797" s="89"/>
      <c r="C797" s="140"/>
      <c r="D797" s="89"/>
      <c r="E797" s="89"/>
      <c r="F797" s="89"/>
      <c r="G797" s="89"/>
      <c r="H797" s="89"/>
      <c r="I797" s="89"/>
      <c r="J797" s="89"/>
      <c r="K797" s="89"/>
      <c r="L797" s="89"/>
      <c r="M797" s="89"/>
      <c r="N797" s="89"/>
      <c r="O797" s="89"/>
      <c r="P797" s="89"/>
      <c r="Q797" s="89"/>
      <c r="R797" s="89"/>
      <c r="S797" s="89"/>
      <c r="T797" s="89"/>
      <c r="U797" s="89"/>
      <c r="V797" s="89"/>
      <c r="W797" s="89"/>
      <c r="X797" s="89"/>
      <c r="Y797" s="89"/>
      <c r="Z797" s="89"/>
      <c r="AA797" s="89"/>
      <c r="AB797" s="89"/>
      <c r="AC797" s="89"/>
      <c r="AD797" s="89"/>
    </row>
    <row r="798">
      <c r="A798" s="89"/>
      <c r="B798" s="89"/>
      <c r="C798" s="140"/>
      <c r="D798" s="89"/>
      <c r="E798" s="89"/>
      <c r="F798" s="89"/>
      <c r="G798" s="89"/>
      <c r="H798" s="89"/>
      <c r="I798" s="89"/>
      <c r="J798" s="89"/>
      <c r="K798" s="89"/>
      <c r="L798" s="89"/>
      <c r="M798" s="89"/>
      <c r="N798" s="89"/>
      <c r="O798" s="89"/>
      <c r="P798" s="89"/>
      <c r="Q798" s="89"/>
      <c r="R798" s="89"/>
      <c r="S798" s="89"/>
      <c r="T798" s="89"/>
      <c r="U798" s="89"/>
      <c r="V798" s="89"/>
      <c r="W798" s="89"/>
      <c r="X798" s="89"/>
      <c r="Y798" s="89"/>
      <c r="Z798" s="89"/>
      <c r="AA798" s="89"/>
      <c r="AB798" s="89"/>
      <c r="AC798" s="89"/>
      <c r="AD798" s="89"/>
    </row>
    <row r="799">
      <c r="A799" s="89"/>
      <c r="B799" s="89"/>
      <c r="C799" s="140"/>
      <c r="D799" s="89"/>
      <c r="E799" s="89"/>
      <c r="F799" s="89"/>
      <c r="G799" s="89"/>
      <c r="H799" s="89"/>
      <c r="I799" s="89"/>
      <c r="J799" s="89"/>
      <c r="K799" s="89"/>
      <c r="L799" s="89"/>
      <c r="M799" s="89"/>
      <c r="N799" s="89"/>
      <c r="O799" s="89"/>
      <c r="P799" s="89"/>
      <c r="Q799" s="89"/>
      <c r="R799" s="89"/>
      <c r="S799" s="89"/>
      <c r="T799" s="89"/>
      <c r="U799" s="89"/>
      <c r="V799" s="89"/>
      <c r="W799" s="89"/>
      <c r="X799" s="89"/>
      <c r="Y799" s="89"/>
      <c r="Z799" s="89"/>
      <c r="AA799" s="89"/>
      <c r="AB799" s="89"/>
      <c r="AC799" s="89"/>
      <c r="AD799" s="89"/>
    </row>
    <row r="800">
      <c r="A800" s="89"/>
      <c r="B800" s="89"/>
      <c r="C800" s="140"/>
      <c r="D800" s="89"/>
      <c r="E800" s="89"/>
      <c r="F800" s="89"/>
      <c r="G800" s="89"/>
      <c r="H800" s="89"/>
      <c r="I800" s="89"/>
      <c r="J800" s="89"/>
      <c r="K800" s="89"/>
      <c r="L800" s="89"/>
      <c r="M800" s="89"/>
      <c r="N800" s="89"/>
      <c r="O800" s="89"/>
      <c r="P800" s="89"/>
      <c r="Q800" s="89"/>
      <c r="R800" s="89"/>
      <c r="S800" s="89"/>
      <c r="T800" s="89"/>
      <c r="U800" s="89"/>
      <c r="V800" s="89"/>
      <c r="W800" s="89"/>
      <c r="X800" s="89"/>
      <c r="Y800" s="89"/>
      <c r="Z800" s="89"/>
      <c r="AA800" s="89"/>
      <c r="AB800" s="89"/>
      <c r="AC800" s="89"/>
      <c r="AD800" s="89"/>
    </row>
    <row r="801">
      <c r="A801" s="89"/>
      <c r="B801" s="89"/>
      <c r="C801" s="140"/>
      <c r="D801" s="89"/>
      <c r="E801" s="89"/>
      <c r="F801" s="89"/>
      <c r="G801" s="89"/>
      <c r="H801" s="89"/>
      <c r="I801" s="89"/>
      <c r="J801" s="89"/>
      <c r="K801" s="89"/>
      <c r="L801" s="89"/>
      <c r="M801" s="89"/>
      <c r="N801" s="89"/>
      <c r="O801" s="89"/>
      <c r="P801" s="89"/>
      <c r="Q801" s="89"/>
      <c r="R801" s="89"/>
      <c r="S801" s="89"/>
      <c r="T801" s="89"/>
      <c r="U801" s="89"/>
      <c r="V801" s="89"/>
      <c r="W801" s="89"/>
      <c r="X801" s="89"/>
      <c r="Y801" s="89"/>
      <c r="Z801" s="89"/>
      <c r="AA801" s="89"/>
      <c r="AB801" s="89"/>
      <c r="AC801" s="89"/>
      <c r="AD801" s="89"/>
    </row>
    <row r="802">
      <c r="A802" s="89"/>
      <c r="B802" s="89"/>
      <c r="C802" s="140"/>
      <c r="D802" s="89"/>
      <c r="E802" s="89"/>
      <c r="F802" s="89"/>
      <c r="G802" s="89"/>
      <c r="H802" s="89"/>
      <c r="I802" s="89"/>
      <c r="J802" s="89"/>
      <c r="K802" s="89"/>
      <c r="L802" s="89"/>
      <c r="M802" s="89"/>
      <c r="N802" s="89"/>
      <c r="O802" s="89"/>
      <c r="P802" s="89"/>
      <c r="Q802" s="89"/>
      <c r="R802" s="89"/>
      <c r="S802" s="89"/>
      <c r="T802" s="89"/>
      <c r="U802" s="89"/>
      <c r="V802" s="89"/>
      <c r="W802" s="89"/>
      <c r="X802" s="89"/>
      <c r="Y802" s="89"/>
      <c r="Z802" s="89"/>
      <c r="AA802" s="89"/>
      <c r="AB802" s="89"/>
      <c r="AC802" s="89"/>
      <c r="AD802" s="89"/>
    </row>
    <row r="803">
      <c r="A803" s="89"/>
      <c r="B803" s="89"/>
      <c r="C803" s="140"/>
      <c r="D803" s="89"/>
      <c r="E803" s="89"/>
      <c r="F803" s="89"/>
      <c r="G803" s="89"/>
      <c r="H803" s="89"/>
      <c r="I803" s="89"/>
      <c r="J803" s="89"/>
      <c r="K803" s="89"/>
      <c r="L803" s="89"/>
      <c r="M803" s="89"/>
      <c r="N803" s="89"/>
      <c r="O803" s="89"/>
      <c r="P803" s="89"/>
      <c r="Q803" s="89"/>
      <c r="R803" s="89"/>
      <c r="S803" s="89"/>
      <c r="T803" s="89"/>
      <c r="U803" s="89"/>
      <c r="V803" s="89"/>
      <c r="W803" s="89"/>
      <c r="X803" s="89"/>
      <c r="Y803" s="89"/>
      <c r="Z803" s="89"/>
      <c r="AA803" s="89"/>
      <c r="AB803" s="89"/>
      <c r="AC803" s="89"/>
      <c r="AD803" s="89"/>
    </row>
    <row r="804">
      <c r="A804" s="89"/>
      <c r="B804" s="89"/>
      <c r="C804" s="140"/>
      <c r="D804" s="89"/>
      <c r="E804" s="89"/>
      <c r="F804" s="89"/>
      <c r="G804" s="89"/>
      <c r="H804" s="89"/>
      <c r="I804" s="89"/>
      <c r="J804" s="89"/>
      <c r="K804" s="89"/>
      <c r="L804" s="89"/>
      <c r="M804" s="89"/>
      <c r="N804" s="89"/>
      <c r="O804" s="89"/>
      <c r="P804" s="89"/>
      <c r="Q804" s="89"/>
      <c r="R804" s="89"/>
      <c r="S804" s="89"/>
      <c r="T804" s="89"/>
      <c r="U804" s="89"/>
      <c r="V804" s="89"/>
      <c r="W804" s="89"/>
      <c r="X804" s="89"/>
      <c r="Y804" s="89"/>
      <c r="Z804" s="89"/>
      <c r="AA804" s="89"/>
      <c r="AB804" s="89"/>
      <c r="AC804" s="89"/>
      <c r="AD804" s="89"/>
    </row>
    <row r="805">
      <c r="A805" s="89"/>
      <c r="B805" s="89"/>
      <c r="C805" s="140"/>
      <c r="D805" s="89"/>
      <c r="E805" s="89"/>
      <c r="F805" s="89"/>
      <c r="G805" s="89"/>
      <c r="H805" s="89"/>
      <c r="I805" s="89"/>
      <c r="J805" s="89"/>
      <c r="K805" s="89"/>
      <c r="L805" s="89"/>
      <c r="M805" s="89"/>
      <c r="N805" s="89"/>
      <c r="O805" s="89"/>
      <c r="P805" s="89"/>
      <c r="Q805" s="89"/>
      <c r="R805" s="89"/>
      <c r="S805" s="89"/>
      <c r="T805" s="89"/>
      <c r="U805" s="89"/>
      <c r="V805" s="89"/>
      <c r="W805" s="89"/>
      <c r="X805" s="89"/>
      <c r="Y805" s="89"/>
      <c r="Z805" s="89"/>
      <c r="AA805" s="89"/>
      <c r="AB805" s="89"/>
      <c r="AC805" s="89"/>
      <c r="AD805" s="89"/>
    </row>
    <row r="806">
      <c r="A806" s="89"/>
      <c r="B806" s="89"/>
      <c r="C806" s="140"/>
      <c r="D806" s="89"/>
      <c r="E806" s="89"/>
      <c r="F806" s="89"/>
      <c r="G806" s="89"/>
      <c r="H806" s="89"/>
      <c r="I806" s="89"/>
      <c r="J806" s="89"/>
      <c r="K806" s="89"/>
      <c r="L806" s="89"/>
      <c r="M806" s="89"/>
      <c r="N806" s="89"/>
      <c r="O806" s="89"/>
      <c r="P806" s="89"/>
      <c r="Q806" s="89"/>
      <c r="R806" s="89"/>
      <c r="S806" s="89"/>
      <c r="T806" s="89"/>
      <c r="U806" s="89"/>
      <c r="V806" s="89"/>
      <c r="W806" s="89"/>
      <c r="X806" s="89"/>
      <c r="Y806" s="89"/>
      <c r="Z806" s="89"/>
      <c r="AA806" s="89"/>
      <c r="AB806" s="89"/>
      <c r="AC806" s="89"/>
      <c r="AD806" s="89"/>
    </row>
    <row r="807">
      <c r="A807" s="89"/>
      <c r="B807" s="89"/>
      <c r="C807" s="140"/>
      <c r="D807" s="89"/>
      <c r="E807" s="89"/>
      <c r="F807" s="89"/>
      <c r="G807" s="89"/>
      <c r="H807" s="89"/>
      <c r="I807" s="89"/>
      <c r="J807" s="89"/>
      <c r="K807" s="89"/>
      <c r="L807" s="89"/>
      <c r="M807" s="89"/>
      <c r="N807" s="89"/>
      <c r="O807" s="89"/>
      <c r="P807" s="89"/>
      <c r="Q807" s="89"/>
      <c r="R807" s="89"/>
      <c r="S807" s="89"/>
      <c r="T807" s="89"/>
      <c r="U807" s="89"/>
      <c r="V807" s="89"/>
      <c r="W807" s="89"/>
      <c r="X807" s="89"/>
      <c r="Y807" s="89"/>
      <c r="Z807" s="89"/>
      <c r="AA807" s="89"/>
      <c r="AB807" s="89"/>
      <c r="AC807" s="89"/>
      <c r="AD807" s="89"/>
    </row>
    <row r="808">
      <c r="A808" s="89"/>
      <c r="B808" s="89"/>
      <c r="C808" s="140"/>
      <c r="D808" s="89"/>
      <c r="E808" s="89"/>
      <c r="F808" s="89"/>
      <c r="G808" s="89"/>
      <c r="H808" s="89"/>
      <c r="I808" s="89"/>
      <c r="J808" s="89"/>
      <c r="K808" s="89"/>
      <c r="L808" s="89"/>
      <c r="M808" s="89"/>
      <c r="N808" s="89"/>
      <c r="O808" s="89"/>
      <c r="P808" s="89"/>
      <c r="Q808" s="89"/>
      <c r="R808" s="89"/>
      <c r="S808" s="89"/>
      <c r="T808" s="89"/>
      <c r="U808" s="89"/>
      <c r="V808" s="89"/>
      <c r="W808" s="89"/>
      <c r="X808" s="89"/>
      <c r="Y808" s="89"/>
      <c r="Z808" s="89"/>
      <c r="AA808" s="89"/>
      <c r="AB808" s="89"/>
      <c r="AC808" s="89"/>
      <c r="AD808" s="89"/>
    </row>
    <row r="809">
      <c r="A809" s="89"/>
      <c r="B809" s="89"/>
      <c r="C809" s="140"/>
      <c r="D809" s="89"/>
      <c r="E809" s="89"/>
      <c r="F809" s="89"/>
      <c r="G809" s="89"/>
      <c r="H809" s="89"/>
      <c r="I809" s="89"/>
      <c r="J809" s="89"/>
      <c r="K809" s="89"/>
      <c r="L809" s="89"/>
      <c r="M809" s="89"/>
      <c r="N809" s="89"/>
      <c r="O809" s="89"/>
      <c r="P809" s="89"/>
      <c r="Q809" s="89"/>
      <c r="R809" s="89"/>
      <c r="S809" s="89"/>
      <c r="T809" s="89"/>
      <c r="U809" s="89"/>
      <c r="V809" s="89"/>
      <c r="W809" s="89"/>
      <c r="X809" s="89"/>
      <c r="Y809" s="89"/>
      <c r="Z809" s="89"/>
      <c r="AA809" s="89"/>
      <c r="AB809" s="89"/>
      <c r="AC809" s="89"/>
      <c r="AD809" s="89"/>
    </row>
    <row r="810">
      <c r="A810" s="89"/>
      <c r="B810" s="89"/>
      <c r="C810" s="140"/>
      <c r="D810" s="89"/>
      <c r="E810" s="89"/>
      <c r="F810" s="89"/>
      <c r="G810" s="89"/>
      <c r="H810" s="89"/>
      <c r="I810" s="89"/>
      <c r="J810" s="89"/>
      <c r="K810" s="89"/>
      <c r="L810" s="89"/>
      <c r="M810" s="89"/>
      <c r="N810" s="89"/>
      <c r="O810" s="89"/>
      <c r="P810" s="89"/>
      <c r="Q810" s="89"/>
      <c r="R810" s="89"/>
      <c r="S810" s="89"/>
      <c r="T810" s="89"/>
      <c r="U810" s="89"/>
      <c r="V810" s="89"/>
      <c r="W810" s="89"/>
      <c r="X810" s="89"/>
      <c r="Y810" s="89"/>
      <c r="Z810" s="89"/>
      <c r="AA810" s="89"/>
      <c r="AB810" s="89"/>
      <c r="AC810" s="89"/>
      <c r="AD810" s="89"/>
    </row>
    <row r="811">
      <c r="A811" s="89"/>
      <c r="B811" s="89"/>
      <c r="C811" s="140"/>
      <c r="D811" s="89"/>
      <c r="E811" s="89"/>
      <c r="F811" s="89"/>
      <c r="G811" s="89"/>
      <c r="H811" s="89"/>
      <c r="I811" s="89"/>
      <c r="J811" s="89"/>
      <c r="K811" s="89"/>
      <c r="L811" s="89"/>
      <c r="M811" s="89"/>
      <c r="N811" s="89"/>
      <c r="O811" s="89"/>
      <c r="P811" s="89"/>
      <c r="Q811" s="89"/>
      <c r="R811" s="89"/>
      <c r="S811" s="89"/>
      <c r="T811" s="89"/>
      <c r="U811" s="89"/>
      <c r="V811" s="89"/>
      <c r="W811" s="89"/>
      <c r="X811" s="89"/>
      <c r="Y811" s="89"/>
      <c r="Z811" s="89"/>
      <c r="AA811" s="89"/>
      <c r="AB811" s="89"/>
      <c r="AC811" s="89"/>
      <c r="AD811" s="89"/>
    </row>
    <row r="812">
      <c r="A812" s="89"/>
      <c r="B812" s="89"/>
      <c r="C812" s="140"/>
      <c r="D812" s="89"/>
      <c r="E812" s="89"/>
      <c r="F812" s="89"/>
      <c r="G812" s="89"/>
      <c r="H812" s="89"/>
      <c r="I812" s="89"/>
      <c r="J812" s="89"/>
      <c r="K812" s="89"/>
      <c r="L812" s="89"/>
      <c r="M812" s="89"/>
      <c r="N812" s="89"/>
      <c r="O812" s="89"/>
      <c r="P812" s="89"/>
      <c r="Q812" s="89"/>
      <c r="R812" s="89"/>
      <c r="S812" s="89"/>
      <c r="T812" s="89"/>
      <c r="U812" s="89"/>
      <c r="V812" s="89"/>
      <c r="W812" s="89"/>
      <c r="X812" s="89"/>
      <c r="Y812" s="89"/>
      <c r="Z812" s="89"/>
      <c r="AA812" s="89"/>
      <c r="AB812" s="89"/>
      <c r="AC812" s="89"/>
      <c r="AD812" s="89"/>
    </row>
    <row r="813">
      <c r="A813" s="89"/>
      <c r="B813" s="89"/>
      <c r="C813" s="140"/>
      <c r="D813" s="89"/>
      <c r="E813" s="89"/>
      <c r="F813" s="89"/>
      <c r="G813" s="89"/>
      <c r="H813" s="89"/>
      <c r="I813" s="89"/>
      <c r="J813" s="89"/>
      <c r="K813" s="89"/>
      <c r="L813" s="89"/>
      <c r="M813" s="89"/>
      <c r="N813" s="89"/>
      <c r="O813" s="89"/>
      <c r="P813" s="89"/>
      <c r="Q813" s="89"/>
      <c r="R813" s="89"/>
      <c r="S813" s="89"/>
      <c r="T813" s="89"/>
      <c r="U813" s="89"/>
      <c r="V813" s="89"/>
      <c r="W813" s="89"/>
      <c r="X813" s="89"/>
      <c r="Y813" s="89"/>
      <c r="Z813" s="89"/>
      <c r="AA813" s="89"/>
      <c r="AB813" s="89"/>
      <c r="AC813" s="89"/>
      <c r="AD813" s="89"/>
    </row>
    <row r="814">
      <c r="A814" s="89"/>
      <c r="B814" s="89"/>
      <c r="C814" s="140"/>
      <c r="D814" s="89"/>
      <c r="E814" s="89"/>
      <c r="F814" s="89"/>
      <c r="G814" s="89"/>
      <c r="H814" s="89"/>
      <c r="I814" s="89"/>
      <c r="J814" s="89"/>
      <c r="K814" s="89"/>
      <c r="L814" s="89"/>
      <c r="M814" s="89"/>
      <c r="N814" s="89"/>
      <c r="O814" s="89"/>
      <c r="P814" s="89"/>
      <c r="Q814" s="89"/>
      <c r="R814" s="89"/>
      <c r="S814" s="89"/>
      <c r="T814" s="89"/>
      <c r="U814" s="89"/>
      <c r="V814" s="89"/>
      <c r="W814" s="89"/>
      <c r="X814" s="89"/>
      <c r="Y814" s="89"/>
      <c r="Z814" s="89"/>
      <c r="AA814" s="89"/>
      <c r="AB814" s="89"/>
      <c r="AC814" s="89"/>
      <c r="AD814" s="89"/>
    </row>
    <row r="815">
      <c r="A815" s="89"/>
      <c r="B815" s="89"/>
      <c r="C815" s="140"/>
      <c r="D815" s="89"/>
      <c r="E815" s="89"/>
      <c r="F815" s="89"/>
      <c r="G815" s="89"/>
      <c r="H815" s="89"/>
      <c r="I815" s="89"/>
      <c r="J815" s="89"/>
      <c r="K815" s="89"/>
      <c r="L815" s="89"/>
      <c r="M815" s="89"/>
      <c r="N815" s="89"/>
      <c r="O815" s="89"/>
      <c r="P815" s="89"/>
      <c r="Q815" s="89"/>
      <c r="R815" s="89"/>
      <c r="S815" s="89"/>
      <c r="T815" s="89"/>
      <c r="U815" s="89"/>
      <c r="V815" s="89"/>
      <c r="W815" s="89"/>
      <c r="X815" s="89"/>
      <c r="Y815" s="89"/>
      <c r="Z815" s="89"/>
      <c r="AA815" s="89"/>
      <c r="AB815" s="89"/>
      <c r="AC815" s="89"/>
      <c r="AD815" s="89"/>
    </row>
    <row r="816">
      <c r="A816" s="89"/>
      <c r="B816" s="89"/>
      <c r="C816" s="140"/>
      <c r="D816" s="89"/>
      <c r="E816" s="89"/>
      <c r="F816" s="89"/>
      <c r="G816" s="89"/>
      <c r="H816" s="89"/>
      <c r="I816" s="89"/>
      <c r="J816" s="89"/>
      <c r="K816" s="89"/>
      <c r="L816" s="89"/>
      <c r="M816" s="89"/>
      <c r="N816" s="89"/>
      <c r="O816" s="89"/>
      <c r="P816" s="89"/>
      <c r="Q816" s="89"/>
      <c r="R816" s="89"/>
      <c r="S816" s="89"/>
      <c r="T816" s="89"/>
      <c r="U816" s="89"/>
      <c r="V816" s="89"/>
      <c r="W816" s="89"/>
      <c r="X816" s="89"/>
      <c r="Y816" s="89"/>
      <c r="Z816" s="89"/>
      <c r="AA816" s="89"/>
      <c r="AB816" s="89"/>
      <c r="AC816" s="89"/>
      <c r="AD816" s="89"/>
    </row>
    <row r="817">
      <c r="A817" s="89"/>
      <c r="B817" s="89"/>
      <c r="C817" s="140"/>
      <c r="D817" s="89"/>
      <c r="E817" s="89"/>
      <c r="F817" s="89"/>
      <c r="G817" s="89"/>
      <c r="H817" s="89"/>
      <c r="I817" s="89"/>
      <c r="J817" s="89"/>
      <c r="K817" s="89"/>
      <c r="L817" s="89"/>
      <c r="M817" s="89"/>
      <c r="N817" s="89"/>
      <c r="O817" s="89"/>
      <c r="P817" s="89"/>
      <c r="Q817" s="89"/>
      <c r="R817" s="89"/>
      <c r="S817" s="89"/>
      <c r="T817" s="89"/>
      <c r="U817" s="89"/>
      <c r="V817" s="89"/>
      <c r="W817" s="89"/>
      <c r="X817" s="89"/>
      <c r="Y817" s="89"/>
      <c r="Z817" s="89"/>
      <c r="AA817" s="89"/>
      <c r="AB817" s="89"/>
      <c r="AC817" s="89"/>
      <c r="AD817" s="89"/>
    </row>
    <row r="818">
      <c r="A818" s="89"/>
      <c r="B818" s="89"/>
      <c r="C818" s="140"/>
      <c r="D818" s="89"/>
      <c r="E818" s="89"/>
      <c r="F818" s="89"/>
      <c r="G818" s="89"/>
      <c r="H818" s="89"/>
      <c r="I818" s="89"/>
      <c r="J818" s="89"/>
      <c r="K818" s="89"/>
      <c r="L818" s="89"/>
      <c r="M818" s="89"/>
      <c r="N818" s="89"/>
      <c r="O818" s="89"/>
      <c r="P818" s="89"/>
      <c r="Q818" s="89"/>
      <c r="R818" s="89"/>
      <c r="S818" s="89"/>
      <c r="T818" s="89"/>
      <c r="U818" s="89"/>
      <c r="V818" s="89"/>
      <c r="W818" s="89"/>
      <c r="X818" s="89"/>
      <c r="Y818" s="89"/>
      <c r="Z818" s="89"/>
      <c r="AA818" s="89"/>
      <c r="AB818" s="89"/>
      <c r="AC818" s="89"/>
      <c r="AD818" s="89"/>
    </row>
    <row r="819">
      <c r="A819" s="89"/>
      <c r="B819" s="89"/>
      <c r="C819" s="140"/>
      <c r="D819" s="89"/>
      <c r="E819" s="89"/>
      <c r="F819" s="89"/>
      <c r="G819" s="89"/>
      <c r="H819" s="89"/>
      <c r="I819" s="89"/>
      <c r="J819" s="89"/>
      <c r="K819" s="89"/>
      <c r="L819" s="89"/>
      <c r="M819" s="89"/>
      <c r="N819" s="89"/>
      <c r="O819" s="89"/>
      <c r="P819" s="89"/>
      <c r="Q819" s="89"/>
      <c r="R819" s="89"/>
      <c r="S819" s="89"/>
      <c r="T819" s="89"/>
      <c r="U819" s="89"/>
      <c r="V819" s="89"/>
      <c r="W819" s="89"/>
      <c r="X819" s="89"/>
      <c r="Y819" s="89"/>
      <c r="Z819" s="89"/>
      <c r="AA819" s="89"/>
      <c r="AB819" s="89"/>
      <c r="AC819" s="89"/>
      <c r="AD819" s="89"/>
    </row>
    <row r="820">
      <c r="A820" s="89"/>
      <c r="B820" s="89"/>
      <c r="C820" s="140"/>
      <c r="D820" s="89"/>
      <c r="E820" s="89"/>
      <c r="F820" s="89"/>
      <c r="G820" s="89"/>
      <c r="H820" s="89"/>
      <c r="I820" s="89"/>
      <c r="J820" s="89"/>
      <c r="K820" s="89"/>
      <c r="L820" s="89"/>
      <c r="M820" s="89"/>
      <c r="N820" s="89"/>
      <c r="O820" s="89"/>
      <c r="P820" s="89"/>
      <c r="Q820" s="89"/>
      <c r="R820" s="89"/>
      <c r="S820" s="89"/>
      <c r="T820" s="89"/>
      <c r="U820" s="89"/>
      <c r="V820" s="89"/>
      <c r="W820" s="89"/>
      <c r="X820" s="89"/>
      <c r="Y820" s="89"/>
      <c r="Z820" s="89"/>
      <c r="AA820" s="89"/>
      <c r="AB820" s="89"/>
      <c r="AC820" s="89"/>
      <c r="AD820" s="89"/>
    </row>
    <row r="821">
      <c r="A821" s="89"/>
      <c r="B821" s="89"/>
      <c r="C821" s="140"/>
      <c r="D821" s="89"/>
      <c r="E821" s="89"/>
      <c r="F821" s="89"/>
      <c r="G821" s="89"/>
      <c r="H821" s="89"/>
      <c r="I821" s="89"/>
      <c r="J821" s="89"/>
      <c r="K821" s="89"/>
      <c r="L821" s="89"/>
      <c r="M821" s="89"/>
      <c r="N821" s="89"/>
      <c r="O821" s="89"/>
      <c r="P821" s="89"/>
      <c r="Q821" s="89"/>
      <c r="R821" s="89"/>
      <c r="S821" s="89"/>
      <c r="T821" s="89"/>
      <c r="U821" s="89"/>
      <c r="V821" s="89"/>
      <c r="W821" s="89"/>
      <c r="X821" s="89"/>
      <c r="Y821" s="89"/>
      <c r="Z821" s="89"/>
      <c r="AA821" s="89"/>
      <c r="AB821" s="89"/>
      <c r="AC821" s="89"/>
      <c r="AD821" s="89"/>
    </row>
    <row r="822">
      <c r="A822" s="89"/>
      <c r="B822" s="89"/>
      <c r="C822" s="140"/>
      <c r="D822" s="89"/>
      <c r="E822" s="89"/>
      <c r="F822" s="89"/>
      <c r="G822" s="89"/>
      <c r="H822" s="89"/>
      <c r="I822" s="89"/>
      <c r="J822" s="89"/>
      <c r="K822" s="89"/>
      <c r="L822" s="89"/>
      <c r="M822" s="89"/>
      <c r="N822" s="89"/>
      <c r="O822" s="89"/>
      <c r="P822" s="89"/>
      <c r="Q822" s="89"/>
      <c r="R822" s="89"/>
      <c r="S822" s="89"/>
      <c r="T822" s="89"/>
      <c r="U822" s="89"/>
      <c r="V822" s="89"/>
      <c r="W822" s="89"/>
      <c r="X822" s="89"/>
      <c r="Y822" s="89"/>
      <c r="Z822" s="89"/>
      <c r="AA822" s="89"/>
      <c r="AB822" s="89"/>
      <c r="AC822" s="89"/>
      <c r="AD822" s="89"/>
    </row>
    <row r="823">
      <c r="A823" s="89"/>
      <c r="B823" s="89"/>
      <c r="C823" s="140"/>
      <c r="D823" s="89"/>
      <c r="E823" s="89"/>
      <c r="F823" s="89"/>
      <c r="G823" s="89"/>
      <c r="H823" s="89"/>
      <c r="I823" s="89"/>
      <c r="J823" s="89"/>
      <c r="K823" s="89"/>
      <c r="L823" s="89"/>
      <c r="M823" s="89"/>
      <c r="N823" s="89"/>
      <c r="O823" s="89"/>
      <c r="P823" s="89"/>
      <c r="Q823" s="89"/>
      <c r="R823" s="89"/>
      <c r="S823" s="89"/>
      <c r="T823" s="89"/>
      <c r="U823" s="89"/>
      <c r="V823" s="89"/>
      <c r="W823" s="89"/>
      <c r="X823" s="89"/>
      <c r="Y823" s="89"/>
      <c r="Z823" s="89"/>
      <c r="AA823" s="89"/>
      <c r="AB823" s="89"/>
      <c r="AC823" s="89"/>
      <c r="AD823" s="89"/>
    </row>
    <row r="824">
      <c r="A824" s="89"/>
      <c r="B824" s="89"/>
      <c r="C824" s="140"/>
      <c r="D824" s="89"/>
      <c r="E824" s="89"/>
      <c r="F824" s="89"/>
      <c r="G824" s="89"/>
      <c r="H824" s="89"/>
      <c r="I824" s="89"/>
      <c r="J824" s="89"/>
      <c r="K824" s="89"/>
      <c r="L824" s="89"/>
      <c r="M824" s="89"/>
      <c r="N824" s="89"/>
      <c r="O824" s="89"/>
      <c r="P824" s="89"/>
      <c r="Q824" s="89"/>
      <c r="R824" s="89"/>
      <c r="S824" s="89"/>
      <c r="T824" s="89"/>
      <c r="U824" s="89"/>
      <c r="V824" s="89"/>
      <c r="W824" s="89"/>
      <c r="X824" s="89"/>
      <c r="Y824" s="89"/>
      <c r="Z824" s="89"/>
      <c r="AA824" s="89"/>
      <c r="AB824" s="89"/>
      <c r="AC824" s="89"/>
      <c r="AD824" s="89"/>
    </row>
    <row r="825">
      <c r="A825" s="89"/>
      <c r="B825" s="89"/>
      <c r="C825" s="140"/>
      <c r="D825" s="89"/>
      <c r="E825" s="89"/>
      <c r="F825" s="89"/>
      <c r="G825" s="89"/>
      <c r="H825" s="89"/>
      <c r="I825" s="89"/>
      <c r="J825" s="89"/>
      <c r="K825" s="89"/>
      <c r="L825" s="89"/>
      <c r="M825" s="89"/>
      <c r="N825" s="89"/>
      <c r="O825" s="89"/>
      <c r="P825" s="89"/>
      <c r="Q825" s="89"/>
      <c r="R825" s="89"/>
      <c r="S825" s="89"/>
      <c r="T825" s="89"/>
      <c r="U825" s="89"/>
      <c r="V825" s="89"/>
      <c r="W825" s="89"/>
      <c r="X825" s="89"/>
      <c r="Y825" s="89"/>
      <c r="Z825" s="89"/>
      <c r="AA825" s="89"/>
      <c r="AB825" s="89"/>
      <c r="AC825" s="89"/>
      <c r="AD825" s="89"/>
    </row>
    <row r="826">
      <c r="A826" s="89"/>
      <c r="B826" s="89"/>
      <c r="C826" s="140"/>
      <c r="D826" s="89"/>
      <c r="E826" s="89"/>
      <c r="F826" s="89"/>
      <c r="G826" s="89"/>
      <c r="H826" s="89"/>
      <c r="I826" s="89"/>
      <c r="J826" s="89"/>
      <c r="K826" s="89"/>
      <c r="L826" s="89"/>
      <c r="M826" s="89"/>
      <c r="N826" s="89"/>
      <c r="O826" s="89"/>
      <c r="P826" s="89"/>
      <c r="Q826" s="89"/>
      <c r="R826" s="89"/>
      <c r="S826" s="89"/>
      <c r="T826" s="89"/>
      <c r="U826" s="89"/>
      <c r="V826" s="89"/>
      <c r="W826" s="89"/>
      <c r="X826" s="89"/>
      <c r="Y826" s="89"/>
      <c r="Z826" s="89"/>
      <c r="AA826" s="89"/>
      <c r="AB826" s="89"/>
      <c r="AC826" s="89"/>
      <c r="AD826" s="89"/>
    </row>
    <row r="827">
      <c r="A827" s="89"/>
      <c r="B827" s="89"/>
      <c r="C827" s="140"/>
      <c r="D827" s="89"/>
      <c r="E827" s="89"/>
      <c r="F827" s="89"/>
      <c r="G827" s="89"/>
      <c r="H827" s="89"/>
      <c r="I827" s="89"/>
      <c r="J827" s="89"/>
      <c r="K827" s="89"/>
      <c r="L827" s="89"/>
      <c r="M827" s="89"/>
      <c r="N827" s="89"/>
      <c r="O827" s="89"/>
      <c r="P827" s="89"/>
      <c r="Q827" s="89"/>
      <c r="R827" s="89"/>
      <c r="S827" s="89"/>
      <c r="T827" s="89"/>
      <c r="U827" s="89"/>
      <c r="V827" s="89"/>
      <c r="W827" s="89"/>
      <c r="X827" s="89"/>
      <c r="Y827" s="89"/>
      <c r="Z827" s="89"/>
      <c r="AA827" s="89"/>
      <c r="AB827" s="89"/>
      <c r="AC827" s="89"/>
      <c r="AD827" s="89"/>
    </row>
    <row r="828">
      <c r="A828" s="89"/>
      <c r="B828" s="89"/>
      <c r="C828" s="140"/>
      <c r="D828" s="89"/>
      <c r="E828" s="89"/>
      <c r="F828" s="89"/>
      <c r="G828" s="89"/>
      <c r="H828" s="89"/>
      <c r="I828" s="89"/>
      <c r="J828" s="89"/>
      <c r="K828" s="89"/>
      <c r="L828" s="89"/>
      <c r="M828" s="89"/>
      <c r="N828" s="89"/>
      <c r="O828" s="89"/>
      <c r="P828" s="89"/>
      <c r="Q828" s="89"/>
      <c r="R828" s="89"/>
      <c r="S828" s="89"/>
      <c r="T828" s="89"/>
      <c r="U828" s="89"/>
      <c r="V828" s="89"/>
      <c r="W828" s="89"/>
      <c r="X828" s="89"/>
      <c r="Y828" s="89"/>
      <c r="Z828" s="89"/>
      <c r="AA828" s="89"/>
      <c r="AB828" s="89"/>
      <c r="AC828" s="89"/>
      <c r="AD828" s="89"/>
    </row>
    <row r="829">
      <c r="A829" s="89"/>
      <c r="B829" s="89"/>
      <c r="C829" s="140"/>
      <c r="D829" s="89"/>
      <c r="E829" s="89"/>
      <c r="F829" s="89"/>
      <c r="G829" s="89"/>
      <c r="H829" s="89"/>
      <c r="I829" s="89"/>
      <c r="J829" s="89"/>
      <c r="K829" s="89"/>
      <c r="L829" s="89"/>
      <c r="M829" s="89"/>
      <c r="N829" s="89"/>
      <c r="O829" s="89"/>
      <c r="P829" s="89"/>
      <c r="Q829" s="89"/>
      <c r="R829" s="89"/>
      <c r="S829" s="89"/>
      <c r="T829" s="89"/>
      <c r="U829" s="89"/>
      <c r="V829" s="89"/>
      <c r="W829" s="89"/>
      <c r="X829" s="89"/>
      <c r="Y829" s="89"/>
      <c r="Z829" s="89"/>
      <c r="AA829" s="89"/>
      <c r="AB829" s="89"/>
      <c r="AC829" s="89"/>
      <c r="AD829" s="89"/>
    </row>
    <row r="830">
      <c r="A830" s="89"/>
      <c r="B830" s="89"/>
      <c r="C830" s="140"/>
      <c r="D830" s="89"/>
      <c r="E830" s="89"/>
      <c r="F830" s="89"/>
      <c r="G830" s="89"/>
      <c r="H830" s="89"/>
      <c r="I830" s="89"/>
      <c r="J830" s="89"/>
      <c r="K830" s="89"/>
      <c r="L830" s="89"/>
      <c r="M830" s="89"/>
      <c r="N830" s="89"/>
      <c r="O830" s="89"/>
      <c r="P830" s="89"/>
      <c r="Q830" s="89"/>
      <c r="R830" s="89"/>
      <c r="S830" s="89"/>
      <c r="T830" s="89"/>
      <c r="U830" s="89"/>
      <c r="V830" s="89"/>
      <c r="W830" s="89"/>
      <c r="X830" s="89"/>
      <c r="Y830" s="89"/>
      <c r="Z830" s="89"/>
      <c r="AA830" s="89"/>
      <c r="AB830" s="89"/>
      <c r="AC830" s="89"/>
      <c r="AD830" s="89"/>
    </row>
    <row r="831">
      <c r="A831" s="89"/>
      <c r="B831" s="89"/>
      <c r="C831" s="140"/>
      <c r="D831" s="89"/>
      <c r="E831" s="89"/>
      <c r="F831" s="89"/>
      <c r="G831" s="89"/>
      <c r="H831" s="89"/>
      <c r="I831" s="89"/>
      <c r="J831" s="89"/>
      <c r="K831" s="89"/>
      <c r="L831" s="89"/>
      <c r="M831" s="89"/>
      <c r="N831" s="89"/>
      <c r="O831" s="89"/>
      <c r="P831" s="89"/>
      <c r="Q831" s="89"/>
      <c r="R831" s="89"/>
      <c r="S831" s="89"/>
      <c r="T831" s="89"/>
      <c r="U831" s="89"/>
      <c r="V831" s="89"/>
      <c r="W831" s="89"/>
      <c r="X831" s="89"/>
      <c r="Y831" s="89"/>
      <c r="Z831" s="89"/>
      <c r="AA831" s="89"/>
      <c r="AB831" s="89"/>
      <c r="AC831" s="89"/>
      <c r="AD831" s="89"/>
    </row>
    <row r="832">
      <c r="A832" s="89"/>
      <c r="B832" s="89"/>
      <c r="C832" s="140"/>
      <c r="D832" s="89"/>
      <c r="E832" s="89"/>
      <c r="F832" s="89"/>
      <c r="G832" s="89"/>
      <c r="H832" s="89"/>
      <c r="I832" s="89"/>
      <c r="J832" s="89"/>
      <c r="K832" s="89"/>
      <c r="L832" s="89"/>
      <c r="M832" s="89"/>
      <c r="N832" s="89"/>
      <c r="O832" s="89"/>
      <c r="P832" s="89"/>
      <c r="Q832" s="89"/>
      <c r="R832" s="89"/>
      <c r="S832" s="89"/>
      <c r="T832" s="89"/>
      <c r="U832" s="89"/>
      <c r="V832" s="89"/>
      <c r="W832" s="89"/>
      <c r="X832" s="89"/>
      <c r="Y832" s="89"/>
      <c r="Z832" s="89"/>
      <c r="AA832" s="89"/>
      <c r="AB832" s="89"/>
      <c r="AC832" s="89"/>
      <c r="AD832" s="89"/>
    </row>
    <row r="833">
      <c r="A833" s="89"/>
      <c r="B833" s="89"/>
      <c r="C833" s="140"/>
      <c r="D833" s="89"/>
      <c r="E833" s="89"/>
      <c r="F833" s="89"/>
      <c r="G833" s="89"/>
      <c r="H833" s="89"/>
      <c r="I833" s="89"/>
      <c r="J833" s="89"/>
      <c r="K833" s="89"/>
      <c r="L833" s="89"/>
      <c r="M833" s="89"/>
      <c r="N833" s="89"/>
      <c r="O833" s="89"/>
      <c r="P833" s="89"/>
      <c r="Q833" s="89"/>
      <c r="R833" s="89"/>
      <c r="S833" s="89"/>
      <c r="T833" s="89"/>
      <c r="U833" s="89"/>
      <c r="V833" s="89"/>
      <c r="W833" s="89"/>
      <c r="X833" s="89"/>
      <c r="Y833" s="89"/>
      <c r="Z833" s="89"/>
      <c r="AA833" s="89"/>
      <c r="AB833" s="89"/>
      <c r="AC833" s="89"/>
      <c r="AD833" s="89"/>
    </row>
    <row r="834">
      <c r="A834" s="89"/>
      <c r="B834" s="89"/>
      <c r="C834" s="140"/>
      <c r="D834" s="89"/>
      <c r="E834" s="89"/>
      <c r="F834" s="89"/>
      <c r="G834" s="89"/>
      <c r="H834" s="89"/>
      <c r="I834" s="89"/>
      <c r="J834" s="89"/>
      <c r="K834" s="89"/>
      <c r="L834" s="89"/>
      <c r="M834" s="89"/>
      <c r="N834" s="89"/>
      <c r="O834" s="89"/>
      <c r="P834" s="89"/>
      <c r="Q834" s="89"/>
      <c r="R834" s="89"/>
      <c r="S834" s="89"/>
      <c r="T834" s="89"/>
      <c r="U834" s="89"/>
      <c r="V834" s="89"/>
      <c r="W834" s="89"/>
      <c r="X834" s="89"/>
      <c r="Y834" s="89"/>
      <c r="Z834" s="89"/>
      <c r="AA834" s="89"/>
      <c r="AB834" s="89"/>
      <c r="AC834" s="89"/>
      <c r="AD834" s="89"/>
    </row>
    <row r="835">
      <c r="A835" s="89"/>
      <c r="B835" s="89"/>
      <c r="C835" s="140"/>
      <c r="D835" s="89"/>
      <c r="E835" s="89"/>
      <c r="F835" s="89"/>
      <c r="G835" s="89"/>
      <c r="H835" s="89"/>
      <c r="I835" s="89"/>
      <c r="J835" s="89"/>
      <c r="K835" s="89"/>
      <c r="L835" s="89"/>
      <c r="M835" s="89"/>
      <c r="N835" s="89"/>
      <c r="O835" s="89"/>
      <c r="P835" s="89"/>
      <c r="Q835" s="89"/>
      <c r="R835" s="89"/>
      <c r="S835" s="89"/>
      <c r="T835" s="89"/>
      <c r="U835" s="89"/>
      <c r="V835" s="89"/>
      <c r="W835" s="89"/>
      <c r="X835" s="89"/>
      <c r="Y835" s="89"/>
      <c r="Z835" s="89"/>
      <c r="AA835" s="89"/>
      <c r="AB835" s="89"/>
      <c r="AC835" s="89"/>
      <c r="AD835" s="89"/>
    </row>
    <row r="836">
      <c r="A836" s="89"/>
      <c r="B836" s="89"/>
      <c r="C836" s="140"/>
      <c r="D836" s="89"/>
      <c r="E836" s="89"/>
      <c r="F836" s="89"/>
      <c r="G836" s="89"/>
      <c r="H836" s="89"/>
      <c r="I836" s="89"/>
      <c r="J836" s="89"/>
      <c r="K836" s="89"/>
      <c r="L836" s="89"/>
      <c r="M836" s="89"/>
      <c r="N836" s="89"/>
      <c r="O836" s="89"/>
      <c r="P836" s="89"/>
      <c r="Q836" s="89"/>
      <c r="R836" s="89"/>
      <c r="S836" s="89"/>
      <c r="T836" s="89"/>
      <c r="U836" s="89"/>
      <c r="V836" s="89"/>
      <c r="W836" s="89"/>
      <c r="X836" s="89"/>
      <c r="Y836" s="89"/>
      <c r="Z836" s="89"/>
      <c r="AA836" s="89"/>
      <c r="AB836" s="89"/>
      <c r="AC836" s="89"/>
      <c r="AD836" s="89"/>
    </row>
    <row r="837">
      <c r="A837" s="89"/>
      <c r="B837" s="89"/>
      <c r="C837" s="140"/>
      <c r="D837" s="89"/>
      <c r="E837" s="89"/>
      <c r="F837" s="89"/>
      <c r="G837" s="89"/>
      <c r="H837" s="89"/>
      <c r="I837" s="89"/>
      <c r="J837" s="89"/>
      <c r="K837" s="89"/>
      <c r="L837" s="89"/>
      <c r="M837" s="89"/>
      <c r="N837" s="89"/>
      <c r="O837" s="89"/>
      <c r="P837" s="89"/>
      <c r="Q837" s="89"/>
      <c r="R837" s="89"/>
      <c r="S837" s="89"/>
      <c r="T837" s="89"/>
      <c r="U837" s="89"/>
      <c r="V837" s="89"/>
      <c r="W837" s="89"/>
      <c r="X837" s="89"/>
      <c r="Y837" s="89"/>
      <c r="Z837" s="89"/>
      <c r="AA837" s="89"/>
      <c r="AB837" s="89"/>
      <c r="AC837" s="89"/>
      <c r="AD837" s="89"/>
    </row>
    <row r="838">
      <c r="A838" s="89"/>
      <c r="B838" s="89"/>
      <c r="C838" s="140"/>
      <c r="D838" s="89"/>
      <c r="E838" s="89"/>
      <c r="F838" s="89"/>
      <c r="G838" s="89"/>
      <c r="H838" s="89"/>
      <c r="I838" s="89"/>
      <c r="J838" s="89"/>
      <c r="K838" s="89"/>
      <c r="L838" s="89"/>
      <c r="M838" s="89"/>
      <c r="N838" s="89"/>
      <c r="O838" s="89"/>
      <c r="P838" s="89"/>
      <c r="Q838" s="89"/>
      <c r="R838" s="89"/>
      <c r="S838" s="89"/>
      <c r="T838" s="89"/>
      <c r="U838" s="89"/>
      <c r="V838" s="89"/>
      <c r="W838" s="89"/>
      <c r="X838" s="89"/>
      <c r="Y838" s="89"/>
      <c r="Z838" s="89"/>
      <c r="AA838" s="89"/>
      <c r="AB838" s="89"/>
      <c r="AC838" s="89"/>
      <c r="AD838" s="89"/>
    </row>
    <row r="839">
      <c r="A839" s="89"/>
      <c r="B839" s="89"/>
      <c r="C839" s="140"/>
      <c r="D839" s="89"/>
      <c r="E839" s="89"/>
      <c r="F839" s="89"/>
      <c r="G839" s="89"/>
      <c r="H839" s="89"/>
      <c r="I839" s="89"/>
      <c r="J839" s="89"/>
      <c r="K839" s="89"/>
      <c r="L839" s="89"/>
      <c r="M839" s="89"/>
      <c r="N839" s="89"/>
      <c r="O839" s="89"/>
      <c r="P839" s="89"/>
      <c r="Q839" s="89"/>
      <c r="R839" s="89"/>
      <c r="S839" s="89"/>
      <c r="T839" s="89"/>
      <c r="U839" s="89"/>
      <c r="V839" s="89"/>
      <c r="W839" s="89"/>
      <c r="X839" s="89"/>
      <c r="Y839" s="89"/>
      <c r="Z839" s="89"/>
      <c r="AA839" s="89"/>
      <c r="AB839" s="89"/>
      <c r="AC839" s="89"/>
      <c r="AD839" s="89"/>
    </row>
    <row r="840">
      <c r="A840" s="89"/>
      <c r="B840" s="89"/>
      <c r="C840" s="140"/>
      <c r="D840" s="89"/>
      <c r="E840" s="89"/>
      <c r="F840" s="89"/>
      <c r="G840" s="89"/>
      <c r="H840" s="89"/>
      <c r="I840" s="89"/>
      <c r="J840" s="89"/>
      <c r="K840" s="89"/>
      <c r="L840" s="89"/>
      <c r="M840" s="89"/>
      <c r="N840" s="89"/>
      <c r="O840" s="89"/>
      <c r="P840" s="89"/>
      <c r="Q840" s="89"/>
      <c r="R840" s="89"/>
      <c r="S840" s="89"/>
      <c r="T840" s="89"/>
      <c r="U840" s="89"/>
      <c r="V840" s="89"/>
      <c r="W840" s="89"/>
      <c r="X840" s="89"/>
      <c r="Y840" s="89"/>
      <c r="Z840" s="89"/>
      <c r="AA840" s="89"/>
      <c r="AB840" s="89"/>
      <c r="AC840" s="89"/>
      <c r="AD840" s="89"/>
    </row>
    <row r="841">
      <c r="A841" s="89"/>
      <c r="B841" s="89"/>
      <c r="C841" s="140"/>
      <c r="D841" s="89"/>
      <c r="E841" s="89"/>
      <c r="F841" s="89"/>
      <c r="G841" s="89"/>
      <c r="H841" s="89"/>
      <c r="I841" s="89"/>
      <c r="J841" s="89"/>
      <c r="K841" s="89"/>
      <c r="L841" s="89"/>
      <c r="M841" s="89"/>
      <c r="N841" s="89"/>
      <c r="O841" s="89"/>
      <c r="P841" s="89"/>
      <c r="Q841" s="89"/>
      <c r="R841" s="89"/>
      <c r="S841" s="89"/>
      <c r="T841" s="89"/>
      <c r="U841" s="89"/>
      <c r="V841" s="89"/>
      <c r="W841" s="89"/>
      <c r="X841" s="89"/>
      <c r="Y841" s="89"/>
      <c r="Z841" s="89"/>
      <c r="AA841" s="89"/>
      <c r="AB841" s="89"/>
      <c r="AC841" s="89"/>
      <c r="AD841" s="89"/>
    </row>
    <row r="842">
      <c r="A842" s="89"/>
      <c r="B842" s="89"/>
      <c r="C842" s="140"/>
      <c r="D842" s="89"/>
      <c r="E842" s="89"/>
      <c r="F842" s="89"/>
      <c r="G842" s="89"/>
      <c r="H842" s="89"/>
      <c r="I842" s="89"/>
      <c r="J842" s="89"/>
      <c r="K842" s="89"/>
      <c r="L842" s="89"/>
      <c r="M842" s="89"/>
      <c r="N842" s="89"/>
      <c r="O842" s="89"/>
      <c r="P842" s="89"/>
      <c r="Q842" s="89"/>
      <c r="R842" s="89"/>
      <c r="S842" s="89"/>
      <c r="T842" s="89"/>
      <c r="U842" s="89"/>
      <c r="V842" s="89"/>
      <c r="W842" s="89"/>
      <c r="X842" s="89"/>
      <c r="Y842" s="89"/>
      <c r="Z842" s="89"/>
      <c r="AA842" s="89"/>
      <c r="AB842" s="89"/>
      <c r="AC842" s="89"/>
      <c r="AD842" s="89"/>
    </row>
    <row r="843">
      <c r="A843" s="89"/>
      <c r="B843" s="89"/>
      <c r="C843" s="140"/>
      <c r="D843" s="89"/>
      <c r="E843" s="89"/>
      <c r="F843" s="89"/>
      <c r="G843" s="89"/>
      <c r="H843" s="89"/>
      <c r="I843" s="89"/>
      <c r="J843" s="89"/>
      <c r="K843" s="89"/>
      <c r="L843" s="89"/>
      <c r="M843" s="89"/>
      <c r="N843" s="89"/>
      <c r="O843" s="89"/>
      <c r="P843" s="89"/>
      <c r="Q843" s="89"/>
      <c r="R843" s="89"/>
      <c r="S843" s="89"/>
      <c r="T843" s="89"/>
      <c r="U843" s="89"/>
      <c r="V843" s="89"/>
      <c r="W843" s="89"/>
      <c r="X843" s="89"/>
      <c r="Y843" s="89"/>
      <c r="Z843" s="89"/>
      <c r="AA843" s="89"/>
      <c r="AB843" s="89"/>
      <c r="AC843" s="89"/>
      <c r="AD843" s="89"/>
    </row>
    <row r="844">
      <c r="A844" s="89"/>
      <c r="B844" s="89"/>
      <c r="C844" s="140"/>
      <c r="D844" s="89"/>
      <c r="E844" s="89"/>
      <c r="F844" s="89"/>
      <c r="G844" s="89"/>
      <c r="H844" s="89"/>
      <c r="I844" s="89"/>
      <c r="J844" s="89"/>
      <c r="K844" s="89"/>
      <c r="L844" s="89"/>
      <c r="M844" s="89"/>
      <c r="N844" s="89"/>
      <c r="O844" s="89"/>
      <c r="P844" s="89"/>
      <c r="Q844" s="89"/>
      <c r="R844" s="89"/>
      <c r="S844" s="89"/>
      <c r="T844" s="89"/>
      <c r="U844" s="89"/>
      <c r="V844" s="89"/>
      <c r="W844" s="89"/>
      <c r="X844" s="89"/>
      <c r="Y844" s="89"/>
      <c r="Z844" s="89"/>
      <c r="AA844" s="89"/>
      <c r="AB844" s="89"/>
      <c r="AC844" s="89"/>
      <c r="AD844" s="89"/>
    </row>
    <row r="845">
      <c r="A845" s="89"/>
      <c r="B845" s="89"/>
      <c r="C845" s="140"/>
      <c r="D845" s="89"/>
      <c r="E845" s="89"/>
      <c r="F845" s="89"/>
      <c r="G845" s="89"/>
      <c r="H845" s="89"/>
      <c r="I845" s="89"/>
      <c r="J845" s="89"/>
      <c r="K845" s="89"/>
      <c r="L845" s="89"/>
      <c r="M845" s="89"/>
      <c r="N845" s="89"/>
      <c r="O845" s="89"/>
      <c r="P845" s="89"/>
      <c r="Q845" s="89"/>
      <c r="R845" s="89"/>
      <c r="S845" s="89"/>
      <c r="T845" s="89"/>
      <c r="U845" s="89"/>
      <c r="V845" s="89"/>
      <c r="W845" s="89"/>
      <c r="X845" s="89"/>
      <c r="Y845" s="89"/>
      <c r="Z845" s="89"/>
      <c r="AA845" s="89"/>
      <c r="AB845" s="89"/>
      <c r="AC845" s="89"/>
      <c r="AD845" s="89"/>
    </row>
    <row r="846">
      <c r="A846" s="89"/>
      <c r="B846" s="89"/>
      <c r="C846" s="140"/>
      <c r="D846" s="89"/>
      <c r="E846" s="89"/>
      <c r="F846" s="89"/>
      <c r="G846" s="89"/>
      <c r="H846" s="89"/>
      <c r="I846" s="89"/>
      <c r="J846" s="89"/>
      <c r="K846" s="89"/>
      <c r="L846" s="89"/>
      <c r="M846" s="89"/>
      <c r="N846" s="89"/>
      <c r="O846" s="89"/>
      <c r="P846" s="89"/>
      <c r="Q846" s="89"/>
      <c r="R846" s="89"/>
      <c r="S846" s="89"/>
      <c r="T846" s="89"/>
      <c r="U846" s="89"/>
      <c r="V846" s="89"/>
      <c r="W846" s="89"/>
      <c r="X846" s="89"/>
      <c r="Y846" s="89"/>
      <c r="Z846" s="89"/>
      <c r="AA846" s="89"/>
      <c r="AB846" s="89"/>
      <c r="AC846" s="89"/>
      <c r="AD846" s="89"/>
    </row>
    <row r="847">
      <c r="A847" s="89"/>
      <c r="B847" s="89"/>
      <c r="C847" s="140"/>
      <c r="D847" s="89"/>
      <c r="E847" s="89"/>
      <c r="F847" s="89"/>
      <c r="G847" s="89"/>
      <c r="H847" s="89"/>
      <c r="I847" s="89"/>
      <c r="J847" s="89"/>
      <c r="K847" s="89"/>
      <c r="L847" s="89"/>
      <c r="M847" s="89"/>
      <c r="N847" s="89"/>
      <c r="O847" s="89"/>
      <c r="P847" s="89"/>
      <c r="Q847" s="89"/>
      <c r="R847" s="89"/>
      <c r="S847" s="89"/>
      <c r="T847" s="89"/>
      <c r="U847" s="89"/>
      <c r="V847" s="89"/>
      <c r="W847" s="89"/>
      <c r="X847" s="89"/>
      <c r="Y847" s="89"/>
      <c r="Z847" s="89"/>
      <c r="AA847" s="89"/>
      <c r="AB847" s="89"/>
      <c r="AC847" s="89"/>
      <c r="AD847" s="89"/>
    </row>
    <row r="848">
      <c r="A848" s="89"/>
      <c r="B848" s="89"/>
      <c r="C848" s="140"/>
      <c r="D848" s="89"/>
      <c r="E848" s="89"/>
      <c r="F848" s="89"/>
      <c r="G848" s="89"/>
      <c r="H848" s="89"/>
      <c r="I848" s="89"/>
      <c r="J848" s="89"/>
      <c r="K848" s="89"/>
      <c r="L848" s="89"/>
      <c r="M848" s="89"/>
      <c r="N848" s="89"/>
      <c r="O848" s="89"/>
      <c r="P848" s="89"/>
      <c r="Q848" s="89"/>
      <c r="R848" s="89"/>
      <c r="S848" s="89"/>
      <c r="T848" s="89"/>
      <c r="U848" s="89"/>
      <c r="V848" s="89"/>
      <c r="W848" s="89"/>
      <c r="X848" s="89"/>
      <c r="Y848" s="89"/>
      <c r="Z848" s="89"/>
      <c r="AA848" s="89"/>
      <c r="AB848" s="89"/>
      <c r="AC848" s="89"/>
      <c r="AD848" s="89"/>
    </row>
    <row r="849">
      <c r="A849" s="89"/>
      <c r="B849" s="89"/>
      <c r="C849" s="140"/>
      <c r="D849" s="89"/>
      <c r="E849" s="89"/>
      <c r="F849" s="89"/>
      <c r="G849" s="89"/>
      <c r="H849" s="89"/>
      <c r="I849" s="89"/>
      <c r="J849" s="89"/>
      <c r="K849" s="89"/>
      <c r="L849" s="89"/>
      <c r="M849" s="89"/>
      <c r="N849" s="89"/>
      <c r="O849" s="89"/>
      <c r="P849" s="89"/>
      <c r="Q849" s="89"/>
      <c r="R849" s="89"/>
      <c r="S849" s="89"/>
      <c r="T849" s="89"/>
      <c r="U849" s="89"/>
      <c r="V849" s="89"/>
      <c r="W849" s="89"/>
      <c r="X849" s="89"/>
      <c r="Y849" s="89"/>
      <c r="Z849" s="89"/>
      <c r="AA849" s="89"/>
      <c r="AB849" s="89"/>
      <c r="AC849" s="89"/>
      <c r="AD849" s="89"/>
    </row>
    <row r="850">
      <c r="A850" s="89"/>
      <c r="B850" s="89"/>
      <c r="C850" s="140"/>
      <c r="D850" s="89"/>
      <c r="E850" s="89"/>
      <c r="F850" s="89"/>
      <c r="G850" s="89"/>
      <c r="H850" s="89"/>
      <c r="I850" s="89"/>
      <c r="J850" s="89"/>
      <c r="K850" s="89"/>
      <c r="L850" s="89"/>
      <c r="M850" s="89"/>
      <c r="N850" s="89"/>
      <c r="O850" s="89"/>
      <c r="P850" s="89"/>
      <c r="Q850" s="89"/>
      <c r="R850" s="89"/>
      <c r="S850" s="89"/>
      <c r="T850" s="89"/>
      <c r="U850" s="89"/>
      <c r="V850" s="89"/>
      <c r="W850" s="89"/>
      <c r="X850" s="89"/>
      <c r="Y850" s="89"/>
      <c r="Z850" s="89"/>
      <c r="AA850" s="89"/>
      <c r="AB850" s="89"/>
      <c r="AC850" s="89"/>
      <c r="AD850" s="89"/>
    </row>
    <row r="851">
      <c r="A851" s="89"/>
      <c r="B851" s="89"/>
      <c r="C851" s="140"/>
      <c r="D851" s="89"/>
      <c r="E851" s="89"/>
      <c r="F851" s="89"/>
      <c r="G851" s="89"/>
      <c r="H851" s="89"/>
      <c r="I851" s="89"/>
      <c r="J851" s="89"/>
      <c r="K851" s="89"/>
      <c r="L851" s="89"/>
      <c r="M851" s="89"/>
      <c r="N851" s="89"/>
      <c r="O851" s="89"/>
      <c r="P851" s="89"/>
      <c r="Q851" s="89"/>
      <c r="R851" s="89"/>
      <c r="S851" s="89"/>
      <c r="T851" s="89"/>
      <c r="U851" s="89"/>
      <c r="V851" s="89"/>
      <c r="W851" s="89"/>
      <c r="X851" s="89"/>
      <c r="Y851" s="89"/>
      <c r="Z851" s="89"/>
      <c r="AA851" s="89"/>
      <c r="AB851" s="89"/>
      <c r="AC851" s="89"/>
      <c r="AD851" s="89"/>
    </row>
    <row r="852">
      <c r="A852" s="89"/>
      <c r="B852" s="89"/>
      <c r="C852" s="140"/>
      <c r="D852" s="89"/>
      <c r="E852" s="89"/>
      <c r="F852" s="89"/>
      <c r="G852" s="89"/>
      <c r="H852" s="89"/>
      <c r="I852" s="89"/>
      <c r="J852" s="89"/>
      <c r="K852" s="89"/>
      <c r="L852" s="89"/>
      <c r="M852" s="89"/>
      <c r="N852" s="89"/>
      <c r="O852" s="89"/>
      <c r="P852" s="89"/>
      <c r="Q852" s="89"/>
      <c r="R852" s="89"/>
      <c r="S852" s="89"/>
      <c r="T852" s="89"/>
      <c r="U852" s="89"/>
      <c r="V852" s="89"/>
      <c r="W852" s="89"/>
      <c r="X852" s="89"/>
      <c r="Y852" s="89"/>
      <c r="Z852" s="89"/>
      <c r="AA852" s="89"/>
      <c r="AB852" s="89"/>
      <c r="AC852" s="89"/>
      <c r="AD852" s="89"/>
    </row>
    <row r="853">
      <c r="A853" s="89"/>
      <c r="B853" s="89"/>
      <c r="C853" s="140"/>
      <c r="D853" s="89"/>
      <c r="E853" s="89"/>
      <c r="F853" s="89"/>
      <c r="G853" s="89"/>
      <c r="H853" s="89"/>
      <c r="I853" s="89"/>
      <c r="J853" s="89"/>
      <c r="K853" s="89"/>
      <c r="L853" s="89"/>
      <c r="M853" s="89"/>
      <c r="N853" s="89"/>
      <c r="O853" s="89"/>
      <c r="P853" s="89"/>
      <c r="Q853" s="89"/>
      <c r="R853" s="89"/>
      <c r="S853" s="89"/>
      <c r="T853" s="89"/>
      <c r="U853" s="89"/>
      <c r="V853" s="89"/>
      <c r="W853" s="89"/>
      <c r="X853" s="89"/>
      <c r="Y853" s="89"/>
      <c r="Z853" s="89"/>
      <c r="AA853" s="89"/>
      <c r="AB853" s="89"/>
      <c r="AC853" s="89"/>
      <c r="AD853" s="89"/>
    </row>
    <row r="854">
      <c r="A854" s="89"/>
      <c r="B854" s="89"/>
      <c r="C854" s="140"/>
      <c r="D854" s="89"/>
      <c r="E854" s="89"/>
      <c r="F854" s="89"/>
      <c r="G854" s="89"/>
      <c r="H854" s="89"/>
      <c r="I854" s="89"/>
      <c r="J854" s="89"/>
      <c r="K854" s="89"/>
      <c r="L854" s="89"/>
      <c r="M854" s="89"/>
      <c r="N854" s="89"/>
      <c r="O854" s="89"/>
      <c r="P854" s="89"/>
      <c r="Q854" s="89"/>
      <c r="R854" s="89"/>
      <c r="S854" s="89"/>
      <c r="T854" s="89"/>
      <c r="U854" s="89"/>
      <c r="V854" s="89"/>
      <c r="W854" s="89"/>
      <c r="X854" s="89"/>
      <c r="Y854" s="89"/>
      <c r="Z854" s="89"/>
      <c r="AA854" s="89"/>
      <c r="AB854" s="89"/>
      <c r="AC854" s="89"/>
      <c r="AD854" s="89"/>
    </row>
    <row r="855">
      <c r="A855" s="89"/>
      <c r="B855" s="89"/>
      <c r="C855" s="140"/>
      <c r="D855" s="89"/>
      <c r="E855" s="89"/>
      <c r="F855" s="89"/>
      <c r="G855" s="89"/>
      <c r="H855" s="89"/>
      <c r="I855" s="89"/>
      <c r="J855" s="89"/>
      <c r="K855" s="89"/>
      <c r="L855" s="89"/>
      <c r="M855" s="89"/>
      <c r="N855" s="89"/>
      <c r="O855" s="89"/>
      <c r="P855" s="89"/>
      <c r="Q855" s="89"/>
      <c r="R855" s="89"/>
      <c r="S855" s="89"/>
      <c r="T855" s="89"/>
      <c r="U855" s="89"/>
      <c r="V855" s="89"/>
      <c r="W855" s="89"/>
      <c r="X855" s="89"/>
      <c r="Y855" s="89"/>
      <c r="Z855" s="89"/>
      <c r="AA855" s="89"/>
      <c r="AB855" s="89"/>
      <c r="AC855" s="89"/>
      <c r="AD855" s="89"/>
    </row>
    <row r="856">
      <c r="A856" s="89"/>
      <c r="B856" s="89"/>
      <c r="C856" s="140"/>
      <c r="D856" s="89"/>
      <c r="E856" s="89"/>
      <c r="F856" s="89"/>
      <c r="G856" s="89"/>
      <c r="H856" s="89"/>
      <c r="I856" s="89"/>
      <c r="J856" s="89"/>
      <c r="K856" s="89"/>
      <c r="L856" s="89"/>
      <c r="M856" s="89"/>
      <c r="N856" s="89"/>
      <c r="O856" s="89"/>
      <c r="P856" s="89"/>
      <c r="Q856" s="89"/>
      <c r="R856" s="89"/>
      <c r="S856" s="89"/>
      <c r="T856" s="89"/>
      <c r="U856" s="89"/>
      <c r="V856" s="89"/>
      <c r="W856" s="89"/>
      <c r="X856" s="89"/>
      <c r="Y856" s="89"/>
      <c r="Z856" s="89"/>
      <c r="AA856" s="89"/>
      <c r="AB856" s="89"/>
      <c r="AC856" s="89"/>
      <c r="AD856" s="89"/>
    </row>
    <row r="857">
      <c r="A857" s="89"/>
      <c r="B857" s="89"/>
      <c r="C857" s="140"/>
      <c r="D857" s="89"/>
      <c r="E857" s="89"/>
      <c r="F857" s="89"/>
      <c r="G857" s="89"/>
      <c r="H857" s="89"/>
      <c r="I857" s="89"/>
      <c r="J857" s="89"/>
      <c r="K857" s="89"/>
      <c r="L857" s="89"/>
      <c r="M857" s="89"/>
      <c r="N857" s="89"/>
      <c r="O857" s="89"/>
      <c r="P857" s="89"/>
      <c r="Q857" s="89"/>
      <c r="R857" s="89"/>
      <c r="S857" s="89"/>
      <c r="T857" s="89"/>
      <c r="U857" s="89"/>
      <c r="V857" s="89"/>
      <c r="W857" s="89"/>
      <c r="X857" s="89"/>
      <c r="Y857" s="89"/>
      <c r="Z857" s="89"/>
      <c r="AA857" s="89"/>
      <c r="AB857" s="89"/>
      <c r="AC857" s="89"/>
      <c r="AD857" s="89"/>
    </row>
    <row r="858">
      <c r="A858" s="89"/>
      <c r="B858" s="89"/>
      <c r="C858" s="140"/>
      <c r="D858" s="89"/>
      <c r="E858" s="89"/>
      <c r="F858" s="89"/>
      <c r="G858" s="89"/>
      <c r="H858" s="89"/>
      <c r="I858" s="89"/>
      <c r="J858" s="89"/>
      <c r="K858" s="89"/>
      <c r="L858" s="89"/>
      <c r="M858" s="89"/>
      <c r="N858" s="89"/>
      <c r="O858" s="89"/>
      <c r="P858" s="89"/>
      <c r="Q858" s="89"/>
      <c r="R858" s="89"/>
      <c r="S858" s="89"/>
      <c r="T858" s="89"/>
      <c r="U858" s="89"/>
      <c r="V858" s="89"/>
      <c r="W858" s="89"/>
      <c r="X858" s="89"/>
      <c r="Y858" s="89"/>
      <c r="Z858" s="89"/>
      <c r="AA858" s="89"/>
      <c r="AB858" s="89"/>
      <c r="AC858" s="89"/>
      <c r="AD858" s="89"/>
    </row>
    <row r="859">
      <c r="A859" s="89"/>
      <c r="B859" s="89"/>
      <c r="C859" s="140"/>
      <c r="D859" s="89"/>
      <c r="E859" s="89"/>
      <c r="F859" s="89"/>
      <c r="G859" s="89"/>
      <c r="H859" s="89"/>
      <c r="I859" s="89"/>
      <c r="J859" s="89"/>
      <c r="K859" s="89"/>
      <c r="L859" s="89"/>
      <c r="M859" s="89"/>
      <c r="N859" s="89"/>
      <c r="O859" s="89"/>
      <c r="P859" s="89"/>
      <c r="Q859" s="89"/>
      <c r="R859" s="89"/>
      <c r="S859" s="89"/>
      <c r="T859" s="89"/>
      <c r="U859" s="89"/>
      <c r="V859" s="89"/>
      <c r="W859" s="89"/>
      <c r="X859" s="89"/>
      <c r="Y859" s="89"/>
      <c r="Z859" s="89"/>
      <c r="AA859" s="89"/>
      <c r="AB859" s="89"/>
      <c r="AC859" s="89"/>
      <c r="AD859" s="89"/>
    </row>
    <row r="860">
      <c r="A860" s="89"/>
      <c r="B860" s="89"/>
      <c r="C860" s="140"/>
      <c r="D860" s="89"/>
      <c r="E860" s="89"/>
      <c r="F860" s="89"/>
      <c r="G860" s="89"/>
      <c r="H860" s="89"/>
      <c r="I860" s="89"/>
      <c r="J860" s="89"/>
      <c r="K860" s="89"/>
      <c r="L860" s="89"/>
      <c r="M860" s="89"/>
      <c r="N860" s="89"/>
      <c r="O860" s="89"/>
      <c r="P860" s="89"/>
      <c r="Q860" s="89"/>
      <c r="R860" s="89"/>
      <c r="S860" s="89"/>
      <c r="T860" s="89"/>
      <c r="U860" s="89"/>
      <c r="V860" s="89"/>
      <c r="W860" s="89"/>
      <c r="X860" s="89"/>
      <c r="Y860" s="89"/>
      <c r="Z860" s="89"/>
      <c r="AA860" s="89"/>
      <c r="AB860" s="89"/>
      <c r="AC860" s="89"/>
      <c r="AD860" s="89"/>
    </row>
    <row r="861">
      <c r="A861" s="89"/>
      <c r="B861" s="89"/>
      <c r="C861" s="140"/>
      <c r="D861" s="89"/>
      <c r="E861" s="89"/>
      <c r="F861" s="89"/>
      <c r="G861" s="89"/>
      <c r="H861" s="89"/>
      <c r="I861" s="89"/>
      <c r="J861" s="89"/>
      <c r="K861" s="89"/>
      <c r="L861" s="89"/>
      <c r="M861" s="89"/>
      <c r="N861" s="89"/>
      <c r="O861" s="89"/>
      <c r="P861" s="89"/>
      <c r="Q861" s="89"/>
      <c r="R861" s="89"/>
      <c r="S861" s="89"/>
      <c r="T861" s="89"/>
      <c r="U861" s="89"/>
      <c r="V861" s="89"/>
      <c r="W861" s="89"/>
      <c r="X861" s="89"/>
      <c r="Y861" s="89"/>
      <c r="Z861" s="89"/>
      <c r="AA861" s="89"/>
      <c r="AB861" s="89"/>
      <c r="AC861" s="89"/>
      <c r="AD861" s="89"/>
    </row>
    <row r="862">
      <c r="A862" s="89"/>
      <c r="B862" s="89"/>
      <c r="C862" s="140"/>
      <c r="D862" s="89"/>
      <c r="E862" s="89"/>
      <c r="F862" s="89"/>
      <c r="G862" s="89"/>
      <c r="H862" s="89"/>
      <c r="I862" s="89"/>
      <c r="J862" s="89"/>
      <c r="K862" s="89"/>
      <c r="L862" s="89"/>
      <c r="M862" s="89"/>
      <c r="N862" s="89"/>
      <c r="O862" s="89"/>
      <c r="P862" s="89"/>
      <c r="Q862" s="89"/>
      <c r="R862" s="89"/>
      <c r="S862" s="89"/>
      <c r="T862" s="89"/>
      <c r="U862" s="89"/>
      <c r="V862" s="89"/>
      <c r="W862" s="89"/>
      <c r="X862" s="89"/>
      <c r="Y862" s="89"/>
      <c r="Z862" s="89"/>
      <c r="AA862" s="89"/>
      <c r="AB862" s="89"/>
      <c r="AC862" s="89"/>
      <c r="AD862" s="89"/>
    </row>
    <row r="863">
      <c r="A863" s="89"/>
      <c r="B863" s="89"/>
      <c r="C863" s="140"/>
      <c r="D863" s="89"/>
      <c r="E863" s="89"/>
      <c r="F863" s="89"/>
      <c r="G863" s="89"/>
      <c r="H863" s="89"/>
      <c r="I863" s="89"/>
      <c r="J863" s="89"/>
      <c r="K863" s="89"/>
      <c r="L863" s="89"/>
      <c r="M863" s="89"/>
      <c r="N863" s="89"/>
      <c r="O863" s="89"/>
      <c r="P863" s="89"/>
      <c r="Q863" s="89"/>
      <c r="R863" s="89"/>
      <c r="S863" s="89"/>
      <c r="T863" s="89"/>
      <c r="U863" s="89"/>
      <c r="V863" s="89"/>
      <c r="W863" s="89"/>
      <c r="X863" s="89"/>
      <c r="Y863" s="89"/>
      <c r="Z863" s="89"/>
      <c r="AA863" s="89"/>
      <c r="AB863" s="89"/>
      <c r="AC863" s="89"/>
      <c r="AD863" s="89"/>
    </row>
    <row r="864">
      <c r="A864" s="89"/>
      <c r="B864" s="89"/>
      <c r="C864" s="140"/>
      <c r="D864" s="89"/>
      <c r="E864" s="89"/>
      <c r="F864" s="89"/>
      <c r="G864" s="89"/>
      <c r="H864" s="89"/>
      <c r="I864" s="89"/>
      <c r="J864" s="89"/>
      <c r="K864" s="89"/>
      <c r="L864" s="89"/>
      <c r="M864" s="89"/>
      <c r="N864" s="89"/>
      <c r="O864" s="89"/>
      <c r="P864" s="89"/>
      <c r="Q864" s="89"/>
      <c r="R864" s="89"/>
      <c r="S864" s="89"/>
      <c r="T864" s="89"/>
      <c r="U864" s="89"/>
      <c r="V864" s="89"/>
      <c r="W864" s="89"/>
      <c r="X864" s="89"/>
      <c r="Y864" s="89"/>
      <c r="Z864" s="89"/>
      <c r="AA864" s="89"/>
      <c r="AB864" s="89"/>
      <c r="AC864" s="89"/>
      <c r="AD864" s="89"/>
    </row>
    <row r="865">
      <c r="A865" s="89"/>
      <c r="B865" s="89"/>
      <c r="C865" s="140"/>
      <c r="D865" s="89"/>
      <c r="E865" s="89"/>
      <c r="F865" s="89"/>
      <c r="G865" s="89"/>
      <c r="H865" s="89"/>
      <c r="I865" s="89"/>
      <c r="J865" s="89"/>
      <c r="K865" s="89"/>
      <c r="L865" s="89"/>
      <c r="M865" s="89"/>
      <c r="N865" s="89"/>
      <c r="O865" s="89"/>
      <c r="P865" s="89"/>
      <c r="Q865" s="89"/>
      <c r="R865" s="89"/>
      <c r="S865" s="89"/>
      <c r="T865" s="89"/>
      <c r="U865" s="89"/>
      <c r="V865" s="89"/>
      <c r="W865" s="89"/>
      <c r="X865" s="89"/>
      <c r="Y865" s="89"/>
      <c r="Z865" s="89"/>
      <c r="AA865" s="89"/>
      <c r="AB865" s="89"/>
      <c r="AC865" s="89"/>
      <c r="AD865" s="89"/>
    </row>
    <row r="866">
      <c r="A866" s="89"/>
      <c r="B866" s="89"/>
      <c r="C866" s="140"/>
      <c r="D866" s="89"/>
      <c r="E866" s="89"/>
      <c r="F866" s="89"/>
      <c r="G866" s="89"/>
      <c r="H866" s="89"/>
      <c r="I866" s="89"/>
      <c r="J866" s="89"/>
      <c r="K866" s="89"/>
      <c r="L866" s="89"/>
      <c r="M866" s="89"/>
      <c r="N866" s="89"/>
      <c r="O866" s="89"/>
      <c r="P866" s="89"/>
      <c r="Q866" s="89"/>
      <c r="R866" s="89"/>
      <c r="S866" s="89"/>
      <c r="T866" s="89"/>
      <c r="U866" s="89"/>
      <c r="V866" s="89"/>
      <c r="W866" s="89"/>
      <c r="X866" s="89"/>
      <c r="Y866" s="89"/>
      <c r="Z866" s="89"/>
      <c r="AA866" s="89"/>
      <c r="AB866" s="89"/>
      <c r="AC866" s="89"/>
      <c r="AD866" s="89"/>
    </row>
    <row r="867">
      <c r="A867" s="89"/>
      <c r="B867" s="89"/>
      <c r="C867" s="140"/>
      <c r="D867" s="89"/>
      <c r="E867" s="89"/>
      <c r="F867" s="89"/>
      <c r="G867" s="89"/>
      <c r="H867" s="89"/>
      <c r="I867" s="89"/>
      <c r="J867" s="89"/>
      <c r="K867" s="89"/>
      <c r="L867" s="89"/>
      <c r="M867" s="89"/>
      <c r="N867" s="89"/>
      <c r="O867" s="89"/>
      <c r="P867" s="89"/>
      <c r="Q867" s="89"/>
      <c r="R867" s="89"/>
      <c r="S867" s="89"/>
      <c r="T867" s="89"/>
      <c r="U867" s="89"/>
      <c r="V867" s="89"/>
      <c r="W867" s="89"/>
      <c r="X867" s="89"/>
      <c r="Y867" s="89"/>
      <c r="Z867" s="89"/>
      <c r="AA867" s="89"/>
      <c r="AB867" s="89"/>
      <c r="AC867" s="89"/>
      <c r="AD867" s="89"/>
    </row>
    <row r="868">
      <c r="A868" s="89"/>
      <c r="B868" s="89"/>
      <c r="C868" s="140"/>
      <c r="D868" s="89"/>
      <c r="E868" s="89"/>
      <c r="F868" s="89"/>
      <c r="G868" s="89"/>
      <c r="H868" s="89"/>
      <c r="I868" s="89"/>
      <c r="J868" s="89"/>
      <c r="K868" s="89"/>
      <c r="L868" s="89"/>
      <c r="M868" s="89"/>
      <c r="N868" s="89"/>
      <c r="O868" s="89"/>
      <c r="P868" s="89"/>
      <c r="Q868" s="89"/>
      <c r="R868" s="89"/>
      <c r="S868" s="89"/>
      <c r="T868" s="89"/>
      <c r="U868" s="89"/>
      <c r="V868" s="89"/>
      <c r="W868" s="89"/>
      <c r="X868" s="89"/>
      <c r="Y868" s="89"/>
      <c r="Z868" s="89"/>
      <c r="AA868" s="89"/>
      <c r="AB868" s="89"/>
      <c r="AC868" s="89"/>
      <c r="AD868" s="89"/>
    </row>
    <row r="869">
      <c r="A869" s="89"/>
      <c r="B869" s="89"/>
      <c r="C869" s="140"/>
      <c r="D869" s="89"/>
      <c r="E869" s="89"/>
      <c r="F869" s="89"/>
      <c r="G869" s="89"/>
      <c r="H869" s="89"/>
      <c r="I869" s="89"/>
      <c r="J869" s="89"/>
      <c r="K869" s="89"/>
      <c r="L869" s="89"/>
      <c r="M869" s="89"/>
      <c r="N869" s="89"/>
      <c r="O869" s="89"/>
      <c r="P869" s="89"/>
      <c r="Q869" s="89"/>
      <c r="R869" s="89"/>
      <c r="S869" s="89"/>
      <c r="T869" s="89"/>
      <c r="U869" s="89"/>
      <c r="V869" s="89"/>
      <c r="W869" s="89"/>
      <c r="X869" s="89"/>
      <c r="Y869" s="89"/>
      <c r="Z869" s="89"/>
      <c r="AA869" s="89"/>
      <c r="AB869" s="89"/>
      <c r="AC869" s="89"/>
      <c r="AD869" s="89"/>
    </row>
    <row r="870">
      <c r="A870" s="89"/>
      <c r="B870" s="89"/>
      <c r="C870" s="140"/>
      <c r="D870" s="89"/>
      <c r="E870" s="89"/>
      <c r="F870" s="89"/>
      <c r="G870" s="89"/>
      <c r="H870" s="89"/>
      <c r="I870" s="89"/>
      <c r="J870" s="89"/>
      <c r="K870" s="89"/>
      <c r="L870" s="89"/>
      <c r="M870" s="89"/>
      <c r="N870" s="89"/>
      <c r="O870" s="89"/>
      <c r="P870" s="89"/>
      <c r="Q870" s="89"/>
      <c r="R870" s="89"/>
      <c r="S870" s="89"/>
      <c r="T870" s="89"/>
      <c r="U870" s="89"/>
      <c r="V870" s="89"/>
      <c r="W870" s="89"/>
      <c r="X870" s="89"/>
      <c r="Y870" s="89"/>
      <c r="Z870" s="89"/>
      <c r="AA870" s="89"/>
      <c r="AB870" s="89"/>
      <c r="AC870" s="89"/>
      <c r="AD870" s="89"/>
    </row>
    <row r="871">
      <c r="A871" s="89"/>
      <c r="B871" s="89"/>
      <c r="C871" s="140"/>
      <c r="D871" s="89"/>
      <c r="E871" s="89"/>
      <c r="F871" s="89"/>
      <c r="G871" s="89"/>
      <c r="H871" s="89"/>
      <c r="I871" s="89"/>
      <c r="J871" s="89"/>
      <c r="K871" s="89"/>
      <c r="L871" s="89"/>
      <c r="M871" s="89"/>
      <c r="N871" s="89"/>
      <c r="O871" s="89"/>
      <c r="P871" s="89"/>
      <c r="Q871" s="89"/>
      <c r="R871" s="89"/>
      <c r="S871" s="89"/>
      <c r="T871" s="89"/>
      <c r="U871" s="89"/>
      <c r="V871" s="89"/>
      <c r="W871" s="89"/>
      <c r="X871" s="89"/>
      <c r="Y871" s="89"/>
      <c r="Z871" s="89"/>
      <c r="AA871" s="89"/>
      <c r="AB871" s="89"/>
      <c r="AC871" s="89"/>
      <c r="AD871" s="89"/>
    </row>
    <row r="872">
      <c r="A872" s="89"/>
      <c r="B872" s="89"/>
      <c r="C872" s="140"/>
      <c r="D872" s="89"/>
      <c r="E872" s="89"/>
      <c r="F872" s="89"/>
      <c r="G872" s="89"/>
      <c r="H872" s="89"/>
      <c r="I872" s="89"/>
      <c r="J872" s="89"/>
      <c r="K872" s="89"/>
      <c r="L872" s="89"/>
      <c r="M872" s="89"/>
      <c r="N872" s="89"/>
      <c r="O872" s="89"/>
      <c r="P872" s="89"/>
      <c r="Q872" s="89"/>
      <c r="R872" s="89"/>
      <c r="S872" s="89"/>
      <c r="T872" s="89"/>
      <c r="U872" s="89"/>
      <c r="V872" s="89"/>
      <c r="W872" s="89"/>
      <c r="X872" s="89"/>
      <c r="Y872" s="89"/>
      <c r="Z872" s="89"/>
      <c r="AA872" s="89"/>
      <c r="AB872" s="89"/>
      <c r="AC872" s="89"/>
      <c r="AD872" s="89"/>
    </row>
    <row r="873">
      <c r="A873" s="89"/>
      <c r="B873" s="89"/>
      <c r="C873" s="140"/>
      <c r="D873" s="89"/>
      <c r="E873" s="89"/>
      <c r="F873" s="89"/>
      <c r="G873" s="89"/>
      <c r="H873" s="89"/>
      <c r="I873" s="89"/>
      <c r="J873" s="89"/>
      <c r="K873" s="89"/>
      <c r="L873" s="89"/>
      <c r="M873" s="89"/>
      <c r="N873" s="89"/>
      <c r="O873" s="89"/>
      <c r="P873" s="89"/>
      <c r="Q873" s="89"/>
      <c r="R873" s="89"/>
      <c r="S873" s="89"/>
      <c r="T873" s="89"/>
      <c r="U873" s="89"/>
      <c r="V873" s="89"/>
      <c r="W873" s="89"/>
      <c r="X873" s="89"/>
      <c r="Y873" s="89"/>
      <c r="Z873" s="89"/>
      <c r="AA873" s="89"/>
      <c r="AB873" s="89"/>
      <c r="AC873" s="89"/>
      <c r="AD873" s="89"/>
    </row>
    <row r="874">
      <c r="A874" s="89"/>
      <c r="B874" s="89"/>
      <c r="C874" s="140"/>
      <c r="D874" s="89"/>
      <c r="E874" s="89"/>
      <c r="F874" s="89"/>
      <c r="G874" s="89"/>
      <c r="H874" s="89"/>
      <c r="I874" s="89"/>
      <c r="J874" s="89"/>
      <c r="K874" s="89"/>
      <c r="L874" s="89"/>
      <c r="M874" s="89"/>
      <c r="N874" s="89"/>
      <c r="O874" s="89"/>
      <c r="P874" s="89"/>
      <c r="Q874" s="89"/>
      <c r="R874" s="89"/>
      <c r="S874" s="89"/>
      <c r="T874" s="89"/>
      <c r="U874" s="89"/>
      <c r="V874" s="89"/>
      <c r="W874" s="89"/>
      <c r="X874" s="89"/>
      <c r="Y874" s="89"/>
      <c r="Z874" s="89"/>
      <c r="AA874" s="89"/>
      <c r="AB874" s="89"/>
      <c r="AC874" s="89"/>
      <c r="AD874" s="89"/>
    </row>
    <row r="875">
      <c r="A875" s="89"/>
      <c r="B875" s="89"/>
      <c r="C875" s="140"/>
      <c r="D875" s="89"/>
      <c r="E875" s="89"/>
      <c r="F875" s="89"/>
      <c r="G875" s="89"/>
      <c r="H875" s="89"/>
      <c r="I875" s="89"/>
      <c r="J875" s="89"/>
      <c r="K875" s="89"/>
      <c r="L875" s="89"/>
      <c r="M875" s="89"/>
      <c r="N875" s="89"/>
      <c r="O875" s="89"/>
      <c r="P875" s="89"/>
      <c r="Q875" s="89"/>
      <c r="R875" s="89"/>
      <c r="S875" s="89"/>
      <c r="T875" s="89"/>
      <c r="U875" s="89"/>
      <c r="V875" s="89"/>
      <c r="W875" s="89"/>
      <c r="X875" s="89"/>
      <c r="Y875" s="89"/>
      <c r="Z875" s="89"/>
      <c r="AA875" s="89"/>
      <c r="AB875" s="89"/>
      <c r="AC875" s="89"/>
      <c r="AD875" s="89"/>
    </row>
    <row r="876">
      <c r="A876" s="89"/>
      <c r="B876" s="89"/>
      <c r="C876" s="140"/>
      <c r="D876" s="89"/>
      <c r="E876" s="89"/>
      <c r="F876" s="89"/>
      <c r="G876" s="89"/>
      <c r="H876" s="89"/>
      <c r="I876" s="89"/>
      <c r="J876" s="89"/>
      <c r="K876" s="89"/>
      <c r="L876" s="89"/>
      <c r="M876" s="89"/>
      <c r="N876" s="89"/>
      <c r="O876" s="89"/>
      <c r="P876" s="89"/>
      <c r="Q876" s="89"/>
      <c r="R876" s="89"/>
      <c r="S876" s="89"/>
      <c r="T876" s="89"/>
      <c r="U876" s="89"/>
      <c r="V876" s="89"/>
      <c r="W876" s="89"/>
      <c r="X876" s="89"/>
      <c r="Y876" s="89"/>
      <c r="Z876" s="89"/>
      <c r="AA876" s="89"/>
      <c r="AB876" s="89"/>
      <c r="AC876" s="89"/>
      <c r="AD876" s="89"/>
    </row>
    <row r="877">
      <c r="A877" s="89"/>
      <c r="B877" s="89"/>
      <c r="C877" s="140"/>
      <c r="D877" s="89"/>
      <c r="E877" s="89"/>
      <c r="F877" s="89"/>
      <c r="G877" s="89"/>
      <c r="H877" s="89"/>
      <c r="I877" s="89"/>
      <c r="J877" s="89"/>
      <c r="K877" s="89"/>
      <c r="L877" s="89"/>
      <c r="M877" s="89"/>
      <c r="N877" s="89"/>
      <c r="O877" s="89"/>
      <c r="P877" s="89"/>
      <c r="Q877" s="89"/>
      <c r="R877" s="89"/>
      <c r="S877" s="89"/>
      <c r="T877" s="89"/>
      <c r="U877" s="89"/>
      <c r="V877" s="89"/>
      <c r="W877" s="89"/>
      <c r="X877" s="89"/>
      <c r="Y877" s="89"/>
      <c r="Z877" s="89"/>
      <c r="AA877" s="89"/>
      <c r="AB877" s="89"/>
      <c r="AC877" s="89"/>
      <c r="AD877" s="89"/>
    </row>
    <row r="878">
      <c r="A878" s="89"/>
      <c r="B878" s="89"/>
      <c r="C878" s="140"/>
      <c r="D878" s="89"/>
      <c r="E878" s="89"/>
      <c r="F878" s="89"/>
      <c r="G878" s="89"/>
      <c r="H878" s="89"/>
      <c r="I878" s="89"/>
      <c r="J878" s="89"/>
      <c r="K878" s="89"/>
      <c r="L878" s="89"/>
      <c r="M878" s="89"/>
      <c r="N878" s="89"/>
      <c r="O878" s="89"/>
      <c r="P878" s="89"/>
      <c r="Q878" s="89"/>
      <c r="R878" s="89"/>
      <c r="S878" s="89"/>
      <c r="T878" s="89"/>
      <c r="U878" s="89"/>
      <c r="V878" s="89"/>
      <c r="W878" s="89"/>
      <c r="X878" s="89"/>
      <c r="Y878" s="89"/>
      <c r="Z878" s="89"/>
      <c r="AA878" s="89"/>
      <c r="AB878" s="89"/>
      <c r="AC878" s="89"/>
      <c r="AD878" s="89"/>
    </row>
    <row r="879">
      <c r="A879" s="89"/>
      <c r="B879" s="89"/>
      <c r="C879" s="140"/>
      <c r="D879" s="89"/>
      <c r="E879" s="89"/>
      <c r="F879" s="89"/>
      <c r="G879" s="89"/>
      <c r="H879" s="89"/>
      <c r="I879" s="89"/>
      <c r="J879" s="89"/>
      <c r="K879" s="89"/>
      <c r="L879" s="89"/>
      <c r="M879" s="89"/>
      <c r="N879" s="89"/>
      <c r="O879" s="89"/>
      <c r="P879" s="89"/>
      <c r="Q879" s="89"/>
      <c r="R879" s="89"/>
      <c r="S879" s="89"/>
      <c r="T879" s="89"/>
      <c r="U879" s="89"/>
      <c r="V879" s="89"/>
      <c r="W879" s="89"/>
      <c r="X879" s="89"/>
      <c r="Y879" s="89"/>
      <c r="Z879" s="89"/>
      <c r="AA879" s="89"/>
      <c r="AB879" s="89"/>
      <c r="AC879" s="89"/>
      <c r="AD879" s="89"/>
    </row>
    <row r="880">
      <c r="A880" s="89"/>
      <c r="B880" s="89"/>
      <c r="C880" s="140"/>
      <c r="D880" s="89"/>
      <c r="E880" s="89"/>
      <c r="F880" s="89"/>
      <c r="G880" s="89"/>
      <c r="H880" s="89"/>
      <c r="I880" s="89"/>
      <c r="J880" s="89"/>
      <c r="K880" s="89"/>
      <c r="L880" s="89"/>
      <c r="M880" s="89"/>
      <c r="N880" s="89"/>
      <c r="O880" s="89"/>
      <c r="P880" s="89"/>
      <c r="Q880" s="89"/>
      <c r="R880" s="89"/>
      <c r="S880" s="89"/>
      <c r="T880" s="89"/>
      <c r="U880" s="89"/>
      <c r="V880" s="89"/>
      <c r="W880" s="89"/>
      <c r="X880" s="89"/>
      <c r="Y880" s="89"/>
      <c r="Z880" s="89"/>
      <c r="AA880" s="89"/>
      <c r="AB880" s="89"/>
      <c r="AC880" s="89"/>
      <c r="AD880" s="89"/>
    </row>
    <row r="881">
      <c r="A881" s="89"/>
      <c r="B881" s="89"/>
      <c r="C881" s="140"/>
      <c r="D881" s="89"/>
      <c r="E881" s="89"/>
      <c r="F881" s="89"/>
      <c r="G881" s="89"/>
      <c r="H881" s="89"/>
      <c r="I881" s="89"/>
      <c r="J881" s="89"/>
      <c r="K881" s="89"/>
      <c r="L881" s="89"/>
      <c r="M881" s="89"/>
      <c r="N881" s="89"/>
      <c r="O881" s="89"/>
      <c r="P881" s="89"/>
      <c r="Q881" s="89"/>
      <c r="R881" s="89"/>
      <c r="S881" s="89"/>
      <c r="T881" s="89"/>
      <c r="U881" s="89"/>
      <c r="V881" s="89"/>
      <c r="W881" s="89"/>
      <c r="X881" s="89"/>
      <c r="Y881" s="89"/>
      <c r="Z881" s="89"/>
      <c r="AA881" s="89"/>
      <c r="AB881" s="89"/>
      <c r="AC881" s="89"/>
      <c r="AD881" s="89"/>
    </row>
    <row r="882">
      <c r="A882" s="89"/>
      <c r="B882" s="89"/>
      <c r="C882" s="140"/>
      <c r="D882" s="89"/>
      <c r="E882" s="89"/>
      <c r="F882" s="89"/>
      <c r="G882" s="89"/>
      <c r="H882" s="89"/>
      <c r="I882" s="89"/>
      <c r="J882" s="89"/>
      <c r="K882" s="89"/>
      <c r="L882" s="89"/>
      <c r="M882" s="89"/>
      <c r="N882" s="89"/>
      <c r="O882" s="89"/>
      <c r="P882" s="89"/>
      <c r="Q882" s="89"/>
      <c r="R882" s="89"/>
      <c r="S882" s="89"/>
      <c r="T882" s="89"/>
      <c r="U882" s="89"/>
      <c r="V882" s="89"/>
      <c r="W882" s="89"/>
      <c r="X882" s="89"/>
      <c r="Y882" s="89"/>
      <c r="Z882" s="89"/>
      <c r="AA882" s="89"/>
      <c r="AB882" s="89"/>
      <c r="AC882" s="89"/>
      <c r="AD882" s="89"/>
    </row>
    <row r="883">
      <c r="A883" s="89"/>
      <c r="B883" s="89"/>
      <c r="C883" s="140"/>
      <c r="D883" s="89"/>
      <c r="E883" s="89"/>
      <c r="F883" s="89"/>
      <c r="G883" s="89"/>
      <c r="H883" s="89"/>
      <c r="I883" s="89"/>
      <c r="J883" s="89"/>
      <c r="K883" s="89"/>
      <c r="L883" s="89"/>
      <c r="M883" s="89"/>
      <c r="N883" s="89"/>
      <c r="O883" s="89"/>
      <c r="P883" s="89"/>
      <c r="Q883" s="89"/>
      <c r="R883" s="89"/>
      <c r="S883" s="89"/>
      <c r="T883" s="89"/>
      <c r="U883" s="89"/>
      <c r="V883" s="89"/>
      <c r="W883" s="89"/>
      <c r="X883" s="89"/>
      <c r="Y883" s="89"/>
      <c r="Z883" s="89"/>
      <c r="AA883" s="89"/>
      <c r="AB883" s="89"/>
      <c r="AC883" s="89"/>
      <c r="AD883" s="89"/>
    </row>
    <row r="884">
      <c r="A884" s="89"/>
      <c r="B884" s="89"/>
      <c r="C884" s="140"/>
      <c r="D884" s="89"/>
      <c r="E884" s="89"/>
      <c r="F884" s="89"/>
      <c r="G884" s="89"/>
      <c r="H884" s="89"/>
      <c r="I884" s="89"/>
      <c r="J884" s="89"/>
      <c r="K884" s="89"/>
      <c r="L884" s="89"/>
      <c r="M884" s="89"/>
      <c r="N884" s="89"/>
      <c r="O884" s="89"/>
      <c r="P884" s="89"/>
      <c r="Q884" s="89"/>
      <c r="R884" s="89"/>
      <c r="S884" s="89"/>
      <c r="T884" s="89"/>
      <c r="U884" s="89"/>
      <c r="V884" s="89"/>
      <c r="W884" s="89"/>
      <c r="X884" s="89"/>
      <c r="Y884" s="89"/>
      <c r="Z884" s="89"/>
      <c r="AA884" s="89"/>
      <c r="AB884" s="89"/>
      <c r="AC884" s="89"/>
      <c r="AD884" s="89"/>
    </row>
    <row r="885">
      <c r="A885" s="89"/>
      <c r="B885" s="89"/>
      <c r="C885" s="140"/>
      <c r="D885" s="89"/>
      <c r="E885" s="89"/>
      <c r="F885" s="89"/>
      <c r="G885" s="89"/>
      <c r="H885" s="89"/>
      <c r="I885" s="89"/>
      <c r="J885" s="89"/>
      <c r="K885" s="89"/>
      <c r="L885" s="89"/>
      <c r="M885" s="89"/>
      <c r="N885" s="89"/>
      <c r="O885" s="89"/>
      <c r="P885" s="89"/>
      <c r="Q885" s="89"/>
      <c r="R885" s="89"/>
      <c r="S885" s="89"/>
      <c r="T885" s="89"/>
      <c r="U885" s="89"/>
      <c r="V885" s="89"/>
      <c r="W885" s="89"/>
      <c r="X885" s="89"/>
      <c r="Y885" s="89"/>
      <c r="Z885" s="89"/>
      <c r="AA885" s="89"/>
      <c r="AB885" s="89"/>
      <c r="AC885" s="89"/>
      <c r="AD885" s="89"/>
    </row>
    <row r="886">
      <c r="A886" s="89"/>
      <c r="B886" s="89"/>
      <c r="C886" s="140"/>
      <c r="D886" s="89"/>
      <c r="E886" s="89"/>
      <c r="F886" s="89"/>
      <c r="G886" s="89"/>
      <c r="H886" s="89"/>
      <c r="I886" s="89"/>
      <c r="J886" s="89"/>
      <c r="K886" s="89"/>
      <c r="L886" s="89"/>
      <c r="M886" s="89"/>
      <c r="N886" s="89"/>
      <c r="O886" s="89"/>
      <c r="P886" s="89"/>
      <c r="Q886" s="89"/>
      <c r="R886" s="89"/>
      <c r="S886" s="89"/>
      <c r="T886" s="89"/>
      <c r="U886" s="89"/>
      <c r="V886" s="89"/>
      <c r="W886" s="89"/>
      <c r="X886" s="89"/>
      <c r="Y886" s="89"/>
      <c r="Z886" s="89"/>
      <c r="AA886" s="89"/>
      <c r="AB886" s="89"/>
      <c r="AC886" s="89"/>
      <c r="AD886" s="89"/>
    </row>
    <row r="887">
      <c r="A887" s="89"/>
      <c r="B887" s="89"/>
      <c r="C887" s="140"/>
      <c r="D887" s="89"/>
      <c r="E887" s="89"/>
      <c r="F887" s="89"/>
      <c r="G887" s="89"/>
      <c r="H887" s="89"/>
      <c r="I887" s="89"/>
      <c r="J887" s="89"/>
      <c r="K887" s="89"/>
      <c r="L887" s="89"/>
      <c r="M887" s="89"/>
      <c r="N887" s="89"/>
      <c r="O887" s="89"/>
      <c r="P887" s="89"/>
      <c r="Q887" s="89"/>
      <c r="R887" s="89"/>
      <c r="S887" s="89"/>
      <c r="T887" s="89"/>
      <c r="U887" s="89"/>
      <c r="V887" s="89"/>
      <c r="W887" s="89"/>
      <c r="X887" s="89"/>
      <c r="Y887" s="89"/>
      <c r="Z887" s="89"/>
      <c r="AA887" s="89"/>
      <c r="AB887" s="89"/>
      <c r="AC887" s="89"/>
      <c r="AD887" s="89"/>
    </row>
    <row r="888">
      <c r="A888" s="89"/>
      <c r="B888" s="89"/>
      <c r="C888" s="140"/>
      <c r="D888" s="89"/>
      <c r="E888" s="89"/>
      <c r="F888" s="89"/>
      <c r="G888" s="89"/>
      <c r="H888" s="89"/>
      <c r="I888" s="89"/>
      <c r="J888" s="89"/>
      <c r="K888" s="89"/>
      <c r="L888" s="89"/>
      <c r="M888" s="89"/>
      <c r="N888" s="89"/>
      <c r="O888" s="89"/>
      <c r="P888" s="89"/>
      <c r="Q888" s="89"/>
      <c r="R888" s="89"/>
      <c r="S888" s="89"/>
      <c r="T888" s="89"/>
      <c r="U888" s="89"/>
      <c r="V888" s="89"/>
      <c r="W888" s="89"/>
      <c r="X888" s="89"/>
      <c r="Y888" s="89"/>
      <c r="Z888" s="89"/>
      <c r="AA888" s="89"/>
      <c r="AB888" s="89"/>
      <c r="AC888" s="89"/>
      <c r="AD888" s="89"/>
    </row>
    <row r="889">
      <c r="A889" s="89"/>
      <c r="B889" s="89"/>
      <c r="C889" s="140"/>
      <c r="D889" s="89"/>
      <c r="E889" s="89"/>
      <c r="F889" s="89"/>
      <c r="G889" s="89"/>
      <c r="H889" s="89"/>
      <c r="I889" s="89"/>
      <c r="J889" s="89"/>
      <c r="K889" s="89"/>
      <c r="L889" s="89"/>
      <c r="M889" s="89"/>
      <c r="N889" s="89"/>
      <c r="O889" s="89"/>
      <c r="P889" s="89"/>
      <c r="Q889" s="89"/>
      <c r="R889" s="89"/>
      <c r="S889" s="89"/>
      <c r="T889" s="89"/>
      <c r="U889" s="89"/>
      <c r="V889" s="89"/>
      <c r="W889" s="89"/>
      <c r="X889" s="89"/>
      <c r="Y889" s="89"/>
      <c r="Z889" s="89"/>
      <c r="AA889" s="89"/>
      <c r="AB889" s="89"/>
      <c r="AC889" s="89"/>
      <c r="AD889" s="89"/>
    </row>
    <row r="890">
      <c r="A890" s="89"/>
      <c r="B890" s="89"/>
      <c r="C890" s="140"/>
      <c r="D890" s="89"/>
      <c r="E890" s="89"/>
      <c r="F890" s="89"/>
      <c r="G890" s="89"/>
      <c r="H890" s="89"/>
      <c r="I890" s="89"/>
      <c r="J890" s="89"/>
      <c r="K890" s="89"/>
      <c r="L890" s="89"/>
      <c r="M890" s="89"/>
      <c r="N890" s="89"/>
      <c r="O890" s="89"/>
      <c r="P890" s="89"/>
      <c r="Q890" s="89"/>
      <c r="R890" s="89"/>
      <c r="S890" s="89"/>
      <c r="T890" s="89"/>
      <c r="U890" s="89"/>
      <c r="V890" s="89"/>
      <c r="W890" s="89"/>
      <c r="X890" s="89"/>
      <c r="Y890" s="89"/>
      <c r="Z890" s="89"/>
      <c r="AA890" s="89"/>
      <c r="AB890" s="89"/>
      <c r="AC890" s="89"/>
      <c r="AD890" s="89"/>
    </row>
    <row r="891">
      <c r="A891" s="89"/>
      <c r="B891" s="89"/>
      <c r="C891" s="140"/>
      <c r="D891" s="89"/>
      <c r="E891" s="89"/>
      <c r="F891" s="89"/>
      <c r="G891" s="89"/>
      <c r="H891" s="89"/>
      <c r="I891" s="89"/>
      <c r="J891" s="89"/>
      <c r="K891" s="89"/>
      <c r="L891" s="89"/>
      <c r="M891" s="89"/>
      <c r="N891" s="89"/>
      <c r="O891" s="89"/>
      <c r="P891" s="89"/>
      <c r="Q891" s="89"/>
      <c r="R891" s="89"/>
      <c r="S891" s="89"/>
      <c r="T891" s="89"/>
      <c r="U891" s="89"/>
      <c r="V891" s="89"/>
      <c r="W891" s="89"/>
      <c r="X891" s="89"/>
      <c r="Y891" s="89"/>
      <c r="Z891" s="89"/>
      <c r="AA891" s="89"/>
      <c r="AB891" s="89"/>
      <c r="AC891" s="89"/>
      <c r="AD891" s="89"/>
    </row>
    <row r="892">
      <c r="A892" s="89"/>
      <c r="B892" s="89"/>
      <c r="C892" s="140"/>
      <c r="D892" s="89"/>
      <c r="E892" s="89"/>
      <c r="F892" s="89"/>
      <c r="G892" s="89"/>
      <c r="H892" s="89"/>
      <c r="I892" s="89"/>
      <c r="J892" s="89"/>
      <c r="K892" s="89"/>
      <c r="L892" s="89"/>
      <c r="M892" s="89"/>
      <c r="N892" s="89"/>
      <c r="O892" s="89"/>
      <c r="P892" s="89"/>
      <c r="Q892" s="89"/>
      <c r="R892" s="89"/>
      <c r="S892" s="89"/>
      <c r="T892" s="89"/>
      <c r="U892" s="89"/>
      <c r="V892" s="89"/>
      <c r="W892" s="89"/>
      <c r="X892" s="89"/>
      <c r="Y892" s="89"/>
      <c r="Z892" s="89"/>
      <c r="AA892" s="89"/>
      <c r="AB892" s="89"/>
      <c r="AC892" s="89"/>
      <c r="AD892" s="89"/>
    </row>
    <row r="893">
      <c r="A893" s="89"/>
      <c r="B893" s="89"/>
      <c r="C893" s="140"/>
      <c r="D893" s="89"/>
      <c r="E893" s="89"/>
      <c r="F893" s="89"/>
      <c r="G893" s="89"/>
      <c r="H893" s="89"/>
      <c r="I893" s="89"/>
      <c r="J893" s="89"/>
      <c r="K893" s="89"/>
      <c r="L893" s="89"/>
      <c r="M893" s="89"/>
      <c r="N893" s="89"/>
      <c r="O893" s="89"/>
      <c r="P893" s="89"/>
      <c r="Q893" s="89"/>
      <c r="R893" s="89"/>
      <c r="S893" s="89"/>
      <c r="T893" s="89"/>
      <c r="U893" s="89"/>
      <c r="V893" s="89"/>
      <c r="W893" s="89"/>
      <c r="X893" s="89"/>
      <c r="Y893" s="89"/>
      <c r="Z893" s="89"/>
      <c r="AA893" s="89"/>
      <c r="AB893" s="89"/>
      <c r="AC893" s="89"/>
      <c r="AD893" s="89"/>
    </row>
    <row r="894">
      <c r="A894" s="89"/>
      <c r="B894" s="89"/>
      <c r="C894" s="140"/>
      <c r="D894" s="89"/>
      <c r="E894" s="89"/>
      <c r="F894" s="89"/>
      <c r="G894" s="89"/>
      <c r="H894" s="89"/>
      <c r="I894" s="89"/>
      <c r="J894" s="89"/>
      <c r="K894" s="89"/>
      <c r="L894" s="89"/>
      <c r="M894" s="89"/>
      <c r="N894" s="89"/>
      <c r="O894" s="89"/>
      <c r="P894" s="89"/>
      <c r="Q894" s="89"/>
      <c r="R894" s="89"/>
      <c r="S894" s="89"/>
      <c r="T894" s="89"/>
      <c r="U894" s="89"/>
      <c r="V894" s="89"/>
      <c r="W894" s="89"/>
      <c r="X894" s="89"/>
      <c r="Y894" s="89"/>
      <c r="Z894" s="89"/>
      <c r="AA894" s="89"/>
      <c r="AB894" s="89"/>
      <c r="AC894" s="89"/>
      <c r="AD894" s="89"/>
    </row>
    <row r="895">
      <c r="A895" s="89"/>
      <c r="B895" s="89"/>
      <c r="C895" s="140"/>
      <c r="D895" s="89"/>
      <c r="E895" s="89"/>
      <c r="F895" s="89"/>
      <c r="G895" s="89"/>
      <c r="H895" s="89"/>
      <c r="I895" s="89"/>
      <c r="J895" s="89"/>
      <c r="K895" s="89"/>
      <c r="L895" s="89"/>
      <c r="M895" s="89"/>
      <c r="N895" s="89"/>
      <c r="O895" s="89"/>
      <c r="P895" s="89"/>
      <c r="Q895" s="89"/>
      <c r="R895" s="89"/>
      <c r="S895" s="89"/>
      <c r="T895" s="89"/>
      <c r="U895" s="89"/>
      <c r="V895" s="89"/>
      <c r="W895" s="89"/>
      <c r="X895" s="89"/>
      <c r="Y895" s="89"/>
      <c r="Z895" s="89"/>
      <c r="AA895" s="89"/>
      <c r="AB895" s="89"/>
      <c r="AC895" s="89"/>
      <c r="AD895" s="89"/>
    </row>
    <row r="896">
      <c r="A896" s="89"/>
      <c r="B896" s="89"/>
      <c r="C896" s="140"/>
      <c r="D896" s="89"/>
      <c r="E896" s="89"/>
      <c r="F896" s="89"/>
      <c r="G896" s="89"/>
      <c r="H896" s="89"/>
      <c r="I896" s="89"/>
      <c r="J896" s="89"/>
      <c r="K896" s="89"/>
      <c r="L896" s="89"/>
      <c r="M896" s="89"/>
      <c r="N896" s="89"/>
      <c r="O896" s="89"/>
      <c r="P896" s="89"/>
      <c r="Q896" s="89"/>
      <c r="R896" s="89"/>
      <c r="S896" s="89"/>
      <c r="T896" s="89"/>
      <c r="U896" s="89"/>
      <c r="V896" s="89"/>
      <c r="W896" s="89"/>
      <c r="X896" s="89"/>
      <c r="Y896" s="89"/>
      <c r="Z896" s="89"/>
      <c r="AA896" s="89"/>
      <c r="AB896" s="89"/>
      <c r="AC896" s="89"/>
      <c r="AD896" s="89"/>
    </row>
    <row r="897">
      <c r="A897" s="89"/>
      <c r="B897" s="89"/>
      <c r="C897" s="140"/>
      <c r="D897" s="89"/>
      <c r="E897" s="89"/>
      <c r="F897" s="89"/>
      <c r="G897" s="89"/>
      <c r="H897" s="89"/>
      <c r="I897" s="89"/>
      <c r="J897" s="89"/>
      <c r="K897" s="89"/>
      <c r="L897" s="89"/>
      <c r="M897" s="89"/>
      <c r="N897" s="89"/>
      <c r="O897" s="89"/>
      <c r="P897" s="89"/>
      <c r="Q897" s="89"/>
      <c r="R897" s="89"/>
      <c r="S897" s="89"/>
      <c r="T897" s="89"/>
      <c r="U897" s="89"/>
      <c r="V897" s="89"/>
      <c r="W897" s="89"/>
      <c r="X897" s="89"/>
      <c r="Y897" s="89"/>
      <c r="Z897" s="89"/>
      <c r="AA897" s="89"/>
      <c r="AB897" s="89"/>
      <c r="AC897" s="89"/>
      <c r="AD897" s="89"/>
    </row>
    <row r="898">
      <c r="A898" s="89"/>
      <c r="B898" s="89"/>
      <c r="C898" s="140"/>
      <c r="D898" s="89"/>
      <c r="E898" s="89"/>
      <c r="F898" s="89"/>
      <c r="G898" s="89"/>
      <c r="H898" s="89"/>
      <c r="I898" s="89"/>
      <c r="J898" s="89"/>
      <c r="K898" s="89"/>
      <c r="L898" s="89"/>
      <c r="M898" s="89"/>
      <c r="N898" s="89"/>
      <c r="O898" s="89"/>
      <c r="P898" s="89"/>
      <c r="Q898" s="89"/>
      <c r="R898" s="89"/>
      <c r="S898" s="89"/>
      <c r="T898" s="89"/>
      <c r="U898" s="89"/>
      <c r="V898" s="89"/>
      <c r="W898" s="89"/>
      <c r="X898" s="89"/>
      <c r="Y898" s="89"/>
      <c r="Z898" s="89"/>
      <c r="AA898" s="89"/>
      <c r="AB898" s="89"/>
      <c r="AC898" s="89"/>
      <c r="AD898" s="89"/>
    </row>
    <row r="899">
      <c r="A899" s="89"/>
      <c r="B899" s="89"/>
      <c r="C899" s="140"/>
      <c r="D899" s="89"/>
      <c r="E899" s="89"/>
      <c r="F899" s="89"/>
      <c r="G899" s="89"/>
      <c r="H899" s="89"/>
      <c r="I899" s="89"/>
      <c r="J899" s="89"/>
      <c r="K899" s="89"/>
      <c r="L899" s="89"/>
      <c r="M899" s="89"/>
      <c r="N899" s="89"/>
      <c r="O899" s="89"/>
      <c r="P899" s="89"/>
      <c r="Q899" s="89"/>
      <c r="R899" s="89"/>
      <c r="S899" s="89"/>
      <c r="T899" s="89"/>
      <c r="U899" s="89"/>
      <c r="V899" s="89"/>
      <c r="W899" s="89"/>
      <c r="X899" s="89"/>
      <c r="Y899" s="89"/>
      <c r="Z899" s="89"/>
      <c r="AA899" s="89"/>
      <c r="AB899" s="89"/>
      <c r="AC899" s="89"/>
      <c r="AD899" s="89"/>
    </row>
    <row r="900">
      <c r="A900" s="89"/>
      <c r="B900" s="89"/>
      <c r="C900" s="140"/>
      <c r="D900" s="89"/>
      <c r="E900" s="89"/>
      <c r="F900" s="89"/>
      <c r="G900" s="89"/>
      <c r="H900" s="89"/>
      <c r="I900" s="89"/>
      <c r="J900" s="89"/>
      <c r="K900" s="89"/>
      <c r="L900" s="89"/>
      <c r="M900" s="89"/>
      <c r="N900" s="89"/>
      <c r="O900" s="89"/>
      <c r="P900" s="89"/>
      <c r="Q900" s="89"/>
      <c r="R900" s="89"/>
      <c r="S900" s="89"/>
      <c r="T900" s="89"/>
      <c r="U900" s="89"/>
      <c r="V900" s="89"/>
      <c r="W900" s="89"/>
      <c r="X900" s="89"/>
      <c r="Y900" s="89"/>
      <c r="Z900" s="89"/>
      <c r="AA900" s="89"/>
      <c r="AB900" s="89"/>
      <c r="AC900" s="89"/>
      <c r="AD900" s="89"/>
    </row>
    <row r="901">
      <c r="A901" s="89"/>
      <c r="B901" s="89"/>
      <c r="C901" s="140"/>
      <c r="D901" s="89"/>
      <c r="E901" s="89"/>
      <c r="F901" s="89"/>
      <c r="G901" s="89"/>
      <c r="H901" s="89"/>
      <c r="I901" s="89"/>
      <c r="J901" s="89"/>
      <c r="K901" s="89"/>
      <c r="L901" s="89"/>
      <c r="M901" s="89"/>
      <c r="N901" s="89"/>
      <c r="O901" s="89"/>
      <c r="P901" s="89"/>
      <c r="Q901" s="89"/>
      <c r="R901" s="89"/>
      <c r="S901" s="89"/>
      <c r="T901" s="89"/>
      <c r="U901" s="89"/>
      <c r="V901" s="89"/>
      <c r="W901" s="89"/>
      <c r="X901" s="89"/>
      <c r="Y901" s="89"/>
      <c r="Z901" s="89"/>
      <c r="AA901" s="89"/>
      <c r="AB901" s="89"/>
      <c r="AC901" s="89"/>
      <c r="AD901" s="89"/>
    </row>
    <row r="902">
      <c r="A902" s="89"/>
      <c r="B902" s="89"/>
      <c r="C902" s="140"/>
      <c r="D902" s="89"/>
      <c r="E902" s="89"/>
      <c r="F902" s="89"/>
      <c r="G902" s="89"/>
      <c r="H902" s="89"/>
      <c r="I902" s="89"/>
      <c r="J902" s="89"/>
      <c r="K902" s="89"/>
      <c r="L902" s="89"/>
      <c r="M902" s="89"/>
      <c r="N902" s="89"/>
      <c r="O902" s="89"/>
      <c r="P902" s="89"/>
      <c r="Q902" s="89"/>
      <c r="R902" s="89"/>
      <c r="S902" s="89"/>
      <c r="T902" s="89"/>
      <c r="U902" s="89"/>
      <c r="V902" s="89"/>
      <c r="W902" s="89"/>
      <c r="X902" s="89"/>
      <c r="Y902" s="89"/>
      <c r="Z902" s="89"/>
      <c r="AA902" s="89"/>
      <c r="AB902" s="89"/>
      <c r="AC902" s="89"/>
      <c r="AD902" s="89"/>
    </row>
    <row r="903">
      <c r="A903" s="89"/>
      <c r="B903" s="89"/>
      <c r="C903" s="140"/>
      <c r="D903" s="89"/>
      <c r="E903" s="89"/>
      <c r="F903" s="89"/>
      <c r="G903" s="89"/>
      <c r="H903" s="89"/>
      <c r="I903" s="89"/>
      <c r="J903" s="89"/>
      <c r="K903" s="89"/>
      <c r="L903" s="89"/>
      <c r="M903" s="89"/>
      <c r="N903" s="89"/>
      <c r="O903" s="89"/>
      <c r="P903" s="89"/>
      <c r="Q903" s="89"/>
      <c r="R903" s="89"/>
      <c r="S903" s="89"/>
      <c r="T903" s="89"/>
      <c r="U903" s="89"/>
      <c r="V903" s="89"/>
      <c r="W903" s="89"/>
      <c r="X903" s="89"/>
      <c r="Y903" s="89"/>
      <c r="Z903" s="89"/>
      <c r="AA903" s="89"/>
      <c r="AB903" s="89"/>
      <c r="AC903" s="89"/>
      <c r="AD903" s="89"/>
    </row>
    <row r="904">
      <c r="A904" s="89"/>
      <c r="B904" s="89"/>
      <c r="C904" s="140"/>
      <c r="D904" s="89"/>
      <c r="E904" s="89"/>
      <c r="F904" s="89"/>
      <c r="G904" s="89"/>
      <c r="H904" s="89"/>
      <c r="I904" s="89"/>
      <c r="J904" s="89"/>
      <c r="K904" s="89"/>
      <c r="L904" s="89"/>
      <c r="M904" s="89"/>
      <c r="N904" s="89"/>
      <c r="O904" s="89"/>
      <c r="P904" s="89"/>
      <c r="Q904" s="89"/>
      <c r="R904" s="89"/>
      <c r="S904" s="89"/>
      <c r="T904" s="89"/>
      <c r="U904" s="89"/>
      <c r="V904" s="89"/>
      <c r="W904" s="89"/>
      <c r="X904" s="89"/>
      <c r="Y904" s="89"/>
      <c r="Z904" s="89"/>
      <c r="AA904" s="89"/>
      <c r="AB904" s="89"/>
      <c r="AC904" s="89"/>
      <c r="AD904" s="89"/>
    </row>
    <row r="905">
      <c r="A905" s="89"/>
      <c r="B905" s="89"/>
      <c r="C905" s="140"/>
      <c r="D905" s="89"/>
      <c r="E905" s="89"/>
      <c r="F905" s="89"/>
      <c r="G905" s="89"/>
      <c r="H905" s="89"/>
      <c r="I905" s="89"/>
      <c r="J905" s="89"/>
      <c r="K905" s="89"/>
      <c r="L905" s="89"/>
      <c r="M905" s="89"/>
      <c r="N905" s="89"/>
      <c r="O905" s="89"/>
      <c r="P905" s="89"/>
      <c r="Q905" s="89"/>
      <c r="R905" s="89"/>
      <c r="S905" s="89"/>
      <c r="T905" s="89"/>
      <c r="U905" s="89"/>
      <c r="V905" s="89"/>
      <c r="W905" s="89"/>
      <c r="X905" s="89"/>
      <c r="Y905" s="89"/>
      <c r="Z905" s="89"/>
      <c r="AA905" s="89"/>
      <c r="AB905" s="89"/>
      <c r="AC905" s="89"/>
      <c r="AD905" s="89"/>
    </row>
    <row r="906">
      <c r="A906" s="89"/>
      <c r="B906" s="89"/>
      <c r="C906" s="140"/>
      <c r="D906" s="89"/>
      <c r="E906" s="89"/>
      <c r="F906" s="89"/>
      <c r="G906" s="89"/>
      <c r="H906" s="89"/>
      <c r="I906" s="89"/>
      <c r="J906" s="89"/>
      <c r="K906" s="89"/>
      <c r="L906" s="89"/>
      <c r="M906" s="89"/>
      <c r="N906" s="89"/>
      <c r="O906" s="89"/>
      <c r="P906" s="89"/>
      <c r="Q906" s="89"/>
      <c r="R906" s="89"/>
      <c r="S906" s="89"/>
      <c r="T906" s="89"/>
      <c r="U906" s="89"/>
      <c r="V906" s="89"/>
      <c r="W906" s="89"/>
      <c r="X906" s="89"/>
      <c r="Y906" s="89"/>
      <c r="Z906" s="89"/>
      <c r="AA906" s="89"/>
      <c r="AB906" s="89"/>
      <c r="AC906" s="89"/>
      <c r="AD906" s="89"/>
    </row>
    <row r="907">
      <c r="A907" s="89"/>
      <c r="B907" s="89"/>
      <c r="C907" s="140"/>
      <c r="D907" s="89"/>
      <c r="E907" s="89"/>
      <c r="F907" s="89"/>
      <c r="G907" s="89"/>
      <c r="H907" s="89"/>
      <c r="I907" s="89"/>
      <c r="J907" s="89"/>
      <c r="K907" s="89"/>
      <c r="L907" s="89"/>
      <c r="M907" s="89"/>
      <c r="N907" s="89"/>
      <c r="O907" s="89"/>
      <c r="P907" s="89"/>
      <c r="Q907" s="89"/>
      <c r="R907" s="89"/>
      <c r="S907" s="89"/>
      <c r="T907" s="89"/>
      <c r="U907" s="89"/>
      <c r="V907" s="89"/>
      <c r="W907" s="89"/>
      <c r="X907" s="89"/>
      <c r="Y907" s="89"/>
      <c r="Z907" s="89"/>
      <c r="AA907" s="89"/>
      <c r="AB907" s="89"/>
      <c r="AC907" s="89"/>
      <c r="AD907" s="89"/>
    </row>
    <row r="908">
      <c r="A908" s="89"/>
      <c r="B908" s="89"/>
      <c r="C908" s="140"/>
      <c r="D908" s="89"/>
      <c r="E908" s="89"/>
      <c r="F908" s="89"/>
      <c r="G908" s="89"/>
      <c r="H908" s="89"/>
      <c r="I908" s="89"/>
      <c r="J908" s="89"/>
      <c r="K908" s="89"/>
      <c r="L908" s="89"/>
      <c r="M908" s="89"/>
      <c r="N908" s="89"/>
      <c r="O908" s="89"/>
      <c r="P908" s="89"/>
      <c r="Q908" s="89"/>
      <c r="R908" s="89"/>
      <c r="S908" s="89"/>
      <c r="T908" s="89"/>
      <c r="U908" s="89"/>
      <c r="V908" s="89"/>
      <c r="W908" s="89"/>
      <c r="X908" s="89"/>
      <c r="Y908" s="89"/>
      <c r="Z908" s="89"/>
      <c r="AA908" s="89"/>
      <c r="AB908" s="89"/>
      <c r="AC908" s="89"/>
      <c r="AD908" s="89"/>
    </row>
    <row r="909">
      <c r="A909" s="89"/>
      <c r="B909" s="89"/>
      <c r="C909" s="140"/>
      <c r="D909" s="89"/>
      <c r="E909" s="89"/>
      <c r="F909" s="89"/>
      <c r="G909" s="89"/>
      <c r="H909" s="89"/>
      <c r="I909" s="89"/>
      <c r="J909" s="89"/>
      <c r="K909" s="89"/>
      <c r="L909" s="89"/>
      <c r="M909" s="89"/>
      <c r="N909" s="89"/>
      <c r="O909" s="89"/>
      <c r="P909" s="89"/>
      <c r="Q909" s="89"/>
      <c r="R909" s="89"/>
      <c r="S909" s="89"/>
      <c r="T909" s="89"/>
      <c r="U909" s="89"/>
      <c r="V909" s="89"/>
      <c r="W909" s="89"/>
      <c r="X909" s="89"/>
      <c r="Y909" s="89"/>
      <c r="Z909" s="89"/>
      <c r="AA909" s="89"/>
      <c r="AB909" s="89"/>
      <c r="AC909" s="89"/>
      <c r="AD909" s="89"/>
    </row>
    <row r="910">
      <c r="A910" s="89"/>
      <c r="B910" s="89"/>
      <c r="C910" s="140"/>
      <c r="D910" s="89"/>
      <c r="E910" s="89"/>
      <c r="F910" s="89"/>
      <c r="G910" s="89"/>
      <c r="H910" s="89"/>
      <c r="I910" s="89"/>
      <c r="J910" s="89"/>
      <c r="K910" s="89"/>
      <c r="L910" s="89"/>
      <c r="M910" s="89"/>
      <c r="N910" s="89"/>
      <c r="O910" s="89"/>
      <c r="P910" s="89"/>
      <c r="Q910" s="89"/>
      <c r="R910" s="89"/>
      <c r="S910" s="89"/>
      <c r="T910" s="89"/>
      <c r="U910" s="89"/>
      <c r="V910" s="89"/>
      <c r="W910" s="89"/>
      <c r="X910" s="89"/>
      <c r="Y910" s="89"/>
      <c r="Z910" s="89"/>
      <c r="AA910" s="89"/>
      <c r="AB910" s="89"/>
      <c r="AC910" s="89"/>
      <c r="AD910" s="89"/>
    </row>
    <row r="911">
      <c r="A911" s="89"/>
      <c r="B911" s="89"/>
      <c r="C911" s="140"/>
      <c r="D911" s="89"/>
      <c r="E911" s="89"/>
      <c r="F911" s="89"/>
      <c r="G911" s="89"/>
      <c r="H911" s="89"/>
      <c r="I911" s="89"/>
      <c r="J911" s="89"/>
      <c r="K911" s="89"/>
      <c r="L911" s="89"/>
      <c r="M911" s="89"/>
      <c r="N911" s="89"/>
      <c r="O911" s="89"/>
      <c r="P911" s="89"/>
      <c r="Q911" s="89"/>
      <c r="R911" s="89"/>
      <c r="S911" s="89"/>
      <c r="T911" s="89"/>
      <c r="U911" s="89"/>
      <c r="V911" s="89"/>
      <c r="W911" s="89"/>
      <c r="X911" s="89"/>
      <c r="Y911" s="89"/>
      <c r="Z911" s="89"/>
      <c r="AA911" s="89"/>
      <c r="AB911" s="89"/>
      <c r="AC911" s="89"/>
      <c r="AD911" s="89"/>
    </row>
    <row r="912">
      <c r="A912" s="89"/>
      <c r="B912" s="89"/>
      <c r="C912" s="140"/>
      <c r="D912" s="89"/>
      <c r="E912" s="89"/>
      <c r="F912" s="89"/>
      <c r="G912" s="89"/>
      <c r="H912" s="89"/>
      <c r="I912" s="89"/>
      <c r="J912" s="89"/>
      <c r="K912" s="89"/>
      <c r="L912" s="89"/>
      <c r="M912" s="89"/>
      <c r="N912" s="89"/>
      <c r="O912" s="89"/>
      <c r="P912" s="89"/>
      <c r="Q912" s="89"/>
      <c r="R912" s="89"/>
      <c r="S912" s="89"/>
      <c r="T912" s="89"/>
      <c r="U912" s="89"/>
      <c r="V912" s="89"/>
      <c r="W912" s="89"/>
      <c r="X912" s="89"/>
      <c r="Y912" s="89"/>
      <c r="Z912" s="89"/>
      <c r="AA912" s="89"/>
      <c r="AB912" s="89"/>
      <c r="AC912" s="89"/>
      <c r="AD912" s="89"/>
    </row>
    <row r="913">
      <c r="A913" s="89"/>
      <c r="B913" s="89"/>
      <c r="C913" s="140"/>
      <c r="D913" s="89"/>
      <c r="E913" s="89"/>
      <c r="F913" s="89"/>
      <c r="G913" s="89"/>
      <c r="H913" s="89"/>
      <c r="I913" s="89"/>
      <c r="J913" s="89"/>
      <c r="K913" s="89"/>
      <c r="L913" s="89"/>
      <c r="M913" s="89"/>
      <c r="N913" s="89"/>
      <c r="O913" s="89"/>
      <c r="P913" s="89"/>
      <c r="Q913" s="89"/>
      <c r="R913" s="89"/>
      <c r="S913" s="89"/>
      <c r="T913" s="89"/>
      <c r="U913" s="89"/>
      <c r="V913" s="89"/>
      <c r="W913" s="89"/>
      <c r="X913" s="89"/>
      <c r="Y913" s="89"/>
      <c r="Z913" s="89"/>
      <c r="AA913" s="89"/>
      <c r="AB913" s="89"/>
      <c r="AC913" s="89"/>
      <c r="AD913" s="89"/>
    </row>
    <row r="914">
      <c r="A914" s="89"/>
      <c r="B914" s="89"/>
      <c r="C914" s="140"/>
      <c r="D914" s="89"/>
      <c r="E914" s="89"/>
      <c r="F914" s="89"/>
      <c r="G914" s="89"/>
      <c r="H914" s="89"/>
      <c r="I914" s="89"/>
      <c r="J914" s="89"/>
      <c r="K914" s="89"/>
      <c r="L914" s="89"/>
      <c r="M914" s="89"/>
      <c r="N914" s="89"/>
      <c r="O914" s="89"/>
      <c r="P914" s="89"/>
      <c r="Q914" s="89"/>
      <c r="R914" s="89"/>
      <c r="S914" s="89"/>
      <c r="T914" s="89"/>
      <c r="U914" s="89"/>
      <c r="V914" s="89"/>
      <c r="W914" s="89"/>
      <c r="X914" s="89"/>
      <c r="Y914" s="89"/>
      <c r="Z914" s="89"/>
      <c r="AA914" s="89"/>
      <c r="AB914" s="89"/>
      <c r="AC914" s="89"/>
      <c r="AD914" s="89"/>
    </row>
    <row r="915">
      <c r="A915" s="89"/>
      <c r="B915" s="89"/>
      <c r="C915" s="140"/>
      <c r="D915" s="89"/>
      <c r="E915" s="89"/>
      <c r="F915" s="89"/>
      <c r="G915" s="89"/>
      <c r="H915" s="89"/>
      <c r="I915" s="89"/>
      <c r="J915" s="89"/>
      <c r="K915" s="89"/>
      <c r="L915" s="89"/>
      <c r="M915" s="89"/>
      <c r="N915" s="89"/>
      <c r="O915" s="89"/>
      <c r="P915" s="89"/>
      <c r="Q915" s="89"/>
      <c r="R915" s="89"/>
      <c r="S915" s="89"/>
      <c r="T915" s="89"/>
      <c r="U915" s="89"/>
      <c r="V915" s="89"/>
      <c r="W915" s="89"/>
      <c r="X915" s="89"/>
      <c r="Y915" s="89"/>
      <c r="Z915" s="89"/>
      <c r="AA915" s="89"/>
      <c r="AB915" s="89"/>
      <c r="AC915" s="89"/>
      <c r="AD915" s="89"/>
    </row>
    <row r="916">
      <c r="A916" s="89"/>
      <c r="B916" s="89"/>
      <c r="C916" s="140"/>
      <c r="D916" s="89"/>
      <c r="E916" s="89"/>
      <c r="F916" s="89"/>
      <c r="G916" s="89"/>
      <c r="H916" s="89"/>
      <c r="I916" s="89"/>
      <c r="J916" s="89"/>
      <c r="K916" s="89"/>
      <c r="L916" s="89"/>
      <c r="M916" s="89"/>
      <c r="N916" s="89"/>
      <c r="O916" s="89"/>
      <c r="P916" s="89"/>
      <c r="Q916" s="89"/>
      <c r="R916" s="89"/>
      <c r="S916" s="89"/>
      <c r="T916" s="89"/>
      <c r="U916" s="89"/>
      <c r="V916" s="89"/>
      <c r="W916" s="89"/>
      <c r="X916" s="89"/>
      <c r="Y916" s="89"/>
      <c r="Z916" s="89"/>
      <c r="AA916" s="89"/>
      <c r="AB916" s="89"/>
      <c r="AC916" s="89"/>
      <c r="AD916" s="89"/>
    </row>
    <row r="917">
      <c r="A917" s="89"/>
      <c r="B917" s="89"/>
      <c r="C917" s="140"/>
      <c r="D917" s="89"/>
      <c r="E917" s="89"/>
      <c r="F917" s="89"/>
      <c r="G917" s="89"/>
      <c r="H917" s="89"/>
      <c r="I917" s="89"/>
      <c r="J917" s="89"/>
      <c r="K917" s="89"/>
      <c r="L917" s="89"/>
      <c r="M917" s="89"/>
      <c r="N917" s="89"/>
      <c r="O917" s="89"/>
      <c r="P917" s="89"/>
      <c r="Q917" s="89"/>
      <c r="R917" s="89"/>
      <c r="S917" s="89"/>
      <c r="T917" s="89"/>
      <c r="U917" s="89"/>
      <c r="V917" s="89"/>
      <c r="W917" s="89"/>
      <c r="X917" s="89"/>
      <c r="Y917" s="89"/>
      <c r="Z917" s="89"/>
      <c r="AA917" s="89"/>
      <c r="AB917" s="89"/>
      <c r="AC917" s="89"/>
      <c r="AD917" s="89"/>
    </row>
    <row r="918">
      <c r="A918" s="89"/>
      <c r="B918" s="89"/>
      <c r="C918" s="140"/>
      <c r="D918" s="89"/>
      <c r="E918" s="89"/>
      <c r="F918" s="89"/>
      <c r="G918" s="89"/>
      <c r="H918" s="89"/>
      <c r="I918" s="89"/>
      <c r="J918" s="89"/>
      <c r="K918" s="89"/>
      <c r="L918" s="89"/>
      <c r="M918" s="89"/>
      <c r="N918" s="89"/>
      <c r="O918" s="89"/>
      <c r="P918" s="89"/>
      <c r="Q918" s="89"/>
      <c r="R918" s="89"/>
      <c r="S918" s="89"/>
      <c r="T918" s="89"/>
      <c r="U918" s="89"/>
      <c r="V918" s="89"/>
      <c r="W918" s="89"/>
      <c r="X918" s="89"/>
      <c r="Y918" s="89"/>
      <c r="Z918" s="89"/>
      <c r="AA918" s="89"/>
      <c r="AB918" s="89"/>
      <c r="AC918" s="89"/>
      <c r="AD918" s="89"/>
    </row>
    <row r="919">
      <c r="A919" s="89"/>
      <c r="B919" s="89"/>
      <c r="C919" s="140"/>
      <c r="D919" s="89"/>
      <c r="E919" s="89"/>
      <c r="F919" s="89"/>
      <c r="G919" s="89"/>
      <c r="H919" s="89"/>
      <c r="I919" s="89"/>
      <c r="J919" s="89"/>
      <c r="K919" s="89"/>
      <c r="L919" s="89"/>
      <c r="M919" s="89"/>
      <c r="N919" s="89"/>
      <c r="O919" s="89"/>
      <c r="P919" s="89"/>
      <c r="Q919" s="89"/>
      <c r="R919" s="89"/>
      <c r="S919" s="89"/>
      <c r="T919" s="89"/>
      <c r="U919" s="89"/>
      <c r="V919" s="89"/>
      <c r="W919" s="89"/>
      <c r="X919" s="89"/>
      <c r="Y919" s="89"/>
      <c r="Z919" s="89"/>
      <c r="AA919" s="89"/>
      <c r="AB919" s="89"/>
      <c r="AC919" s="89"/>
      <c r="AD919" s="89"/>
    </row>
    <row r="920">
      <c r="A920" s="89"/>
      <c r="B920" s="89"/>
      <c r="C920" s="140"/>
      <c r="D920" s="89"/>
      <c r="E920" s="89"/>
      <c r="F920" s="89"/>
      <c r="G920" s="89"/>
      <c r="H920" s="89"/>
      <c r="I920" s="89"/>
      <c r="J920" s="89"/>
      <c r="K920" s="89"/>
      <c r="L920" s="89"/>
      <c r="M920" s="89"/>
      <c r="N920" s="89"/>
      <c r="O920" s="89"/>
      <c r="P920" s="89"/>
      <c r="Q920" s="89"/>
      <c r="R920" s="89"/>
      <c r="S920" s="89"/>
      <c r="T920" s="89"/>
      <c r="U920" s="89"/>
      <c r="V920" s="89"/>
      <c r="W920" s="89"/>
      <c r="X920" s="89"/>
      <c r="Y920" s="89"/>
      <c r="Z920" s="89"/>
      <c r="AA920" s="89"/>
      <c r="AB920" s="89"/>
      <c r="AC920" s="89"/>
      <c r="AD920" s="89"/>
    </row>
    <row r="921">
      <c r="A921" s="89"/>
      <c r="B921" s="89"/>
      <c r="C921" s="140"/>
      <c r="D921" s="89"/>
      <c r="E921" s="89"/>
      <c r="F921" s="89"/>
      <c r="G921" s="89"/>
      <c r="H921" s="89"/>
      <c r="I921" s="89"/>
      <c r="J921" s="89"/>
      <c r="K921" s="89"/>
      <c r="L921" s="89"/>
      <c r="M921" s="89"/>
      <c r="N921" s="89"/>
      <c r="O921" s="89"/>
      <c r="P921" s="89"/>
      <c r="Q921" s="89"/>
      <c r="R921" s="89"/>
      <c r="S921" s="89"/>
      <c r="T921" s="89"/>
      <c r="U921" s="89"/>
      <c r="V921" s="89"/>
      <c r="W921" s="89"/>
      <c r="X921" s="89"/>
      <c r="Y921" s="89"/>
      <c r="Z921" s="89"/>
      <c r="AA921" s="89"/>
      <c r="AB921" s="89"/>
      <c r="AC921" s="89"/>
      <c r="AD921" s="89"/>
    </row>
    <row r="922">
      <c r="A922" s="89"/>
      <c r="B922" s="89"/>
      <c r="C922" s="140"/>
      <c r="D922" s="89"/>
      <c r="E922" s="89"/>
      <c r="F922" s="89"/>
      <c r="G922" s="89"/>
      <c r="H922" s="89"/>
      <c r="I922" s="89"/>
      <c r="J922" s="89"/>
      <c r="K922" s="89"/>
      <c r="L922" s="89"/>
      <c r="M922" s="89"/>
      <c r="N922" s="89"/>
      <c r="O922" s="89"/>
      <c r="P922" s="89"/>
      <c r="Q922" s="89"/>
      <c r="R922" s="89"/>
      <c r="S922" s="89"/>
      <c r="T922" s="89"/>
      <c r="U922" s="89"/>
      <c r="V922" s="89"/>
      <c r="W922" s="89"/>
      <c r="X922" s="89"/>
      <c r="Y922" s="89"/>
      <c r="Z922" s="89"/>
      <c r="AA922" s="89"/>
      <c r="AB922" s="89"/>
      <c r="AC922" s="89"/>
      <c r="AD922" s="89"/>
    </row>
    <row r="923">
      <c r="A923" s="89"/>
      <c r="B923" s="89"/>
      <c r="C923" s="140"/>
      <c r="D923" s="89"/>
      <c r="E923" s="89"/>
      <c r="F923" s="89"/>
      <c r="G923" s="89"/>
      <c r="H923" s="89"/>
      <c r="I923" s="89"/>
      <c r="J923" s="89"/>
      <c r="K923" s="89"/>
      <c r="L923" s="89"/>
      <c r="M923" s="89"/>
      <c r="N923" s="89"/>
      <c r="O923" s="89"/>
      <c r="P923" s="89"/>
      <c r="Q923" s="89"/>
      <c r="R923" s="89"/>
      <c r="S923" s="89"/>
      <c r="T923" s="89"/>
      <c r="U923" s="89"/>
      <c r="V923" s="89"/>
      <c r="W923" s="89"/>
      <c r="X923" s="89"/>
      <c r="Y923" s="89"/>
      <c r="Z923" s="89"/>
      <c r="AA923" s="89"/>
      <c r="AB923" s="89"/>
      <c r="AC923" s="89"/>
      <c r="AD923" s="89"/>
    </row>
    <row r="924">
      <c r="A924" s="89"/>
      <c r="B924" s="89"/>
      <c r="C924" s="140"/>
      <c r="D924" s="89"/>
      <c r="E924" s="89"/>
      <c r="F924" s="89"/>
      <c r="G924" s="89"/>
      <c r="H924" s="89"/>
      <c r="I924" s="89"/>
      <c r="J924" s="89"/>
      <c r="K924" s="89"/>
      <c r="L924" s="89"/>
      <c r="M924" s="89"/>
      <c r="N924" s="89"/>
      <c r="O924" s="89"/>
      <c r="P924" s="89"/>
      <c r="Q924" s="89"/>
      <c r="R924" s="89"/>
      <c r="S924" s="89"/>
      <c r="T924" s="89"/>
      <c r="U924" s="89"/>
      <c r="V924" s="89"/>
      <c r="W924" s="89"/>
      <c r="X924" s="89"/>
      <c r="Y924" s="89"/>
      <c r="Z924" s="89"/>
      <c r="AA924" s="89"/>
      <c r="AB924" s="89"/>
      <c r="AC924" s="89"/>
      <c r="AD924" s="89"/>
    </row>
    <row r="925">
      <c r="A925" s="89"/>
      <c r="B925" s="89"/>
      <c r="C925" s="140"/>
      <c r="D925" s="89"/>
      <c r="E925" s="89"/>
      <c r="F925" s="89"/>
      <c r="G925" s="89"/>
      <c r="H925" s="89"/>
      <c r="I925" s="89"/>
      <c r="J925" s="89"/>
      <c r="K925" s="89"/>
      <c r="L925" s="89"/>
      <c r="M925" s="89"/>
      <c r="N925" s="89"/>
      <c r="O925" s="89"/>
      <c r="P925" s="89"/>
      <c r="Q925" s="89"/>
      <c r="R925" s="89"/>
      <c r="S925" s="89"/>
      <c r="T925" s="89"/>
      <c r="U925" s="89"/>
      <c r="V925" s="89"/>
      <c r="W925" s="89"/>
      <c r="X925" s="89"/>
      <c r="Y925" s="89"/>
      <c r="Z925" s="89"/>
      <c r="AA925" s="89"/>
      <c r="AB925" s="89"/>
      <c r="AC925" s="89"/>
      <c r="AD925" s="89"/>
    </row>
    <row r="926">
      <c r="A926" s="89"/>
      <c r="B926" s="89"/>
      <c r="C926" s="140"/>
      <c r="D926" s="89"/>
      <c r="E926" s="89"/>
      <c r="F926" s="89"/>
      <c r="G926" s="89"/>
      <c r="H926" s="89"/>
      <c r="I926" s="89"/>
      <c r="J926" s="89"/>
      <c r="K926" s="89"/>
      <c r="L926" s="89"/>
      <c r="M926" s="89"/>
      <c r="N926" s="89"/>
      <c r="O926" s="89"/>
      <c r="P926" s="89"/>
      <c r="Q926" s="89"/>
      <c r="R926" s="89"/>
      <c r="S926" s="89"/>
      <c r="T926" s="89"/>
      <c r="U926" s="89"/>
      <c r="V926" s="89"/>
      <c r="W926" s="89"/>
      <c r="X926" s="89"/>
      <c r="Y926" s="89"/>
      <c r="Z926" s="89"/>
      <c r="AA926" s="89"/>
      <c r="AB926" s="89"/>
      <c r="AC926" s="89"/>
      <c r="AD926" s="89"/>
    </row>
    <row r="927">
      <c r="A927" s="89"/>
      <c r="B927" s="89"/>
      <c r="C927" s="140"/>
      <c r="D927" s="89"/>
      <c r="E927" s="89"/>
      <c r="F927" s="89"/>
      <c r="G927" s="89"/>
      <c r="H927" s="89"/>
      <c r="I927" s="89"/>
      <c r="J927" s="89"/>
      <c r="K927" s="89"/>
      <c r="L927" s="89"/>
      <c r="M927" s="89"/>
      <c r="N927" s="89"/>
      <c r="O927" s="89"/>
      <c r="P927" s="89"/>
      <c r="Q927" s="89"/>
      <c r="R927" s="89"/>
      <c r="S927" s="89"/>
      <c r="T927" s="89"/>
      <c r="U927" s="89"/>
      <c r="V927" s="89"/>
      <c r="W927" s="89"/>
      <c r="X927" s="89"/>
      <c r="Y927" s="89"/>
      <c r="Z927" s="89"/>
      <c r="AA927" s="89"/>
      <c r="AB927" s="89"/>
      <c r="AC927" s="89"/>
      <c r="AD927" s="89"/>
    </row>
    <row r="928">
      <c r="A928" s="89"/>
      <c r="B928" s="89"/>
      <c r="C928" s="140"/>
      <c r="D928" s="89"/>
      <c r="E928" s="89"/>
      <c r="F928" s="89"/>
      <c r="G928" s="89"/>
      <c r="H928" s="89"/>
      <c r="I928" s="89"/>
      <c r="J928" s="89"/>
      <c r="K928" s="89"/>
      <c r="L928" s="89"/>
      <c r="M928" s="89"/>
      <c r="N928" s="89"/>
      <c r="O928" s="89"/>
      <c r="P928" s="89"/>
      <c r="Q928" s="89"/>
      <c r="R928" s="89"/>
      <c r="S928" s="89"/>
      <c r="T928" s="89"/>
      <c r="U928" s="89"/>
      <c r="V928" s="89"/>
      <c r="W928" s="89"/>
      <c r="X928" s="89"/>
      <c r="Y928" s="89"/>
      <c r="Z928" s="89"/>
      <c r="AA928" s="89"/>
      <c r="AB928" s="89"/>
      <c r="AC928" s="89"/>
      <c r="AD928" s="89"/>
    </row>
    <row r="929">
      <c r="A929" s="89"/>
      <c r="B929" s="89"/>
      <c r="C929" s="140"/>
      <c r="D929" s="89"/>
      <c r="E929" s="89"/>
      <c r="F929" s="89"/>
      <c r="G929" s="89"/>
      <c r="H929" s="89"/>
      <c r="I929" s="89"/>
      <c r="J929" s="89"/>
      <c r="K929" s="89"/>
      <c r="L929" s="89"/>
      <c r="M929" s="89"/>
      <c r="N929" s="89"/>
      <c r="O929" s="89"/>
      <c r="P929" s="89"/>
      <c r="Q929" s="89"/>
      <c r="R929" s="89"/>
      <c r="S929" s="89"/>
      <c r="T929" s="89"/>
      <c r="U929" s="89"/>
      <c r="V929" s="89"/>
      <c r="W929" s="89"/>
      <c r="X929" s="89"/>
      <c r="Y929" s="89"/>
      <c r="Z929" s="89"/>
      <c r="AA929" s="89"/>
      <c r="AB929" s="89"/>
      <c r="AC929" s="89"/>
      <c r="AD929" s="89"/>
    </row>
    <row r="930">
      <c r="A930" s="89"/>
      <c r="B930" s="89"/>
      <c r="C930" s="140"/>
      <c r="D930" s="89"/>
      <c r="E930" s="89"/>
      <c r="F930" s="89"/>
      <c r="G930" s="89"/>
      <c r="H930" s="89"/>
      <c r="I930" s="89"/>
      <c r="J930" s="89"/>
      <c r="K930" s="89"/>
      <c r="L930" s="89"/>
      <c r="M930" s="89"/>
      <c r="N930" s="89"/>
      <c r="O930" s="89"/>
      <c r="P930" s="89"/>
      <c r="Q930" s="89"/>
      <c r="R930" s="89"/>
      <c r="S930" s="89"/>
      <c r="T930" s="89"/>
      <c r="U930" s="89"/>
      <c r="V930" s="89"/>
      <c r="W930" s="89"/>
      <c r="X930" s="89"/>
      <c r="Y930" s="89"/>
      <c r="Z930" s="89"/>
      <c r="AA930" s="89"/>
      <c r="AB930" s="89"/>
      <c r="AC930" s="89"/>
      <c r="AD930" s="89"/>
    </row>
    <row r="931">
      <c r="A931" s="89"/>
      <c r="B931" s="89"/>
      <c r="C931" s="140"/>
      <c r="D931" s="89"/>
      <c r="E931" s="89"/>
      <c r="F931" s="89"/>
      <c r="G931" s="89"/>
      <c r="H931" s="89"/>
      <c r="I931" s="89"/>
      <c r="J931" s="89"/>
      <c r="K931" s="89"/>
      <c r="L931" s="89"/>
      <c r="M931" s="89"/>
      <c r="N931" s="89"/>
      <c r="O931" s="89"/>
      <c r="P931" s="89"/>
      <c r="Q931" s="89"/>
      <c r="R931" s="89"/>
      <c r="S931" s="89"/>
      <c r="T931" s="89"/>
      <c r="U931" s="89"/>
      <c r="V931" s="89"/>
      <c r="W931" s="89"/>
      <c r="X931" s="89"/>
      <c r="Y931" s="89"/>
      <c r="Z931" s="89"/>
      <c r="AA931" s="89"/>
      <c r="AB931" s="89"/>
      <c r="AC931" s="89"/>
      <c r="AD931" s="89"/>
    </row>
    <row r="932">
      <c r="A932" s="89"/>
      <c r="B932" s="89"/>
      <c r="C932" s="140"/>
      <c r="D932" s="89"/>
      <c r="E932" s="89"/>
      <c r="F932" s="89"/>
      <c r="G932" s="89"/>
      <c r="H932" s="89"/>
      <c r="I932" s="89"/>
      <c r="J932" s="89"/>
      <c r="K932" s="89"/>
      <c r="L932" s="89"/>
      <c r="M932" s="89"/>
      <c r="N932" s="89"/>
      <c r="O932" s="89"/>
      <c r="P932" s="89"/>
      <c r="Q932" s="89"/>
      <c r="R932" s="89"/>
      <c r="S932" s="89"/>
      <c r="T932" s="89"/>
      <c r="U932" s="89"/>
      <c r="V932" s="89"/>
      <c r="W932" s="89"/>
      <c r="X932" s="89"/>
      <c r="Y932" s="89"/>
      <c r="Z932" s="89"/>
      <c r="AA932" s="89"/>
      <c r="AB932" s="89"/>
      <c r="AC932" s="89"/>
      <c r="AD932" s="89"/>
    </row>
    <row r="933">
      <c r="A933" s="89"/>
      <c r="B933" s="89"/>
      <c r="C933" s="140"/>
      <c r="D933" s="89"/>
      <c r="E933" s="89"/>
      <c r="F933" s="89"/>
      <c r="G933" s="89"/>
      <c r="H933" s="89"/>
      <c r="I933" s="89"/>
      <c r="J933" s="89"/>
      <c r="K933" s="89"/>
      <c r="L933" s="89"/>
      <c r="M933" s="89"/>
      <c r="N933" s="89"/>
      <c r="O933" s="89"/>
      <c r="P933" s="89"/>
      <c r="Q933" s="89"/>
      <c r="R933" s="89"/>
      <c r="S933" s="89"/>
      <c r="T933" s="89"/>
      <c r="U933" s="89"/>
      <c r="V933" s="89"/>
      <c r="W933" s="89"/>
      <c r="X933" s="89"/>
      <c r="Y933" s="89"/>
      <c r="Z933" s="89"/>
      <c r="AA933" s="89"/>
      <c r="AB933" s="89"/>
      <c r="AC933" s="89"/>
      <c r="AD933" s="89"/>
    </row>
    <row r="934">
      <c r="A934" s="89"/>
      <c r="B934" s="89"/>
      <c r="C934" s="140"/>
      <c r="D934" s="89"/>
      <c r="E934" s="89"/>
      <c r="F934" s="89"/>
      <c r="G934" s="89"/>
      <c r="H934" s="89"/>
      <c r="I934" s="89"/>
      <c r="J934" s="89"/>
      <c r="K934" s="89"/>
      <c r="L934" s="89"/>
      <c r="M934" s="89"/>
      <c r="N934" s="89"/>
      <c r="O934" s="89"/>
      <c r="P934" s="89"/>
      <c r="Q934" s="89"/>
      <c r="R934" s="89"/>
      <c r="S934" s="89"/>
      <c r="T934" s="89"/>
      <c r="U934" s="89"/>
      <c r="V934" s="89"/>
      <c r="W934" s="89"/>
      <c r="X934" s="89"/>
      <c r="Y934" s="89"/>
      <c r="Z934" s="89"/>
      <c r="AA934" s="89"/>
      <c r="AB934" s="89"/>
      <c r="AC934" s="89"/>
      <c r="AD934" s="89"/>
    </row>
    <row r="935">
      <c r="A935" s="89"/>
      <c r="B935" s="89"/>
      <c r="C935" s="140"/>
      <c r="D935" s="89"/>
      <c r="E935" s="89"/>
      <c r="F935" s="89"/>
      <c r="G935" s="89"/>
      <c r="H935" s="89"/>
      <c r="I935" s="89"/>
      <c r="J935" s="89"/>
      <c r="K935" s="89"/>
      <c r="L935" s="89"/>
      <c r="M935" s="89"/>
      <c r="N935" s="89"/>
      <c r="O935" s="89"/>
      <c r="P935" s="89"/>
      <c r="Q935" s="89"/>
      <c r="R935" s="89"/>
      <c r="S935" s="89"/>
      <c r="T935" s="89"/>
      <c r="U935" s="89"/>
      <c r="V935" s="89"/>
      <c r="W935" s="89"/>
      <c r="X935" s="89"/>
      <c r="Y935" s="89"/>
      <c r="Z935" s="89"/>
      <c r="AA935" s="89"/>
      <c r="AB935" s="89"/>
      <c r="AC935" s="89"/>
      <c r="AD935" s="89"/>
    </row>
    <row r="936">
      <c r="A936" s="89"/>
      <c r="B936" s="89"/>
      <c r="C936" s="140"/>
      <c r="D936" s="89"/>
      <c r="E936" s="89"/>
      <c r="F936" s="89"/>
      <c r="G936" s="89"/>
      <c r="H936" s="89"/>
      <c r="I936" s="89"/>
      <c r="J936" s="89"/>
      <c r="K936" s="89"/>
      <c r="L936" s="89"/>
      <c r="M936" s="89"/>
      <c r="N936" s="89"/>
      <c r="O936" s="89"/>
      <c r="P936" s="89"/>
      <c r="Q936" s="89"/>
      <c r="R936" s="89"/>
      <c r="S936" s="89"/>
      <c r="T936" s="89"/>
      <c r="U936" s="89"/>
      <c r="V936" s="89"/>
      <c r="W936" s="89"/>
      <c r="X936" s="89"/>
      <c r="Y936" s="89"/>
      <c r="Z936" s="89"/>
      <c r="AA936" s="89"/>
      <c r="AB936" s="89"/>
      <c r="AC936" s="89"/>
      <c r="AD936" s="89"/>
    </row>
    <row r="937">
      <c r="A937" s="89"/>
      <c r="B937" s="89"/>
      <c r="C937" s="140"/>
      <c r="D937" s="89"/>
      <c r="E937" s="89"/>
      <c r="F937" s="89"/>
      <c r="G937" s="89"/>
      <c r="H937" s="89"/>
      <c r="I937" s="89"/>
      <c r="J937" s="89"/>
      <c r="K937" s="89"/>
      <c r="L937" s="89"/>
      <c r="M937" s="89"/>
      <c r="N937" s="89"/>
      <c r="O937" s="89"/>
      <c r="P937" s="89"/>
      <c r="Q937" s="89"/>
      <c r="R937" s="89"/>
      <c r="S937" s="89"/>
      <c r="T937" s="89"/>
      <c r="U937" s="89"/>
      <c r="V937" s="89"/>
      <c r="W937" s="89"/>
      <c r="X937" s="89"/>
      <c r="Y937" s="89"/>
      <c r="Z937" s="89"/>
      <c r="AA937" s="89"/>
      <c r="AB937" s="89"/>
      <c r="AC937" s="89"/>
      <c r="AD937" s="89"/>
    </row>
    <row r="938">
      <c r="A938" s="89"/>
      <c r="B938" s="89"/>
      <c r="C938" s="140"/>
      <c r="D938" s="89"/>
      <c r="E938" s="89"/>
      <c r="F938" s="89"/>
      <c r="G938" s="89"/>
      <c r="H938" s="89"/>
      <c r="I938" s="89"/>
      <c r="J938" s="89"/>
      <c r="K938" s="89"/>
      <c r="L938" s="89"/>
      <c r="M938" s="89"/>
      <c r="N938" s="89"/>
      <c r="O938" s="89"/>
      <c r="P938" s="89"/>
      <c r="Q938" s="89"/>
      <c r="R938" s="89"/>
      <c r="S938" s="89"/>
      <c r="T938" s="89"/>
      <c r="U938" s="89"/>
      <c r="V938" s="89"/>
      <c r="W938" s="89"/>
      <c r="X938" s="89"/>
      <c r="Y938" s="89"/>
      <c r="Z938" s="89"/>
      <c r="AA938" s="89"/>
      <c r="AB938" s="89"/>
      <c r="AC938" s="89"/>
      <c r="AD938" s="89"/>
    </row>
    <row r="939">
      <c r="A939" s="89"/>
      <c r="B939" s="89"/>
      <c r="C939" s="140"/>
      <c r="D939" s="89"/>
      <c r="E939" s="89"/>
      <c r="F939" s="89"/>
      <c r="G939" s="89"/>
      <c r="H939" s="89"/>
      <c r="I939" s="89"/>
      <c r="J939" s="89"/>
      <c r="K939" s="89"/>
      <c r="L939" s="89"/>
      <c r="M939" s="89"/>
      <c r="N939" s="89"/>
      <c r="O939" s="89"/>
      <c r="P939" s="89"/>
      <c r="Q939" s="89"/>
      <c r="R939" s="89"/>
      <c r="S939" s="89"/>
      <c r="T939" s="89"/>
      <c r="U939" s="89"/>
      <c r="V939" s="89"/>
      <c r="W939" s="89"/>
      <c r="X939" s="89"/>
      <c r="Y939" s="89"/>
      <c r="Z939" s="89"/>
      <c r="AA939" s="89"/>
      <c r="AB939" s="89"/>
      <c r="AC939" s="89"/>
      <c r="AD939" s="89"/>
    </row>
    <row r="940">
      <c r="A940" s="89"/>
      <c r="B940" s="89"/>
      <c r="C940" s="140"/>
      <c r="D940" s="89"/>
      <c r="E940" s="89"/>
      <c r="F940" s="89"/>
      <c r="G940" s="89"/>
      <c r="H940" s="89"/>
      <c r="I940" s="89"/>
      <c r="J940" s="89"/>
      <c r="K940" s="89"/>
      <c r="L940" s="89"/>
      <c r="M940" s="89"/>
      <c r="N940" s="89"/>
      <c r="O940" s="89"/>
      <c r="P940" s="89"/>
      <c r="Q940" s="89"/>
      <c r="R940" s="89"/>
      <c r="S940" s="89"/>
      <c r="T940" s="89"/>
      <c r="U940" s="89"/>
      <c r="V940" s="89"/>
      <c r="W940" s="89"/>
      <c r="X940" s="89"/>
      <c r="Y940" s="89"/>
      <c r="Z940" s="89"/>
      <c r="AA940" s="89"/>
      <c r="AB940" s="89"/>
      <c r="AC940" s="89"/>
      <c r="AD940" s="89"/>
    </row>
    <row r="941">
      <c r="A941" s="89"/>
      <c r="B941" s="89"/>
      <c r="C941" s="140"/>
      <c r="D941" s="89"/>
      <c r="E941" s="89"/>
      <c r="F941" s="89"/>
      <c r="G941" s="89"/>
      <c r="H941" s="89"/>
      <c r="I941" s="89"/>
      <c r="J941" s="89"/>
      <c r="K941" s="89"/>
      <c r="L941" s="89"/>
      <c r="M941" s="89"/>
      <c r="N941" s="89"/>
      <c r="O941" s="89"/>
      <c r="P941" s="89"/>
      <c r="Q941" s="89"/>
      <c r="R941" s="89"/>
      <c r="S941" s="89"/>
      <c r="T941" s="89"/>
      <c r="U941" s="89"/>
      <c r="V941" s="89"/>
      <c r="W941" s="89"/>
      <c r="X941" s="89"/>
      <c r="Y941" s="89"/>
      <c r="Z941" s="89"/>
      <c r="AA941" s="89"/>
      <c r="AB941" s="89"/>
      <c r="AC941" s="89"/>
      <c r="AD941" s="89"/>
    </row>
    <row r="942">
      <c r="A942" s="89"/>
      <c r="B942" s="89"/>
      <c r="C942" s="140"/>
      <c r="D942" s="89"/>
      <c r="E942" s="89"/>
      <c r="F942" s="89"/>
      <c r="G942" s="89"/>
      <c r="H942" s="89"/>
      <c r="I942" s="89"/>
      <c r="J942" s="89"/>
      <c r="K942" s="89"/>
      <c r="L942" s="89"/>
      <c r="M942" s="89"/>
      <c r="N942" s="89"/>
      <c r="O942" s="89"/>
      <c r="P942" s="89"/>
      <c r="Q942" s="89"/>
      <c r="R942" s="89"/>
      <c r="S942" s="89"/>
      <c r="T942" s="89"/>
      <c r="U942" s="89"/>
      <c r="V942" s="89"/>
      <c r="W942" s="89"/>
      <c r="X942" s="89"/>
      <c r="Y942" s="89"/>
      <c r="Z942" s="89"/>
      <c r="AA942" s="89"/>
      <c r="AB942" s="89"/>
      <c r="AC942" s="89"/>
      <c r="AD942" s="89"/>
    </row>
    <row r="943">
      <c r="A943" s="89"/>
      <c r="B943" s="89"/>
      <c r="C943" s="140"/>
      <c r="D943" s="89"/>
      <c r="E943" s="89"/>
      <c r="F943" s="89"/>
      <c r="G943" s="89"/>
      <c r="H943" s="89"/>
      <c r="I943" s="89"/>
      <c r="J943" s="89"/>
      <c r="K943" s="89"/>
      <c r="L943" s="89"/>
      <c r="M943" s="89"/>
      <c r="N943" s="89"/>
      <c r="O943" s="89"/>
      <c r="P943" s="89"/>
      <c r="Q943" s="89"/>
      <c r="R943" s="89"/>
      <c r="S943" s="89"/>
      <c r="T943" s="89"/>
      <c r="U943" s="89"/>
      <c r="V943" s="89"/>
      <c r="W943" s="89"/>
      <c r="X943" s="89"/>
      <c r="Y943" s="89"/>
      <c r="Z943" s="89"/>
      <c r="AA943" s="89"/>
      <c r="AB943" s="89"/>
      <c r="AC943" s="89"/>
      <c r="AD943" s="89"/>
    </row>
    <row r="944">
      <c r="A944" s="89"/>
      <c r="B944" s="89"/>
      <c r="C944" s="140"/>
      <c r="D944" s="89"/>
      <c r="E944" s="89"/>
      <c r="F944" s="89"/>
      <c r="G944" s="89"/>
      <c r="H944" s="89"/>
      <c r="I944" s="89"/>
      <c r="J944" s="89"/>
      <c r="K944" s="89"/>
      <c r="L944" s="89"/>
      <c r="M944" s="89"/>
      <c r="N944" s="89"/>
      <c r="O944" s="89"/>
      <c r="P944" s="89"/>
      <c r="Q944" s="89"/>
      <c r="R944" s="89"/>
      <c r="S944" s="89"/>
      <c r="T944" s="89"/>
      <c r="U944" s="89"/>
      <c r="V944" s="89"/>
      <c r="W944" s="89"/>
      <c r="X944" s="89"/>
      <c r="Y944" s="89"/>
      <c r="Z944" s="89"/>
      <c r="AA944" s="89"/>
      <c r="AB944" s="89"/>
      <c r="AC944" s="89"/>
      <c r="AD944" s="89"/>
    </row>
    <row r="945">
      <c r="A945" s="89"/>
      <c r="B945" s="89"/>
      <c r="C945" s="140"/>
      <c r="D945" s="89"/>
      <c r="E945" s="89"/>
      <c r="F945" s="89"/>
      <c r="G945" s="89"/>
      <c r="H945" s="89"/>
      <c r="I945" s="89"/>
      <c r="J945" s="89"/>
      <c r="K945" s="89"/>
      <c r="L945" s="89"/>
      <c r="M945" s="89"/>
      <c r="N945" s="89"/>
      <c r="O945" s="89"/>
      <c r="P945" s="89"/>
      <c r="Q945" s="89"/>
      <c r="R945" s="89"/>
      <c r="S945" s="89"/>
      <c r="T945" s="89"/>
      <c r="U945" s="89"/>
      <c r="V945" s="89"/>
      <c r="W945" s="89"/>
      <c r="X945" s="89"/>
      <c r="Y945" s="89"/>
      <c r="Z945" s="89"/>
      <c r="AA945" s="89"/>
      <c r="AB945" s="89"/>
      <c r="AC945" s="89"/>
      <c r="AD945" s="89"/>
    </row>
    <row r="946">
      <c r="A946" s="89"/>
      <c r="B946" s="89"/>
      <c r="C946" s="140"/>
      <c r="D946" s="89"/>
      <c r="E946" s="89"/>
      <c r="F946" s="89"/>
      <c r="G946" s="89"/>
      <c r="H946" s="89"/>
      <c r="I946" s="89"/>
      <c r="J946" s="89"/>
      <c r="K946" s="89"/>
      <c r="L946" s="89"/>
      <c r="M946" s="89"/>
      <c r="N946" s="89"/>
      <c r="O946" s="89"/>
      <c r="P946" s="89"/>
      <c r="Q946" s="89"/>
      <c r="R946" s="89"/>
      <c r="S946" s="89"/>
      <c r="T946" s="89"/>
      <c r="U946" s="89"/>
      <c r="V946" s="89"/>
      <c r="W946" s="89"/>
      <c r="X946" s="89"/>
      <c r="Y946" s="89"/>
      <c r="Z946" s="89"/>
      <c r="AA946" s="89"/>
      <c r="AB946" s="89"/>
      <c r="AC946" s="89"/>
      <c r="AD946" s="89"/>
    </row>
    <row r="947">
      <c r="A947" s="89"/>
      <c r="B947" s="89"/>
      <c r="C947" s="140"/>
      <c r="D947" s="89"/>
      <c r="E947" s="89"/>
      <c r="F947" s="89"/>
      <c r="G947" s="89"/>
      <c r="H947" s="89"/>
      <c r="I947" s="89"/>
      <c r="J947" s="89"/>
      <c r="K947" s="89"/>
      <c r="L947" s="89"/>
      <c r="M947" s="89"/>
      <c r="N947" s="89"/>
      <c r="O947" s="89"/>
      <c r="P947" s="89"/>
      <c r="Q947" s="89"/>
      <c r="R947" s="89"/>
      <c r="S947" s="89"/>
      <c r="T947" s="89"/>
      <c r="U947" s="89"/>
      <c r="V947" s="89"/>
      <c r="W947" s="89"/>
      <c r="X947" s="89"/>
      <c r="Y947" s="89"/>
      <c r="Z947" s="89"/>
      <c r="AA947" s="89"/>
      <c r="AB947" s="89"/>
      <c r="AC947" s="89"/>
      <c r="AD947" s="89"/>
    </row>
    <row r="948">
      <c r="A948" s="89"/>
      <c r="B948" s="89"/>
      <c r="C948" s="140"/>
      <c r="D948" s="89"/>
      <c r="E948" s="89"/>
      <c r="F948" s="89"/>
      <c r="G948" s="89"/>
      <c r="H948" s="89"/>
      <c r="I948" s="89"/>
      <c r="J948" s="89"/>
      <c r="K948" s="89"/>
      <c r="L948" s="89"/>
      <c r="M948" s="89"/>
      <c r="N948" s="89"/>
      <c r="O948" s="89"/>
      <c r="P948" s="89"/>
      <c r="Q948" s="89"/>
      <c r="R948" s="89"/>
      <c r="S948" s="89"/>
      <c r="T948" s="89"/>
      <c r="U948" s="89"/>
      <c r="V948" s="89"/>
      <c r="W948" s="89"/>
      <c r="X948" s="89"/>
      <c r="Y948" s="89"/>
      <c r="Z948" s="89"/>
      <c r="AA948" s="89"/>
      <c r="AB948" s="89"/>
      <c r="AC948" s="89"/>
      <c r="AD948" s="89"/>
    </row>
    <row r="949">
      <c r="A949" s="89"/>
      <c r="B949" s="89"/>
      <c r="C949" s="140"/>
      <c r="D949" s="89"/>
      <c r="E949" s="89"/>
      <c r="F949" s="89"/>
      <c r="G949" s="89"/>
      <c r="H949" s="89"/>
      <c r="I949" s="89"/>
      <c r="J949" s="89"/>
      <c r="K949" s="89"/>
      <c r="L949" s="89"/>
      <c r="M949" s="89"/>
      <c r="N949" s="89"/>
      <c r="O949" s="89"/>
      <c r="P949" s="89"/>
      <c r="Q949" s="89"/>
      <c r="R949" s="89"/>
      <c r="S949" s="89"/>
      <c r="T949" s="89"/>
      <c r="U949" s="89"/>
      <c r="V949" s="89"/>
      <c r="W949" s="89"/>
      <c r="X949" s="89"/>
      <c r="Y949" s="89"/>
      <c r="Z949" s="89"/>
      <c r="AA949" s="89"/>
      <c r="AB949" s="89"/>
      <c r="AC949" s="89"/>
      <c r="AD949" s="89"/>
    </row>
    <row r="950">
      <c r="A950" s="89"/>
      <c r="B950" s="89"/>
      <c r="C950" s="140"/>
      <c r="D950" s="89"/>
      <c r="E950" s="89"/>
      <c r="F950" s="89"/>
      <c r="G950" s="89"/>
      <c r="H950" s="89"/>
      <c r="I950" s="89"/>
      <c r="J950" s="89"/>
      <c r="K950" s="89"/>
      <c r="L950" s="89"/>
      <c r="M950" s="89"/>
      <c r="N950" s="89"/>
      <c r="O950" s="89"/>
      <c r="P950" s="89"/>
      <c r="Q950" s="89"/>
      <c r="R950" s="89"/>
      <c r="S950" s="89"/>
      <c r="T950" s="89"/>
      <c r="U950" s="89"/>
      <c r="V950" s="89"/>
      <c r="W950" s="89"/>
      <c r="X950" s="89"/>
      <c r="Y950" s="89"/>
      <c r="Z950" s="89"/>
      <c r="AA950" s="89"/>
      <c r="AB950" s="89"/>
      <c r="AC950" s="89"/>
      <c r="AD950" s="89"/>
    </row>
    <row r="951">
      <c r="A951" s="89"/>
      <c r="B951" s="89"/>
      <c r="C951" s="140"/>
      <c r="D951" s="89"/>
      <c r="E951" s="89"/>
      <c r="F951" s="89"/>
      <c r="G951" s="89"/>
      <c r="H951" s="89"/>
      <c r="I951" s="89"/>
      <c r="J951" s="89"/>
      <c r="K951" s="89"/>
      <c r="L951" s="89"/>
      <c r="M951" s="89"/>
      <c r="N951" s="89"/>
      <c r="O951" s="89"/>
      <c r="P951" s="89"/>
      <c r="Q951" s="89"/>
      <c r="R951" s="89"/>
      <c r="S951" s="89"/>
      <c r="T951" s="89"/>
      <c r="U951" s="89"/>
      <c r="V951" s="89"/>
      <c r="W951" s="89"/>
      <c r="X951" s="89"/>
      <c r="Y951" s="89"/>
      <c r="Z951" s="89"/>
      <c r="AA951" s="89"/>
      <c r="AB951" s="89"/>
      <c r="AC951" s="89"/>
      <c r="AD951" s="89"/>
    </row>
    <row r="952">
      <c r="A952" s="89"/>
      <c r="B952" s="89"/>
      <c r="C952" s="140"/>
      <c r="D952" s="89"/>
      <c r="E952" s="89"/>
      <c r="F952" s="89"/>
      <c r="G952" s="89"/>
      <c r="H952" s="89"/>
      <c r="I952" s="89"/>
      <c r="J952" s="89"/>
      <c r="K952" s="89"/>
      <c r="L952" s="89"/>
      <c r="M952" s="89"/>
      <c r="N952" s="89"/>
      <c r="O952" s="89"/>
      <c r="P952" s="89"/>
      <c r="Q952" s="89"/>
      <c r="R952" s="89"/>
      <c r="S952" s="89"/>
      <c r="T952" s="89"/>
      <c r="U952" s="89"/>
      <c r="V952" s="89"/>
      <c r="W952" s="89"/>
      <c r="X952" s="89"/>
      <c r="Y952" s="89"/>
      <c r="Z952" s="89"/>
      <c r="AA952" s="89"/>
      <c r="AB952" s="89"/>
      <c r="AC952" s="89"/>
      <c r="AD952" s="89"/>
    </row>
    <row r="953">
      <c r="A953" s="89"/>
      <c r="B953" s="89"/>
      <c r="C953" s="140"/>
      <c r="D953" s="89"/>
      <c r="E953" s="89"/>
      <c r="F953" s="89"/>
      <c r="G953" s="89"/>
      <c r="H953" s="89"/>
      <c r="I953" s="89"/>
      <c r="J953" s="89"/>
      <c r="K953" s="89"/>
      <c r="L953" s="89"/>
      <c r="M953" s="89"/>
      <c r="N953" s="89"/>
      <c r="O953" s="89"/>
      <c r="P953" s="89"/>
      <c r="Q953" s="89"/>
      <c r="R953" s="89"/>
      <c r="S953" s="89"/>
      <c r="T953" s="89"/>
      <c r="U953" s="89"/>
      <c r="V953" s="89"/>
      <c r="W953" s="89"/>
      <c r="X953" s="89"/>
      <c r="Y953" s="89"/>
      <c r="Z953" s="89"/>
      <c r="AA953" s="89"/>
      <c r="AB953" s="89"/>
      <c r="AC953" s="89"/>
      <c r="AD953" s="89"/>
    </row>
    <row r="954">
      <c r="A954" s="89"/>
      <c r="B954" s="89"/>
      <c r="C954" s="140"/>
      <c r="D954" s="89"/>
      <c r="E954" s="89"/>
      <c r="F954" s="89"/>
      <c r="G954" s="89"/>
      <c r="H954" s="89"/>
      <c r="I954" s="89"/>
      <c r="J954" s="89"/>
      <c r="K954" s="89"/>
      <c r="L954" s="89"/>
      <c r="M954" s="89"/>
      <c r="N954" s="89"/>
      <c r="O954" s="89"/>
      <c r="P954" s="89"/>
      <c r="Q954" s="89"/>
      <c r="R954" s="89"/>
      <c r="S954" s="89"/>
      <c r="T954" s="89"/>
      <c r="U954" s="89"/>
      <c r="V954" s="89"/>
      <c r="W954" s="89"/>
      <c r="X954" s="89"/>
      <c r="Y954" s="89"/>
      <c r="Z954" s="89"/>
      <c r="AA954" s="89"/>
      <c r="AB954" s="89"/>
      <c r="AC954" s="89"/>
      <c r="AD954" s="89"/>
    </row>
    <row r="955">
      <c r="A955" s="89"/>
      <c r="B955" s="89"/>
      <c r="C955" s="140"/>
      <c r="D955" s="89"/>
      <c r="E955" s="89"/>
      <c r="F955" s="89"/>
      <c r="G955" s="89"/>
      <c r="H955" s="89"/>
      <c r="I955" s="89"/>
      <c r="J955" s="89"/>
      <c r="K955" s="89"/>
      <c r="L955" s="89"/>
      <c r="M955" s="89"/>
      <c r="N955" s="89"/>
      <c r="O955" s="89"/>
      <c r="P955" s="89"/>
      <c r="Q955" s="89"/>
      <c r="R955" s="89"/>
      <c r="S955" s="89"/>
      <c r="T955" s="89"/>
      <c r="U955" s="89"/>
      <c r="V955" s="89"/>
      <c r="W955" s="89"/>
      <c r="X955" s="89"/>
      <c r="Y955" s="89"/>
      <c r="Z955" s="89"/>
      <c r="AA955" s="89"/>
      <c r="AB955" s="89"/>
      <c r="AC955" s="89"/>
      <c r="AD955" s="89"/>
    </row>
    <row r="956">
      <c r="A956" s="89"/>
      <c r="B956" s="89"/>
      <c r="C956" s="140"/>
      <c r="D956" s="89"/>
      <c r="E956" s="89"/>
      <c r="F956" s="89"/>
      <c r="G956" s="89"/>
      <c r="H956" s="89"/>
      <c r="I956" s="89"/>
      <c r="J956" s="89"/>
      <c r="K956" s="89"/>
      <c r="L956" s="89"/>
      <c r="M956" s="89"/>
      <c r="N956" s="89"/>
      <c r="O956" s="89"/>
      <c r="P956" s="89"/>
      <c r="Q956" s="89"/>
      <c r="R956" s="89"/>
      <c r="S956" s="89"/>
      <c r="T956" s="89"/>
      <c r="U956" s="89"/>
      <c r="V956" s="89"/>
      <c r="W956" s="89"/>
      <c r="X956" s="89"/>
      <c r="Y956" s="89"/>
      <c r="Z956" s="89"/>
      <c r="AA956" s="89"/>
      <c r="AB956" s="89"/>
      <c r="AC956" s="89"/>
      <c r="AD956" s="89"/>
    </row>
    <row r="957">
      <c r="A957" s="89"/>
      <c r="B957" s="89"/>
      <c r="C957" s="140"/>
      <c r="D957" s="89"/>
      <c r="E957" s="89"/>
      <c r="F957" s="89"/>
      <c r="G957" s="89"/>
      <c r="H957" s="89"/>
      <c r="I957" s="89"/>
      <c r="J957" s="89"/>
      <c r="K957" s="89"/>
      <c r="L957" s="89"/>
      <c r="M957" s="89"/>
      <c r="N957" s="89"/>
      <c r="O957" s="89"/>
      <c r="P957" s="89"/>
      <c r="Q957" s="89"/>
      <c r="R957" s="89"/>
      <c r="S957" s="89"/>
      <c r="T957" s="89"/>
      <c r="U957" s="89"/>
      <c r="V957" s="89"/>
      <c r="W957" s="89"/>
      <c r="X957" s="89"/>
      <c r="Y957" s="89"/>
      <c r="Z957" s="89"/>
      <c r="AA957" s="89"/>
      <c r="AB957" s="89"/>
      <c r="AC957" s="89"/>
      <c r="AD957" s="89"/>
    </row>
    <row r="958">
      <c r="A958" s="89"/>
      <c r="B958" s="89"/>
      <c r="C958" s="140"/>
      <c r="D958" s="89"/>
      <c r="E958" s="89"/>
      <c r="F958" s="89"/>
      <c r="G958" s="89"/>
      <c r="H958" s="89"/>
      <c r="I958" s="89"/>
      <c r="J958" s="89"/>
      <c r="K958" s="89"/>
      <c r="L958" s="89"/>
      <c r="M958" s="89"/>
      <c r="N958" s="89"/>
      <c r="O958" s="89"/>
      <c r="P958" s="89"/>
      <c r="Q958" s="89"/>
      <c r="R958" s="89"/>
      <c r="S958" s="89"/>
      <c r="T958" s="89"/>
      <c r="U958" s="89"/>
      <c r="V958" s="89"/>
      <c r="W958" s="89"/>
      <c r="X958" s="89"/>
      <c r="Y958" s="89"/>
      <c r="Z958" s="89"/>
      <c r="AA958" s="89"/>
      <c r="AB958" s="89"/>
      <c r="AC958" s="89"/>
      <c r="AD958" s="89"/>
    </row>
    <row r="959">
      <c r="A959" s="89"/>
      <c r="B959" s="89"/>
      <c r="C959" s="140"/>
      <c r="D959" s="89"/>
      <c r="E959" s="89"/>
      <c r="F959" s="89"/>
      <c r="G959" s="89"/>
      <c r="H959" s="89"/>
      <c r="I959" s="89"/>
      <c r="J959" s="89"/>
      <c r="K959" s="89"/>
      <c r="L959" s="89"/>
      <c r="M959" s="89"/>
      <c r="N959" s="89"/>
      <c r="O959" s="89"/>
      <c r="P959" s="89"/>
      <c r="Q959" s="89"/>
      <c r="R959" s="89"/>
      <c r="S959" s="89"/>
      <c r="T959" s="89"/>
      <c r="U959" s="89"/>
      <c r="V959" s="89"/>
      <c r="W959" s="89"/>
      <c r="X959" s="89"/>
      <c r="Y959" s="89"/>
      <c r="Z959" s="89"/>
      <c r="AA959" s="89"/>
      <c r="AB959" s="89"/>
      <c r="AC959" s="89"/>
      <c r="AD959" s="89"/>
    </row>
    <row r="960">
      <c r="A960" s="89"/>
      <c r="B960" s="89"/>
      <c r="C960" s="140"/>
      <c r="D960" s="89"/>
      <c r="E960" s="89"/>
      <c r="F960" s="89"/>
      <c r="G960" s="89"/>
      <c r="H960" s="89"/>
      <c r="I960" s="89"/>
      <c r="J960" s="89"/>
      <c r="K960" s="89"/>
      <c r="L960" s="89"/>
      <c r="M960" s="89"/>
      <c r="N960" s="89"/>
      <c r="O960" s="89"/>
      <c r="P960" s="89"/>
      <c r="Q960" s="89"/>
      <c r="R960" s="89"/>
      <c r="S960" s="89"/>
      <c r="T960" s="89"/>
      <c r="U960" s="89"/>
      <c r="V960" s="89"/>
      <c r="W960" s="89"/>
      <c r="X960" s="89"/>
      <c r="Y960" s="89"/>
      <c r="Z960" s="89"/>
      <c r="AA960" s="89"/>
      <c r="AB960" s="89"/>
      <c r="AC960" s="89"/>
      <c r="AD960" s="89"/>
    </row>
    <row r="961">
      <c r="A961" s="89"/>
      <c r="B961" s="89"/>
      <c r="C961" s="140"/>
      <c r="D961" s="89"/>
      <c r="E961" s="89"/>
      <c r="F961" s="89"/>
      <c r="G961" s="89"/>
      <c r="H961" s="89"/>
      <c r="I961" s="89"/>
      <c r="J961" s="89"/>
      <c r="K961" s="89"/>
      <c r="L961" s="89"/>
      <c r="M961" s="89"/>
      <c r="N961" s="89"/>
      <c r="O961" s="89"/>
      <c r="P961" s="89"/>
      <c r="Q961" s="89"/>
      <c r="R961" s="89"/>
      <c r="S961" s="89"/>
      <c r="T961" s="89"/>
      <c r="U961" s="89"/>
      <c r="V961" s="89"/>
      <c r="W961" s="89"/>
      <c r="X961" s="89"/>
      <c r="Y961" s="89"/>
      <c r="Z961" s="89"/>
      <c r="AA961" s="89"/>
      <c r="AB961" s="89"/>
      <c r="AC961" s="89"/>
      <c r="AD961" s="89"/>
    </row>
    <row r="962">
      <c r="A962" s="89"/>
      <c r="B962" s="89"/>
      <c r="C962" s="140"/>
      <c r="D962" s="89"/>
      <c r="E962" s="89"/>
      <c r="F962" s="89"/>
      <c r="G962" s="89"/>
      <c r="H962" s="89"/>
      <c r="I962" s="89"/>
      <c r="J962" s="89"/>
      <c r="K962" s="89"/>
      <c r="L962" s="89"/>
      <c r="M962" s="89"/>
      <c r="N962" s="89"/>
      <c r="O962" s="89"/>
      <c r="P962" s="89"/>
      <c r="Q962" s="89"/>
      <c r="R962" s="89"/>
      <c r="S962" s="89"/>
      <c r="T962" s="89"/>
      <c r="U962" s="89"/>
      <c r="V962" s="89"/>
      <c r="W962" s="89"/>
      <c r="X962" s="89"/>
      <c r="Y962" s="89"/>
      <c r="Z962" s="89"/>
      <c r="AA962" s="89"/>
      <c r="AB962" s="89"/>
      <c r="AC962" s="89"/>
      <c r="AD962" s="89"/>
    </row>
    <row r="963">
      <c r="A963" s="89"/>
      <c r="B963" s="89"/>
      <c r="C963" s="140"/>
      <c r="D963" s="89"/>
      <c r="E963" s="89"/>
      <c r="F963" s="89"/>
      <c r="G963" s="89"/>
      <c r="H963" s="89"/>
      <c r="I963" s="89"/>
      <c r="J963" s="89"/>
      <c r="K963" s="89"/>
      <c r="L963" s="89"/>
      <c r="M963" s="89"/>
      <c r="N963" s="89"/>
      <c r="O963" s="89"/>
      <c r="P963" s="89"/>
      <c r="Q963" s="89"/>
      <c r="R963" s="89"/>
      <c r="S963" s="89"/>
      <c r="T963" s="89"/>
      <c r="U963" s="89"/>
      <c r="V963" s="89"/>
      <c r="W963" s="89"/>
      <c r="X963" s="89"/>
      <c r="Y963" s="89"/>
      <c r="Z963" s="89"/>
      <c r="AA963" s="89"/>
      <c r="AB963" s="89"/>
      <c r="AC963" s="89"/>
      <c r="AD963" s="89"/>
    </row>
    <row r="964">
      <c r="A964" s="89"/>
      <c r="B964" s="89"/>
      <c r="C964" s="140"/>
      <c r="D964" s="89"/>
      <c r="E964" s="89"/>
      <c r="F964" s="89"/>
      <c r="G964" s="89"/>
      <c r="H964" s="89"/>
      <c r="I964" s="89"/>
      <c r="J964" s="89"/>
      <c r="K964" s="89"/>
      <c r="L964" s="89"/>
      <c r="M964" s="89"/>
      <c r="N964" s="89"/>
      <c r="O964" s="89"/>
      <c r="P964" s="89"/>
      <c r="Q964" s="89"/>
      <c r="R964" s="89"/>
      <c r="S964" s="89"/>
      <c r="T964" s="89"/>
      <c r="U964" s="89"/>
      <c r="V964" s="89"/>
      <c r="W964" s="89"/>
      <c r="X964" s="89"/>
      <c r="Y964" s="89"/>
      <c r="Z964" s="89"/>
      <c r="AA964" s="89"/>
      <c r="AB964" s="89"/>
      <c r="AC964" s="89"/>
      <c r="AD964" s="89"/>
    </row>
    <row r="965">
      <c r="A965" s="89"/>
      <c r="B965" s="89"/>
      <c r="C965" s="140"/>
      <c r="D965" s="89"/>
      <c r="E965" s="89"/>
      <c r="F965" s="89"/>
      <c r="G965" s="89"/>
      <c r="H965" s="89"/>
      <c r="I965" s="89"/>
      <c r="J965" s="89"/>
      <c r="K965" s="89"/>
      <c r="L965" s="89"/>
      <c r="M965" s="89"/>
      <c r="N965" s="89"/>
      <c r="O965" s="89"/>
      <c r="P965" s="89"/>
      <c r="Q965" s="89"/>
      <c r="R965" s="89"/>
      <c r="S965" s="89"/>
      <c r="T965" s="89"/>
      <c r="U965" s="89"/>
      <c r="V965" s="89"/>
      <c r="W965" s="89"/>
      <c r="X965" s="89"/>
      <c r="Y965" s="89"/>
      <c r="Z965" s="89"/>
      <c r="AA965" s="89"/>
      <c r="AB965" s="89"/>
      <c r="AC965" s="89"/>
      <c r="AD965" s="89"/>
    </row>
    <row r="966">
      <c r="A966" s="89"/>
      <c r="B966" s="89"/>
      <c r="C966" s="140"/>
      <c r="D966" s="89"/>
      <c r="E966" s="89"/>
      <c r="F966" s="89"/>
      <c r="G966" s="89"/>
      <c r="H966" s="89"/>
      <c r="I966" s="89"/>
      <c r="J966" s="89"/>
      <c r="K966" s="89"/>
      <c r="L966" s="89"/>
      <c r="M966" s="89"/>
      <c r="N966" s="89"/>
      <c r="O966" s="89"/>
      <c r="P966" s="89"/>
      <c r="Q966" s="89"/>
      <c r="R966" s="89"/>
      <c r="S966" s="89"/>
      <c r="T966" s="89"/>
      <c r="U966" s="89"/>
      <c r="V966" s="89"/>
      <c r="W966" s="89"/>
      <c r="X966" s="89"/>
      <c r="Y966" s="89"/>
      <c r="Z966" s="89"/>
      <c r="AA966" s="89"/>
      <c r="AB966" s="89"/>
      <c r="AC966" s="89"/>
      <c r="AD966" s="89"/>
    </row>
    <row r="967">
      <c r="A967" s="89"/>
      <c r="B967" s="89"/>
      <c r="C967" s="140"/>
      <c r="D967" s="89"/>
      <c r="E967" s="89"/>
      <c r="F967" s="89"/>
      <c r="G967" s="89"/>
      <c r="H967" s="89"/>
      <c r="I967" s="89"/>
      <c r="J967" s="89"/>
      <c r="K967" s="89"/>
      <c r="L967" s="89"/>
      <c r="M967" s="89"/>
      <c r="N967" s="89"/>
      <c r="O967" s="89"/>
      <c r="P967" s="89"/>
      <c r="Q967" s="89"/>
      <c r="R967" s="89"/>
      <c r="S967" s="89"/>
      <c r="T967" s="89"/>
      <c r="U967" s="89"/>
      <c r="V967" s="89"/>
      <c r="W967" s="89"/>
      <c r="X967" s="89"/>
      <c r="Y967" s="89"/>
      <c r="Z967" s="89"/>
      <c r="AA967" s="89"/>
      <c r="AB967" s="89"/>
      <c r="AC967" s="89"/>
      <c r="AD967" s="89"/>
    </row>
    <row r="968">
      <c r="A968" s="89"/>
      <c r="B968" s="89"/>
      <c r="C968" s="140"/>
      <c r="D968" s="89"/>
      <c r="E968" s="89"/>
      <c r="F968" s="89"/>
      <c r="G968" s="89"/>
      <c r="H968" s="89"/>
      <c r="I968" s="89"/>
      <c r="J968" s="89"/>
      <c r="K968" s="89"/>
      <c r="L968" s="89"/>
      <c r="M968" s="89"/>
      <c r="N968" s="89"/>
      <c r="O968" s="89"/>
      <c r="P968" s="89"/>
      <c r="Q968" s="89"/>
      <c r="R968" s="89"/>
      <c r="S968" s="89"/>
      <c r="T968" s="89"/>
      <c r="U968" s="89"/>
      <c r="V968" s="89"/>
      <c r="W968" s="89"/>
      <c r="X968" s="89"/>
      <c r="Y968" s="89"/>
      <c r="Z968" s="89"/>
      <c r="AA968" s="89"/>
      <c r="AB968" s="89"/>
      <c r="AC968" s="89"/>
      <c r="AD968" s="89"/>
    </row>
    <row r="969">
      <c r="A969" s="89"/>
      <c r="B969" s="89"/>
      <c r="C969" s="140"/>
      <c r="D969" s="89"/>
      <c r="E969" s="89"/>
      <c r="F969" s="89"/>
      <c r="G969" s="89"/>
      <c r="H969" s="89"/>
      <c r="I969" s="89"/>
      <c r="J969" s="89"/>
      <c r="K969" s="89"/>
      <c r="L969" s="89"/>
      <c r="M969" s="89"/>
      <c r="N969" s="89"/>
      <c r="O969" s="89"/>
      <c r="P969" s="89"/>
      <c r="Q969" s="89"/>
      <c r="R969" s="89"/>
      <c r="S969" s="89"/>
      <c r="T969" s="89"/>
      <c r="U969" s="89"/>
      <c r="V969" s="89"/>
      <c r="W969" s="89"/>
      <c r="X969" s="89"/>
      <c r="Y969" s="89"/>
      <c r="Z969" s="89"/>
      <c r="AA969" s="89"/>
      <c r="AB969" s="89"/>
      <c r="AC969" s="89"/>
      <c r="AD969" s="89"/>
    </row>
    <row r="970">
      <c r="A970" s="89"/>
      <c r="B970" s="89"/>
      <c r="C970" s="140"/>
      <c r="D970" s="89"/>
      <c r="E970" s="89"/>
      <c r="F970" s="89"/>
      <c r="G970" s="89"/>
      <c r="H970" s="89"/>
      <c r="I970" s="89"/>
      <c r="J970" s="89"/>
      <c r="K970" s="89"/>
      <c r="L970" s="89"/>
      <c r="M970" s="89"/>
      <c r="N970" s="89"/>
      <c r="O970" s="89"/>
      <c r="P970" s="89"/>
      <c r="Q970" s="89"/>
      <c r="R970" s="89"/>
      <c r="S970" s="89"/>
      <c r="T970" s="89"/>
      <c r="U970" s="89"/>
      <c r="V970" s="89"/>
      <c r="W970" s="89"/>
      <c r="X970" s="89"/>
      <c r="Y970" s="89"/>
      <c r="Z970" s="89"/>
      <c r="AA970" s="89"/>
      <c r="AB970" s="89"/>
      <c r="AC970" s="89"/>
      <c r="AD970" s="89"/>
    </row>
    <row r="971">
      <c r="A971" s="89"/>
      <c r="B971" s="89"/>
      <c r="C971" s="140"/>
      <c r="D971" s="89"/>
      <c r="E971" s="89"/>
      <c r="F971" s="89"/>
      <c r="G971" s="89"/>
      <c r="H971" s="89"/>
      <c r="I971" s="89"/>
      <c r="J971" s="89"/>
      <c r="K971" s="89"/>
      <c r="L971" s="89"/>
      <c r="M971" s="89"/>
      <c r="N971" s="89"/>
      <c r="O971" s="89"/>
      <c r="P971" s="89"/>
      <c r="Q971" s="89"/>
      <c r="R971" s="89"/>
      <c r="S971" s="89"/>
      <c r="T971" s="89"/>
      <c r="U971" s="89"/>
      <c r="V971" s="89"/>
      <c r="W971" s="89"/>
      <c r="X971" s="89"/>
      <c r="Y971" s="89"/>
      <c r="Z971" s="89"/>
      <c r="AA971" s="89"/>
      <c r="AB971" s="89"/>
      <c r="AC971" s="89"/>
      <c r="AD971" s="89"/>
    </row>
    <row r="972">
      <c r="A972" s="89"/>
      <c r="B972" s="89"/>
      <c r="C972" s="140"/>
      <c r="D972" s="89"/>
      <c r="E972" s="89"/>
      <c r="F972" s="89"/>
      <c r="G972" s="89"/>
      <c r="H972" s="89"/>
      <c r="I972" s="89"/>
      <c r="J972" s="89"/>
      <c r="K972" s="89"/>
      <c r="L972" s="89"/>
      <c r="M972" s="89"/>
      <c r="N972" s="89"/>
      <c r="O972" s="89"/>
      <c r="P972" s="89"/>
      <c r="Q972" s="89"/>
      <c r="R972" s="89"/>
      <c r="S972" s="89"/>
      <c r="T972" s="89"/>
      <c r="U972" s="89"/>
      <c r="V972" s="89"/>
      <c r="W972" s="89"/>
      <c r="X972" s="89"/>
      <c r="Y972" s="89"/>
      <c r="Z972" s="89"/>
      <c r="AA972" s="89"/>
      <c r="AB972" s="89"/>
      <c r="AC972" s="89"/>
      <c r="AD972" s="89"/>
    </row>
    <row r="973">
      <c r="A973" s="89"/>
      <c r="B973" s="89"/>
      <c r="C973" s="140"/>
      <c r="D973" s="89"/>
      <c r="E973" s="89"/>
      <c r="F973" s="89"/>
      <c r="G973" s="89"/>
      <c r="H973" s="89"/>
      <c r="I973" s="89"/>
      <c r="J973" s="89"/>
      <c r="K973" s="89"/>
      <c r="L973" s="89"/>
      <c r="M973" s="89"/>
      <c r="N973" s="89"/>
      <c r="O973" s="89"/>
      <c r="P973" s="89"/>
      <c r="Q973" s="89"/>
      <c r="R973" s="89"/>
      <c r="S973" s="89"/>
      <c r="T973" s="89"/>
      <c r="U973" s="89"/>
      <c r="V973" s="89"/>
      <c r="W973" s="89"/>
      <c r="X973" s="89"/>
      <c r="Y973" s="89"/>
      <c r="Z973" s="89"/>
      <c r="AA973" s="89"/>
      <c r="AB973" s="89"/>
      <c r="AC973" s="89"/>
      <c r="AD973" s="89"/>
    </row>
    <row r="974">
      <c r="A974" s="89"/>
      <c r="B974" s="89"/>
      <c r="C974" s="140"/>
      <c r="D974" s="89"/>
      <c r="E974" s="89"/>
      <c r="F974" s="89"/>
      <c r="G974" s="89"/>
      <c r="H974" s="89"/>
      <c r="I974" s="89"/>
      <c r="J974" s="89"/>
      <c r="K974" s="89"/>
      <c r="L974" s="89"/>
      <c r="M974" s="89"/>
      <c r="N974" s="89"/>
      <c r="O974" s="89"/>
      <c r="P974" s="89"/>
      <c r="Q974" s="89"/>
      <c r="R974" s="89"/>
      <c r="S974" s="89"/>
      <c r="T974" s="89"/>
      <c r="U974" s="89"/>
      <c r="V974" s="89"/>
      <c r="W974" s="89"/>
      <c r="X974" s="89"/>
      <c r="Y974" s="89"/>
      <c r="Z974" s="89"/>
      <c r="AA974" s="89"/>
      <c r="AB974" s="89"/>
      <c r="AC974" s="89"/>
      <c r="AD974" s="89"/>
    </row>
    <row r="975">
      <c r="A975" s="89"/>
      <c r="B975" s="89"/>
      <c r="C975" s="140"/>
      <c r="D975" s="89"/>
      <c r="E975" s="89"/>
      <c r="F975" s="89"/>
      <c r="G975" s="89"/>
      <c r="H975" s="89"/>
      <c r="I975" s="89"/>
      <c r="J975" s="89"/>
      <c r="K975" s="89"/>
      <c r="L975" s="89"/>
      <c r="M975" s="89"/>
      <c r="N975" s="89"/>
      <c r="O975" s="89"/>
      <c r="P975" s="89"/>
      <c r="Q975" s="89"/>
      <c r="R975" s="89"/>
      <c r="S975" s="89"/>
      <c r="T975" s="89"/>
      <c r="U975" s="89"/>
      <c r="V975" s="89"/>
      <c r="W975" s="89"/>
      <c r="X975" s="89"/>
      <c r="Y975" s="89"/>
      <c r="Z975" s="89"/>
      <c r="AA975" s="89"/>
      <c r="AB975" s="89"/>
      <c r="AC975" s="89"/>
      <c r="AD975" s="89"/>
    </row>
    <row r="976">
      <c r="A976" s="89"/>
      <c r="B976" s="89"/>
      <c r="C976" s="140"/>
      <c r="D976" s="89"/>
      <c r="E976" s="89"/>
      <c r="F976" s="89"/>
      <c r="G976" s="89"/>
      <c r="H976" s="89"/>
      <c r="I976" s="89"/>
      <c r="J976" s="89"/>
      <c r="K976" s="89"/>
      <c r="L976" s="89"/>
      <c r="M976" s="89"/>
      <c r="N976" s="89"/>
      <c r="O976" s="89"/>
      <c r="P976" s="89"/>
      <c r="Q976" s="89"/>
      <c r="R976" s="89"/>
      <c r="S976" s="89"/>
      <c r="T976" s="89"/>
      <c r="U976" s="89"/>
      <c r="V976" s="89"/>
      <c r="W976" s="89"/>
      <c r="X976" s="89"/>
      <c r="Y976" s="89"/>
      <c r="Z976" s="89"/>
      <c r="AA976" s="89"/>
      <c r="AB976" s="89"/>
      <c r="AC976" s="89"/>
      <c r="AD976" s="89"/>
    </row>
    <row r="977">
      <c r="A977" s="89"/>
      <c r="B977" s="89"/>
      <c r="C977" s="140"/>
      <c r="D977" s="89"/>
      <c r="E977" s="89"/>
      <c r="F977" s="89"/>
      <c r="G977" s="89"/>
      <c r="H977" s="89"/>
      <c r="I977" s="89"/>
      <c r="J977" s="89"/>
      <c r="K977" s="89"/>
      <c r="L977" s="89"/>
      <c r="M977" s="89"/>
      <c r="N977" s="89"/>
      <c r="O977" s="89"/>
      <c r="P977" s="89"/>
      <c r="Q977" s="89"/>
      <c r="R977" s="89"/>
      <c r="S977" s="89"/>
      <c r="T977" s="89"/>
      <c r="U977" s="89"/>
      <c r="V977" s="89"/>
      <c r="W977" s="89"/>
      <c r="X977" s="89"/>
      <c r="Y977" s="89"/>
      <c r="Z977" s="89"/>
      <c r="AA977" s="89"/>
      <c r="AB977" s="89"/>
      <c r="AC977" s="89"/>
      <c r="AD977" s="89"/>
    </row>
    <row r="978">
      <c r="A978" s="89"/>
      <c r="B978" s="89"/>
      <c r="C978" s="140"/>
      <c r="D978" s="89"/>
      <c r="E978" s="89"/>
      <c r="F978" s="89"/>
      <c r="G978" s="89"/>
      <c r="H978" s="89"/>
      <c r="I978" s="89"/>
      <c r="J978" s="89"/>
      <c r="K978" s="89"/>
      <c r="L978" s="89"/>
      <c r="M978" s="89"/>
      <c r="N978" s="89"/>
      <c r="O978" s="89"/>
      <c r="P978" s="89"/>
      <c r="Q978" s="89"/>
      <c r="R978" s="89"/>
      <c r="S978" s="89"/>
      <c r="T978" s="89"/>
      <c r="U978" s="89"/>
      <c r="V978" s="89"/>
      <c r="W978" s="89"/>
      <c r="X978" s="89"/>
      <c r="Y978" s="89"/>
      <c r="Z978" s="89"/>
      <c r="AA978" s="89"/>
      <c r="AB978" s="89"/>
      <c r="AC978" s="89"/>
      <c r="AD978" s="89"/>
    </row>
    <row r="979">
      <c r="A979" s="89"/>
      <c r="B979" s="89"/>
      <c r="C979" s="140"/>
      <c r="D979" s="89"/>
      <c r="E979" s="89"/>
      <c r="F979" s="89"/>
      <c r="G979" s="89"/>
      <c r="H979" s="89"/>
      <c r="I979" s="89"/>
      <c r="J979" s="89"/>
      <c r="K979" s="89"/>
      <c r="L979" s="89"/>
      <c r="M979" s="89"/>
      <c r="N979" s="89"/>
      <c r="O979" s="89"/>
      <c r="P979" s="89"/>
      <c r="Q979" s="89"/>
      <c r="R979" s="89"/>
      <c r="S979" s="89"/>
      <c r="T979" s="89"/>
      <c r="U979" s="89"/>
      <c r="V979" s="89"/>
      <c r="W979" s="89"/>
      <c r="X979" s="89"/>
      <c r="Y979" s="89"/>
      <c r="Z979" s="89"/>
      <c r="AA979" s="89"/>
      <c r="AB979" s="89"/>
      <c r="AC979" s="89"/>
      <c r="AD979" s="89"/>
    </row>
    <row r="980">
      <c r="A980" s="89"/>
      <c r="B980" s="89"/>
      <c r="C980" s="140"/>
      <c r="D980" s="89"/>
      <c r="E980" s="89"/>
      <c r="F980" s="89"/>
      <c r="G980" s="89"/>
      <c r="H980" s="89"/>
      <c r="I980" s="89"/>
      <c r="J980" s="89"/>
      <c r="K980" s="89"/>
      <c r="L980" s="89"/>
      <c r="M980" s="89"/>
      <c r="N980" s="89"/>
      <c r="O980" s="89"/>
      <c r="P980" s="89"/>
      <c r="Q980" s="89"/>
      <c r="R980" s="89"/>
      <c r="S980" s="89"/>
      <c r="T980" s="89"/>
      <c r="U980" s="89"/>
      <c r="V980" s="89"/>
      <c r="W980" s="89"/>
      <c r="X980" s="89"/>
      <c r="Y980" s="89"/>
      <c r="Z980" s="89"/>
      <c r="AA980" s="89"/>
      <c r="AB980" s="89"/>
      <c r="AC980" s="89"/>
      <c r="AD980" s="89"/>
    </row>
    <row r="981">
      <c r="A981" s="89"/>
      <c r="B981" s="89"/>
      <c r="C981" s="140"/>
      <c r="D981" s="89"/>
      <c r="E981" s="89"/>
      <c r="F981" s="89"/>
      <c r="G981" s="89"/>
      <c r="H981" s="89"/>
      <c r="I981" s="89"/>
      <c r="J981" s="89"/>
      <c r="K981" s="89"/>
      <c r="L981" s="89"/>
      <c r="M981" s="89"/>
      <c r="N981" s="89"/>
      <c r="O981" s="89"/>
      <c r="P981" s="89"/>
      <c r="Q981" s="89"/>
      <c r="R981" s="89"/>
      <c r="S981" s="89"/>
      <c r="T981" s="89"/>
      <c r="U981" s="89"/>
      <c r="V981" s="89"/>
      <c r="W981" s="89"/>
      <c r="X981" s="89"/>
      <c r="Y981" s="89"/>
      <c r="Z981" s="89"/>
      <c r="AA981" s="89"/>
      <c r="AB981" s="89"/>
      <c r="AC981" s="89"/>
      <c r="AD981" s="89"/>
    </row>
    <row r="982">
      <c r="A982" s="89"/>
      <c r="B982" s="89"/>
      <c r="C982" s="140"/>
      <c r="D982" s="89"/>
      <c r="E982" s="89"/>
      <c r="F982" s="89"/>
      <c r="G982" s="89"/>
      <c r="H982" s="89"/>
      <c r="I982" s="89"/>
      <c r="J982" s="89"/>
      <c r="K982" s="89"/>
      <c r="L982" s="89"/>
      <c r="M982" s="89"/>
      <c r="N982" s="89"/>
      <c r="O982" s="89"/>
      <c r="P982" s="89"/>
      <c r="Q982" s="89"/>
      <c r="R982" s="89"/>
      <c r="S982" s="89"/>
      <c r="T982" s="89"/>
      <c r="U982" s="89"/>
      <c r="V982" s="89"/>
      <c r="W982" s="89"/>
      <c r="X982" s="89"/>
      <c r="Y982" s="89"/>
      <c r="Z982" s="89"/>
      <c r="AA982" s="89"/>
      <c r="AB982" s="89"/>
      <c r="AC982" s="89"/>
      <c r="AD982" s="89"/>
    </row>
    <row r="983">
      <c r="A983" s="89"/>
      <c r="B983" s="89"/>
      <c r="C983" s="140"/>
      <c r="D983" s="89"/>
      <c r="E983" s="89"/>
      <c r="F983" s="89"/>
      <c r="G983" s="89"/>
      <c r="H983" s="89"/>
      <c r="I983" s="89"/>
      <c r="J983" s="89"/>
      <c r="K983" s="89"/>
      <c r="L983" s="89"/>
      <c r="M983" s="89"/>
      <c r="N983" s="89"/>
      <c r="O983" s="89"/>
      <c r="P983" s="89"/>
      <c r="Q983" s="89"/>
      <c r="R983" s="89"/>
      <c r="S983" s="89"/>
      <c r="T983" s="89"/>
      <c r="U983" s="89"/>
      <c r="V983" s="89"/>
      <c r="W983" s="89"/>
      <c r="X983" s="89"/>
      <c r="Y983" s="89"/>
      <c r="Z983" s="89"/>
      <c r="AA983" s="89"/>
      <c r="AB983" s="89"/>
      <c r="AC983" s="89"/>
      <c r="AD983" s="89"/>
    </row>
    <row r="984">
      <c r="A984" s="89"/>
      <c r="B984" s="89"/>
      <c r="C984" s="140"/>
      <c r="D984" s="89"/>
      <c r="E984" s="89"/>
      <c r="F984" s="89"/>
      <c r="G984" s="89"/>
      <c r="H984" s="89"/>
      <c r="I984" s="89"/>
      <c r="J984" s="89"/>
      <c r="K984" s="89"/>
      <c r="L984" s="89"/>
      <c r="M984" s="89"/>
      <c r="N984" s="89"/>
      <c r="O984" s="89"/>
      <c r="P984" s="89"/>
      <c r="Q984" s="89"/>
      <c r="R984" s="89"/>
      <c r="S984" s="89"/>
      <c r="T984" s="89"/>
      <c r="U984" s="89"/>
      <c r="V984" s="89"/>
      <c r="W984" s="89"/>
      <c r="X984" s="89"/>
      <c r="Y984" s="89"/>
      <c r="Z984" s="89"/>
      <c r="AA984" s="89"/>
      <c r="AB984" s="89"/>
      <c r="AC984" s="89"/>
      <c r="AD984" s="89"/>
    </row>
    <row r="985">
      <c r="A985" s="89"/>
      <c r="B985" s="89"/>
      <c r="C985" s="140"/>
      <c r="D985" s="89"/>
      <c r="E985" s="89"/>
      <c r="F985" s="89"/>
      <c r="G985" s="89"/>
      <c r="H985" s="89"/>
      <c r="I985" s="89"/>
      <c r="J985" s="89"/>
      <c r="K985" s="89"/>
      <c r="L985" s="89"/>
      <c r="M985" s="89"/>
      <c r="N985" s="89"/>
      <c r="O985" s="89"/>
      <c r="P985" s="89"/>
      <c r="Q985" s="89"/>
      <c r="R985" s="89"/>
      <c r="S985" s="89"/>
      <c r="T985" s="89"/>
      <c r="U985" s="89"/>
      <c r="V985" s="89"/>
      <c r="W985" s="89"/>
      <c r="X985" s="89"/>
      <c r="Y985" s="89"/>
      <c r="Z985" s="89"/>
      <c r="AA985" s="89"/>
      <c r="AB985" s="89"/>
      <c r="AC985" s="89"/>
      <c r="AD985" s="89"/>
    </row>
    <row r="986">
      <c r="A986" s="89"/>
      <c r="B986" s="89"/>
      <c r="C986" s="140"/>
      <c r="D986" s="89"/>
      <c r="E986" s="89"/>
      <c r="F986" s="89"/>
      <c r="G986" s="89"/>
      <c r="H986" s="89"/>
      <c r="I986" s="89"/>
      <c r="J986" s="89"/>
      <c r="K986" s="89"/>
      <c r="L986" s="89"/>
      <c r="M986" s="89"/>
      <c r="N986" s="89"/>
      <c r="O986" s="89"/>
      <c r="P986" s="89"/>
      <c r="Q986" s="89"/>
      <c r="R986" s="89"/>
      <c r="S986" s="89"/>
      <c r="T986" s="89"/>
      <c r="U986" s="89"/>
      <c r="V986" s="89"/>
      <c r="W986" s="89"/>
      <c r="X986" s="89"/>
      <c r="Y986" s="89"/>
      <c r="Z986" s="89"/>
      <c r="AA986" s="89"/>
      <c r="AB986" s="89"/>
      <c r="AC986" s="89"/>
      <c r="AD986" s="89"/>
    </row>
    <row r="987">
      <c r="A987" s="89"/>
      <c r="B987" s="89"/>
      <c r="C987" s="140"/>
      <c r="D987" s="89"/>
      <c r="E987" s="89"/>
      <c r="F987" s="89"/>
      <c r="G987" s="89"/>
      <c r="H987" s="89"/>
      <c r="I987" s="89"/>
      <c r="J987" s="89"/>
      <c r="K987" s="89"/>
      <c r="L987" s="89"/>
      <c r="M987" s="89"/>
      <c r="N987" s="89"/>
      <c r="O987" s="89"/>
      <c r="P987" s="89"/>
      <c r="Q987" s="89"/>
      <c r="R987" s="89"/>
      <c r="S987" s="89"/>
      <c r="T987" s="89"/>
      <c r="U987" s="89"/>
      <c r="V987" s="89"/>
      <c r="W987" s="89"/>
      <c r="X987" s="89"/>
      <c r="Y987" s="89"/>
      <c r="Z987" s="89"/>
      <c r="AA987" s="89"/>
      <c r="AB987" s="89"/>
      <c r="AC987" s="89"/>
      <c r="AD987" s="89"/>
    </row>
    <row r="988">
      <c r="A988" s="89"/>
      <c r="B988" s="89"/>
      <c r="C988" s="140"/>
      <c r="D988" s="89"/>
      <c r="E988" s="89"/>
      <c r="F988" s="89"/>
      <c r="G988" s="89"/>
      <c r="H988" s="89"/>
      <c r="I988" s="89"/>
      <c r="J988" s="89"/>
      <c r="K988" s="89"/>
      <c r="L988" s="89"/>
      <c r="M988" s="89"/>
      <c r="N988" s="89"/>
      <c r="O988" s="89"/>
      <c r="P988" s="89"/>
      <c r="Q988" s="89"/>
      <c r="R988" s="89"/>
      <c r="S988" s="89"/>
      <c r="T988" s="89"/>
      <c r="U988" s="89"/>
      <c r="V988" s="89"/>
      <c r="W988" s="89"/>
      <c r="X988" s="89"/>
      <c r="Y988" s="89"/>
      <c r="Z988" s="89"/>
      <c r="AA988" s="89"/>
      <c r="AB988" s="89"/>
      <c r="AC988" s="89"/>
      <c r="AD988" s="89"/>
    </row>
    <row r="989">
      <c r="A989" s="89"/>
      <c r="B989" s="89"/>
      <c r="C989" s="140"/>
      <c r="D989" s="89"/>
      <c r="E989" s="89"/>
      <c r="F989" s="89"/>
      <c r="G989" s="89"/>
      <c r="H989" s="89"/>
      <c r="I989" s="89"/>
      <c r="J989" s="89"/>
      <c r="K989" s="89"/>
      <c r="L989" s="89"/>
      <c r="M989" s="89"/>
      <c r="N989" s="89"/>
      <c r="O989" s="89"/>
      <c r="P989" s="89"/>
      <c r="Q989" s="89"/>
      <c r="R989" s="89"/>
      <c r="S989" s="89"/>
      <c r="T989" s="89"/>
      <c r="U989" s="89"/>
      <c r="V989" s="89"/>
      <c r="W989" s="89"/>
      <c r="X989" s="89"/>
      <c r="Y989" s="89"/>
      <c r="Z989" s="89"/>
      <c r="AA989" s="89"/>
      <c r="AB989" s="89"/>
      <c r="AC989" s="89"/>
      <c r="AD989" s="89"/>
    </row>
    <row r="990">
      <c r="A990" s="89"/>
      <c r="B990" s="89"/>
      <c r="C990" s="140"/>
      <c r="D990" s="89"/>
      <c r="E990" s="89"/>
      <c r="F990" s="89"/>
      <c r="G990" s="89"/>
      <c r="H990" s="89"/>
      <c r="I990" s="89"/>
      <c r="J990" s="89"/>
      <c r="K990" s="89"/>
      <c r="L990" s="89"/>
      <c r="M990" s="89"/>
      <c r="N990" s="89"/>
      <c r="O990" s="89"/>
      <c r="P990" s="89"/>
      <c r="Q990" s="89"/>
      <c r="R990" s="89"/>
      <c r="S990" s="89"/>
      <c r="T990" s="89"/>
      <c r="U990" s="89"/>
      <c r="V990" s="89"/>
      <c r="W990" s="89"/>
      <c r="X990" s="89"/>
      <c r="Y990" s="89"/>
      <c r="Z990" s="89"/>
      <c r="AA990" s="89"/>
      <c r="AB990" s="89"/>
      <c r="AC990" s="89"/>
      <c r="AD990" s="89"/>
    </row>
    <row r="991">
      <c r="A991" s="89"/>
      <c r="B991" s="89"/>
      <c r="C991" s="140"/>
      <c r="D991" s="89"/>
      <c r="E991" s="89"/>
      <c r="F991" s="89"/>
      <c r="G991" s="89"/>
      <c r="H991" s="89"/>
      <c r="I991" s="89"/>
      <c r="J991" s="89"/>
      <c r="K991" s="89"/>
      <c r="L991" s="89"/>
      <c r="M991" s="89"/>
      <c r="N991" s="89"/>
      <c r="O991" s="89"/>
      <c r="P991" s="89"/>
      <c r="Q991" s="89"/>
      <c r="R991" s="89"/>
      <c r="S991" s="89"/>
      <c r="T991" s="89"/>
      <c r="U991" s="89"/>
      <c r="V991" s="89"/>
      <c r="W991" s="89"/>
      <c r="X991" s="89"/>
      <c r="Y991" s="89"/>
      <c r="Z991" s="89"/>
      <c r="AA991" s="89"/>
      <c r="AB991" s="89"/>
      <c r="AC991" s="89"/>
      <c r="AD991" s="89"/>
    </row>
    <row r="992">
      <c r="A992" s="89"/>
      <c r="B992" s="89"/>
      <c r="C992" s="140"/>
      <c r="D992" s="89"/>
      <c r="E992" s="89"/>
      <c r="F992" s="89"/>
      <c r="G992" s="89"/>
      <c r="H992" s="89"/>
      <c r="I992" s="89"/>
      <c r="J992" s="89"/>
      <c r="K992" s="89"/>
      <c r="L992" s="89"/>
      <c r="M992" s="89"/>
      <c r="N992" s="89"/>
      <c r="O992" s="89"/>
      <c r="P992" s="89"/>
      <c r="Q992" s="89"/>
      <c r="R992" s="89"/>
      <c r="S992" s="89"/>
      <c r="T992" s="89"/>
      <c r="U992" s="89"/>
      <c r="V992" s="89"/>
      <c r="W992" s="89"/>
      <c r="X992" s="89"/>
      <c r="Y992" s="89"/>
      <c r="Z992" s="89"/>
      <c r="AA992" s="89"/>
      <c r="AB992" s="89"/>
      <c r="AC992" s="89"/>
      <c r="AD992" s="89"/>
    </row>
    <row r="993">
      <c r="A993" s="89"/>
      <c r="B993" s="89"/>
      <c r="C993" s="140"/>
      <c r="D993" s="89"/>
      <c r="E993" s="89"/>
      <c r="F993" s="89"/>
      <c r="G993" s="89"/>
      <c r="H993" s="89"/>
      <c r="I993" s="89"/>
      <c r="J993" s="89"/>
      <c r="K993" s="89"/>
      <c r="L993" s="89"/>
      <c r="M993" s="89"/>
      <c r="N993" s="89"/>
      <c r="O993" s="89"/>
      <c r="P993" s="89"/>
      <c r="Q993" s="89"/>
      <c r="R993" s="89"/>
      <c r="S993" s="89"/>
      <c r="T993" s="89"/>
      <c r="U993" s="89"/>
      <c r="V993" s="89"/>
      <c r="W993" s="89"/>
      <c r="X993" s="89"/>
      <c r="Y993" s="89"/>
      <c r="Z993" s="89"/>
      <c r="AA993" s="89"/>
      <c r="AB993" s="89"/>
      <c r="AC993" s="89"/>
      <c r="AD993" s="89"/>
    </row>
    <row r="994">
      <c r="A994" s="89"/>
      <c r="B994" s="89"/>
      <c r="C994" s="140"/>
      <c r="D994" s="89"/>
      <c r="E994" s="89"/>
      <c r="F994" s="89"/>
      <c r="G994" s="89"/>
      <c r="H994" s="89"/>
      <c r="I994" s="89"/>
      <c r="J994" s="89"/>
      <c r="K994" s="89"/>
      <c r="L994" s="89"/>
      <c r="M994" s="89"/>
      <c r="N994" s="89"/>
      <c r="O994" s="89"/>
      <c r="P994" s="89"/>
      <c r="Q994" s="89"/>
      <c r="R994" s="89"/>
      <c r="S994" s="89"/>
      <c r="T994" s="89"/>
      <c r="U994" s="89"/>
      <c r="V994" s="89"/>
      <c r="W994" s="89"/>
      <c r="X994" s="89"/>
      <c r="Y994" s="89"/>
      <c r="Z994" s="89"/>
      <c r="AA994" s="89"/>
      <c r="AB994" s="89"/>
      <c r="AC994" s="89"/>
      <c r="AD994" s="89"/>
    </row>
    <row r="995">
      <c r="A995" s="89"/>
      <c r="B995" s="89"/>
      <c r="C995" s="140"/>
      <c r="D995" s="89"/>
      <c r="E995" s="89"/>
      <c r="F995" s="89"/>
      <c r="G995" s="89"/>
      <c r="H995" s="89"/>
      <c r="I995" s="89"/>
      <c r="J995" s="89"/>
      <c r="K995" s="89"/>
      <c r="L995" s="89"/>
      <c r="M995" s="89"/>
      <c r="N995" s="89"/>
      <c r="O995" s="89"/>
      <c r="P995" s="89"/>
      <c r="Q995" s="89"/>
      <c r="R995" s="89"/>
      <c r="S995" s="89"/>
      <c r="T995" s="89"/>
      <c r="U995" s="89"/>
      <c r="V995" s="89"/>
      <c r="W995" s="89"/>
      <c r="X995" s="89"/>
      <c r="Y995" s="89"/>
      <c r="Z995" s="89"/>
      <c r="AA995" s="89"/>
      <c r="AB995" s="89"/>
      <c r="AC995" s="89"/>
      <c r="AD995" s="89"/>
    </row>
    <row r="996">
      <c r="A996" s="89"/>
      <c r="B996" s="89"/>
      <c r="C996" s="140"/>
      <c r="D996" s="89"/>
      <c r="E996" s="89"/>
      <c r="F996" s="89"/>
      <c r="G996" s="89"/>
      <c r="H996" s="89"/>
      <c r="I996" s="89"/>
      <c r="J996" s="89"/>
      <c r="K996" s="89"/>
      <c r="L996" s="89"/>
      <c r="M996" s="89"/>
      <c r="N996" s="89"/>
      <c r="O996" s="89"/>
      <c r="P996" s="89"/>
      <c r="Q996" s="89"/>
      <c r="R996" s="89"/>
      <c r="S996" s="89"/>
      <c r="T996" s="89"/>
      <c r="U996" s="89"/>
      <c r="V996" s="89"/>
      <c r="W996" s="89"/>
      <c r="X996" s="89"/>
      <c r="Y996" s="89"/>
      <c r="Z996" s="89"/>
      <c r="AA996" s="89"/>
      <c r="AB996" s="89"/>
      <c r="AC996" s="89"/>
      <c r="AD996" s="89"/>
    </row>
    <row r="997">
      <c r="A997" s="89"/>
      <c r="B997" s="89"/>
      <c r="C997" s="140"/>
      <c r="D997" s="89"/>
      <c r="E997" s="89"/>
      <c r="F997" s="89"/>
      <c r="G997" s="89"/>
      <c r="H997" s="89"/>
      <c r="I997" s="89"/>
      <c r="J997" s="89"/>
      <c r="K997" s="89"/>
      <c r="L997" s="89"/>
      <c r="M997" s="89"/>
      <c r="N997" s="89"/>
      <c r="O997" s="89"/>
      <c r="P997" s="89"/>
      <c r="Q997" s="89"/>
      <c r="R997" s="89"/>
      <c r="S997" s="89"/>
      <c r="T997" s="89"/>
      <c r="U997" s="89"/>
      <c r="V997" s="89"/>
      <c r="W997" s="89"/>
      <c r="X997" s="89"/>
      <c r="Y997" s="89"/>
      <c r="Z997" s="89"/>
      <c r="AA997" s="89"/>
      <c r="AB997" s="89"/>
      <c r="AC997" s="89"/>
      <c r="AD997" s="89"/>
    </row>
    <row r="998">
      <c r="A998" s="89"/>
      <c r="B998" s="89"/>
      <c r="C998" s="140"/>
      <c r="D998" s="89"/>
      <c r="E998" s="89"/>
      <c r="F998" s="89"/>
      <c r="G998" s="89"/>
      <c r="H998" s="89"/>
      <c r="I998" s="89"/>
      <c r="J998" s="89"/>
      <c r="K998" s="89"/>
      <c r="L998" s="89"/>
      <c r="M998" s="89"/>
      <c r="N998" s="89"/>
      <c r="O998" s="89"/>
      <c r="P998" s="89"/>
      <c r="Q998" s="89"/>
      <c r="R998" s="89"/>
      <c r="S998" s="89"/>
      <c r="T998" s="89"/>
      <c r="U998" s="89"/>
      <c r="V998" s="89"/>
      <c r="W998" s="89"/>
      <c r="X998" s="89"/>
      <c r="Y998" s="89"/>
      <c r="Z998" s="89"/>
      <c r="AA998" s="89"/>
      <c r="AB998" s="89"/>
      <c r="AC998" s="89"/>
      <c r="AD998" s="89"/>
    </row>
    <row r="999">
      <c r="A999" s="89"/>
      <c r="B999" s="89"/>
      <c r="C999" s="140"/>
      <c r="D999" s="89"/>
      <c r="E999" s="89"/>
      <c r="F999" s="89"/>
      <c r="G999" s="89"/>
      <c r="H999" s="89"/>
      <c r="I999" s="89"/>
      <c r="J999" s="89"/>
      <c r="K999" s="89"/>
      <c r="L999" s="89"/>
      <c r="M999" s="89"/>
      <c r="N999" s="89"/>
      <c r="O999" s="89"/>
      <c r="P999" s="89"/>
      <c r="Q999" s="89"/>
      <c r="R999" s="89"/>
      <c r="S999" s="89"/>
      <c r="T999" s="89"/>
      <c r="U999" s="89"/>
      <c r="V999" s="89"/>
      <c r="W999" s="89"/>
      <c r="X999" s="89"/>
      <c r="Y999" s="89"/>
      <c r="Z999" s="89"/>
      <c r="AA999" s="89"/>
      <c r="AB999" s="89"/>
      <c r="AC999" s="89"/>
      <c r="AD999" s="89"/>
    </row>
    <row r="1000">
      <c r="A1000" s="89"/>
      <c r="B1000" s="89"/>
      <c r="C1000" s="140"/>
      <c r="D1000" s="89"/>
      <c r="E1000" s="89"/>
      <c r="F1000" s="89"/>
      <c r="G1000" s="89"/>
      <c r="H1000" s="89"/>
      <c r="I1000" s="89"/>
      <c r="J1000" s="89"/>
      <c r="K1000" s="89"/>
      <c r="L1000" s="89"/>
      <c r="M1000" s="89"/>
      <c r="N1000" s="89"/>
      <c r="O1000" s="89"/>
      <c r="P1000" s="89"/>
      <c r="Q1000" s="89"/>
      <c r="R1000" s="89"/>
      <c r="S1000" s="89"/>
      <c r="T1000" s="89"/>
      <c r="U1000" s="89"/>
      <c r="V1000" s="89"/>
      <c r="W1000" s="89"/>
      <c r="X1000" s="89"/>
      <c r="Y1000" s="89"/>
      <c r="Z1000" s="89"/>
      <c r="AA1000" s="89"/>
      <c r="AB1000" s="89"/>
      <c r="AC1000" s="89"/>
      <c r="AD1000" s="89"/>
    </row>
  </sheetData>
  <conditionalFormatting sqref="F2:F1000">
    <cfRule type="expression" dxfId="11" priority="1">
      <formula>$C2=$F2</formula>
    </cfRule>
  </conditionalFormatting>
  <conditionalFormatting sqref="F2:F1000">
    <cfRule type="expression" dxfId="3" priority="2">
      <formula>$C2&lt;&gt;$F2</formula>
    </cfRule>
  </conditionalFormatting>
  <conditionalFormatting sqref="A1:A1000">
    <cfRule type="cellIs" dxfId="3" priority="3" operator="equal">
      <formula>"INACTIVO"</formula>
    </cfRule>
  </conditionalFormatting>
  <conditionalFormatting sqref="C2:C1000 F18 F28:F29 F31:F32 F47:F54 D52:D55 F59:F61">
    <cfRule type="expression" dxfId="12" priority="4">
      <formula>COUNTIF(C:C, C2) &gt; 1</formula>
    </cfRule>
  </conditionalFormatting>
  <dataValidations>
    <dataValidation allowBlank="1" showDropDown="1" sqref="C2:C62"/>
  </dataValidations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63"/>
    <col customWidth="1" min="3" max="3" width="18.0"/>
    <col customWidth="1" min="4" max="4" width="16.88"/>
    <col customWidth="1" min="5" max="5" width="36.75"/>
    <col customWidth="1" min="6" max="6" width="13.38"/>
  </cols>
  <sheetData>
    <row r="1">
      <c r="A1" s="78" t="s">
        <v>5302</v>
      </c>
      <c r="B1" s="79" t="s">
        <v>5521</v>
      </c>
      <c r="C1" s="141" t="s">
        <v>5522</v>
      </c>
      <c r="D1" s="141" t="s">
        <v>39</v>
      </c>
      <c r="E1" s="79" t="s">
        <v>2</v>
      </c>
      <c r="F1" s="142" t="s">
        <v>4</v>
      </c>
    </row>
    <row r="2">
      <c r="A2" s="143">
        <v>45799.0</v>
      </c>
      <c r="B2" s="63" t="s">
        <v>5523</v>
      </c>
      <c r="C2" s="144" t="s">
        <v>5524</v>
      </c>
      <c r="D2" s="144" t="s">
        <v>5524</v>
      </c>
      <c r="E2" s="144" t="s">
        <v>5458</v>
      </c>
      <c r="F2" s="88">
        <v>2.0</v>
      </c>
    </row>
    <row r="3">
      <c r="A3" s="145">
        <v>45799.0</v>
      </c>
      <c r="B3" s="69" t="s">
        <v>5523</v>
      </c>
      <c r="C3" s="146" t="s">
        <v>5525</v>
      </c>
      <c r="D3" s="146" t="s">
        <v>931</v>
      </c>
      <c r="E3" s="146" t="s">
        <v>5526</v>
      </c>
      <c r="F3" s="95">
        <v>186.0</v>
      </c>
    </row>
    <row r="4">
      <c r="A4" s="143">
        <v>45799.0</v>
      </c>
      <c r="B4" s="63" t="s">
        <v>5523</v>
      </c>
      <c r="C4" s="144" t="s">
        <v>5527</v>
      </c>
      <c r="D4" s="144" t="s">
        <v>5527</v>
      </c>
      <c r="E4" s="144" t="s">
        <v>5451</v>
      </c>
      <c r="F4" s="88">
        <v>150.0</v>
      </c>
    </row>
    <row r="5">
      <c r="A5" s="145">
        <v>45799.0</v>
      </c>
      <c r="B5" s="69" t="s">
        <v>5523</v>
      </c>
      <c r="C5" s="146" t="s">
        <v>5528</v>
      </c>
      <c r="D5" s="147" t="s">
        <v>299</v>
      </c>
      <c r="E5" s="146" t="s">
        <v>5519</v>
      </c>
      <c r="F5" s="95">
        <v>0.0</v>
      </c>
    </row>
    <row r="6">
      <c r="A6" s="143">
        <v>45799.0</v>
      </c>
      <c r="B6" s="63" t="s">
        <v>5523</v>
      </c>
      <c r="C6" s="148" t="s">
        <v>5529</v>
      </c>
      <c r="D6" s="148" t="s">
        <v>1374</v>
      </c>
      <c r="E6" s="148" t="s">
        <v>5516</v>
      </c>
      <c r="F6" s="88">
        <v>240.0</v>
      </c>
    </row>
    <row r="7">
      <c r="A7" s="145">
        <v>45799.0</v>
      </c>
      <c r="B7" s="69" t="s">
        <v>5523</v>
      </c>
      <c r="C7" s="147" t="s">
        <v>5530</v>
      </c>
      <c r="D7" s="147" t="s">
        <v>275</v>
      </c>
      <c r="E7" s="147" t="s">
        <v>5518</v>
      </c>
      <c r="F7" s="95">
        <v>0.0</v>
      </c>
    </row>
    <row r="8">
      <c r="A8" s="143">
        <v>45799.0</v>
      </c>
      <c r="B8" s="63" t="s">
        <v>5523</v>
      </c>
      <c r="C8" s="149" t="s">
        <v>5531</v>
      </c>
      <c r="D8" s="149" t="s">
        <v>5531</v>
      </c>
      <c r="E8" s="149" t="s">
        <v>5532</v>
      </c>
      <c r="F8" s="88">
        <v>4000.0</v>
      </c>
    </row>
    <row r="9">
      <c r="A9" s="145">
        <v>45799.0</v>
      </c>
      <c r="B9" s="69" t="s">
        <v>5523</v>
      </c>
      <c r="C9" s="150" t="s">
        <v>5533</v>
      </c>
      <c r="D9" s="150" t="s">
        <v>5533</v>
      </c>
      <c r="E9" s="150" t="s">
        <v>5534</v>
      </c>
      <c r="F9" s="95">
        <v>4000.0</v>
      </c>
    </row>
    <row r="10">
      <c r="A10" s="143">
        <v>45799.0</v>
      </c>
      <c r="B10" s="63" t="s">
        <v>5523</v>
      </c>
      <c r="C10" s="149" t="s">
        <v>5535</v>
      </c>
      <c r="D10" s="149" t="s">
        <v>5535</v>
      </c>
      <c r="E10" s="149" t="s">
        <v>5536</v>
      </c>
      <c r="F10" s="88">
        <v>4000.0</v>
      </c>
    </row>
    <row r="11">
      <c r="A11" s="145">
        <v>45799.0</v>
      </c>
      <c r="B11" s="69" t="s">
        <v>5523</v>
      </c>
      <c r="C11" s="150" t="s">
        <v>5537</v>
      </c>
      <c r="D11" s="150" t="s">
        <v>5537</v>
      </c>
      <c r="E11" s="150" t="s">
        <v>5538</v>
      </c>
      <c r="F11" s="95">
        <v>6000.0</v>
      </c>
    </row>
    <row r="12">
      <c r="A12" s="143">
        <v>45799.0</v>
      </c>
      <c r="B12" s="63" t="s">
        <v>5523</v>
      </c>
      <c r="C12" s="149" t="s">
        <v>5539</v>
      </c>
      <c r="D12" s="149" t="s">
        <v>5539</v>
      </c>
      <c r="E12" s="149" t="s">
        <v>5540</v>
      </c>
      <c r="F12" s="88">
        <v>12000.0</v>
      </c>
    </row>
    <row r="13">
      <c r="A13" s="151">
        <v>45799.0</v>
      </c>
      <c r="B13" s="152" t="s">
        <v>5523</v>
      </c>
      <c r="C13" s="153" t="s">
        <v>5541</v>
      </c>
      <c r="D13" s="153" t="s">
        <v>5541</v>
      </c>
      <c r="E13" s="153" t="s">
        <v>5542</v>
      </c>
      <c r="F13" s="154">
        <v>6000.0</v>
      </c>
    </row>
  </sheetData>
  <dataValidations>
    <dataValidation type="custom" allowBlank="1" showDropDown="1" sqref="A2:A13">
      <formula1>OR(NOT(ISERROR(DATEVALUE(A2))), AND(ISNUMBER(A2), LEFT(CELL("format", A2))="D"))</formula1>
    </dataValidation>
  </dataValidations>
  <drawing r:id="rId1"/>
  <tableParts count="1"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75"/>
    <col customWidth="1" min="2" max="2" width="24.0"/>
    <col customWidth="1" min="4" max="4" width="40.13"/>
    <col customWidth="1" min="5" max="5" width="13.75"/>
    <col customWidth="1" min="6" max="6" width="15.25"/>
    <col customWidth="1" min="7" max="7" width="16.38"/>
  </cols>
  <sheetData>
    <row r="1">
      <c r="A1" s="155" t="s">
        <v>5543</v>
      </c>
      <c r="B1" s="156" t="s">
        <v>5544</v>
      </c>
      <c r="C1" s="157" t="s">
        <v>39</v>
      </c>
      <c r="D1" s="79" t="s">
        <v>2</v>
      </c>
      <c r="E1" s="158" t="s">
        <v>5545</v>
      </c>
      <c r="F1" s="159" t="s">
        <v>5546</v>
      </c>
      <c r="G1" s="160" t="s">
        <v>5547</v>
      </c>
      <c r="H1" s="161"/>
      <c r="I1" s="161"/>
      <c r="J1" s="161"/>
      <c r="K1" s="161"/>
      <c r="L1" s="161"/>
      <c r="M1" s="161"/>
      <c r="N1" s="161"/>
      <c r="O1" s="161"/>
      <c r="P1" s="161"/>
      <c r="Q1" s="161"/>
      <c r="R1" s="161"/>
      <c r="S1" s="161"/>
    </row>
    <row r="2">
      <c r="A2" s="162">
        <v>45733.0</v>
      </c>
      <c r="B2" s="163" t="s">
        <v>5523</v>
      </c>
      <c r="C2" s="164">
        <v>691015.0</v>
      </c>
      <c r="D2" s="165" t="s">
        <v>5548</v>
      </c>
      <c r="E2" s="165">
        <v>90.0</v>
      </c>
      <c r="F2" s="63">
        <v>1.0</v>
      </c>
      <c r="G2" s="166" t="s">
        <v>5549</v>
      </c>
      <c r="H2" s="167"/>
      <c r="I2" s="167"/>
      <c r="J2" s="167"/>
      <c r="K2" s="167"/>
      <c r="L2" s="167"/>
      <c r="M2" s="167"/>
      <c r="N2" s="167"/>
      <c r="O2" s="167"/>
      <c r="P2" s="167"/>
      <c r="Q2" s="167"/>
      <c r="R2" s="167"/>
      <c r="S2" s="167"/>
    </row>
    <row r="3">
      <c r="A3" s="168">
        <v>45733.0</v>
      </c>
      <c r="B3" s="169" t="s">
        <v>5523</v>
      </c>
      <c r="C3" s="170">
        <v>691410.0</v>
      </c>
      <c r="D3" s="171" t="s">
        <v>5550</v>
      </c>
      <c r="E3" s="171">
        <v>47.0</v>
      </c>
      <c r="F3" s="69">
        <v>1.0</v>
      </c>
      <c r="G3" s="172" t="s">
        <v>5551</v>
      </c>
      <c r="H3" s="167"/>
      <c r="I3" s="167"/>
      <c r="J3" s="167"/>
      <c r="K3" s="167"/>
      <c r="L3" s="167"/>
      <c r="M3" s="167"/>
      <c r="N3" s="167"/>
      <c r="O3" s="167"/>
      <c r="P3" s="167"/>
      <c r="Q3" s="167"/>
      <c r="R3" s="167"/>
      <c r="S3" s="167"/>
    </row>
    <row r="4">
      <c r="A4" s="162">
        <v>45733.0</v>
      </c>
      <c r="B4" s="163" t="s">
        <v>5523</v>
      </c>
      <c r="C4" s="164">
        <v>691411.0</v>
      </c>
      <c r="D4" s="165" t="s">
        <v>8</v>
      </c>
      <c r="E4" s="165">
        <v>2025.0</v>
      </c>
      <c r="F4" s="63">
        <v>1.0</v>
      </c>
      <c r="G4" s="166" t="s">
        <v>5552</v>
      </c>
      <c r="H4" s="167"/>
      <c r="I4" s="167"/>
      <c r="J4" s="167"/>
      <c r="K4" s="167"/>
      <c r="L4" s="167"/>
      <c r="M4" s="167"/>
      <c r="N4" s="167"/>
      <c r="O4" s="167"/>
      <c r="P4" s="167"/>
      <c r="Q4" s="167"/>
      <c r="R4" s="167"/>
      <c r="S4" s="167"/>
    </row>
    <row r="5">
      <c r="A5" s="168">
        <v>45733.0</v>
      </c>
      <c r="B5" s="169" t="s">
        <v>5523</v>
      </c>
      <c r="C5" s="170">
        <v>600482.0</v>
      </c>
      <c r="D5" s="171" t="s">
        <v>5455</v>
      </c>
      <c r="E5" s="171">
        <v>91.0</v>
      </c>
      <c r="F5" s="69">
        <v>1.0</v>
      </c>
      <c r="G5" s="172" t="s">
        <v>5436</v>
      </c>
      <c r="H5" s="167"/>
      <c r="I5" s="167"/>
      <c r="J5" s="167"/>
      <c r="K5" s="167"/>
      <c r="L5" s="167"/>
      <c r="M5" s="167"/>
      <c r="N5" s="167"/>
      <c r="O5" s="167"/>
      <c r="P5" s="167"/>
      <c r="Q5" s="167"/>
      <c r="R5" s="167"/>
      <c r="S5" s="167"/>
    </row>
    <row r="6">
      <c r="A6" s="162">
        <v>45733.0</v>
      </c>
      <c r="B6" s="163" t="s">
        <v>5523</v>
      </c>
      <c r="C6" s="164">
        <v>600482.0</v>
      </c>
      <c r="D6" s="165" t="s">
        <v>5455</v>
      </c>
      <c r="E6" s="165">
        <v>80.0</v>
      </c>
      <c r="F6" s="63">
        <v>1.0</v>
      </c>
      <c r="G6" s="166" t="s">
        <v>5553</v>
      </c>
      <c r="H6" s="167"/>
      <c r="I6" s="167"/>
      <c r="J6" s="167"/>
      <c r="K6" s="167"/>
      <c r="L6" s="167"/>
      <c r="M6" s="167"/>
      <c r="N6" s="167"/>
      <c r="O6" s="167"/>
      <c r="P6" s="167"/>
      <c r="Q6" s="167"/>
      <c r="R6" s="167"/>
      <c r="S6" s="167"/>
    </row>
    <row r="7">
      <c r="A7" s="168">
        <v>45733.0</v>
      </c>
      <c r="B7" s="169" t="s">
        <v>5523</v>
      </c>
      <c r="C7" s="173" t="s">
        <v>1377</v>
      </c>
      <c r="D7" s="171" t="s">
        <v>1378</v>
      </c>
      <c r="E7" s="171">
        <v>12.0</v>
      </c>
      <c r="F7" s="69">
        <v>1.0</v>
      </c>
      <c r="G7" s="172" t="s">
        <v>5422</v>
      </c>
      <c r="H7" s="167"/>
      <c r="I7" s="167"/>
      <c r="J7" s="167"/>
      <c r="K7" s="167"/>
      <c r="L7" s="167"/>
      <c r="M7" s="167"/>
      <c r="N7" s="167"/>
      <c r="O7" s="167"/>
      <c r="P7" s="167"/>
      <c r="Q7" s="167"/>
      <c r="R7" s="167"/>
      <c r="S7" s="167"/>
    </row>
    <row r="8">
      <c r="A8" s="162">
        <v>45733.0</v>
      </c>
      <c r="B8" s="163" t="s">
        <v>5523</v>
      </c>
      <c r="C8" s="174" t="s">
        <v>2301</v>
      </c>
      <c r="D8" s="165" t="s">
        <v>2302</v>
      </c>
      <c r="E8" s="165">
        <v>77.0</v>
      </c>
      <c r="F8" s="63">
        <v>1.0</v>
      </c>
      <c r="G8" s="166" t="s">
        <v>5554</v>
      </c>
      <c r="H8" s="167"/>
      <c r="I8" s="167"/>
      <c r="J8" s="167"/>
      <c r="K8" s="167"/>
      <c r="L8" s="167"/>
      <c r="M8" s="167"/>
      <c r="N8" s="167"/>
      <c r="O8" s="167"/>
      <c r="P8" s="167"/>
      <c r="Q8" s="167"/>
      <c r="R8" s="167"/>
      <c r="S8" s="167"/>
    </row>
    <row r="9">
      <c r="A9" s="168">
        <v>45733.0</v>
      </c>
      <c r="B9" s="169" t="s">
        <v>5523</v>
      </c>
      <c r="C9" s="170">
        <v>682778.0</v>
      </c>
      <c r="D9" s="171" t="s">
        <v>1378</v>
      </c>
      <c r="E9" s="171">
        <v>12.0</v>
      </c>
      <c r="F9" s="69">
        <v>1.0</v>
      </c>
      <c r="G9" s="172" t="s">
        <v>5555</v>
      </c>
      <c r="H9" s="167"/>
      <c r="I9" s="167"/>
      <c r="J9" s="167"/>
      <c r="K9" s="167"/>
      <c r="L9" s="167"/>
      <c r="M9" s="167"/>
      <c r="N9" s="167"/>
      <c r="O9" s="167"/>
      <c r="P9" s="167"/>
      <c r="Q9" s="167"/>
      <c r="R9" s="167"/>
      <c r="S9" s="167"/>
    </row>
    <row r="10">
      <c r="A10" s="162">
        <v>45733.0</v>
      </c>
      <c r="B10" s="163" t="s">
        <v>5523</v>
      </c>
      <c r="C10" s="164">
        <v>682778.0</v>
      </c>
      <c r="D10" s="165" t="s">
        <v>1378</v>
      </c>
      <c r="E10" s="165">
        <v>12.0</v>
      </c>
      <c r="F10" s="63">
        <v>1.0</v>
      </c>
      <c r="G10" s="166" t="s">
        <v>5424</v>
      </c>
      <c r="H10" s="167"/>
      <c r="I10" s="167"/>
      <c r="J10" s="167"/>
      <c r="K10" s="167"/>
      <c r="L10" s="167"/>
      <c r="M10" s="167"/>
      <c r="N10" s="167"/>
      <c r="O10" s="167"/>
      <c r="P10" s="167"/>
      <c r="Q10" s="167"/>
      <c r="R10" s="167"/>
      <c r="S10" s="167"/>
    </row>
    <row r="11">
      <c r="A11" s="168">
        <v>45733.0</v>
      </c>
      <c r="B11" s="169" t="s">
        <v>5523</v>
      </c>
      <c r="C11" s="173" t="s">
        <v>558</v>
      </c>
      <c r="D11" s="171" t="s">
        <v>559</v>
      </c>
      <c r="E11" s="171">
        <v>176.0</v>
      </c>
      <c r="F11" s="69">
        <v>1.0</v>
      </c>
      <c r="G11" s="172" t="s">
        <v>5431</v>
      </c>
      <c r="H11" s="167"/>
      <c r="I11" s="167"/>
      <c r="J11" s="167"/>
      <c r="K11" s="167"/>
      <c r="L11" s="167"/>
      <c r="M11" s="167"/>
      <c r="N11" s="167"/>
      <c r="O11" s="167"/>
      <c r="P11" s="167"/>
      <c r="Q11" s="167"/>
      <c r="R11" s="167"/>
      <c r="S11" s="167"/>
    </row>
    <row r="12">
      <c r="A12" s="162">
        <v>45733.0</v>
      </c>
      <c r="B12" s="163" t="s">
        <v>5523</v>
      </c>
      <c r="C12" s="174" t="s">
        <v>1377</v>
      </c>
      <c r="D12" s="165" t="s">
        <v>1378</v>
      </c>
      <c r="E12" s="165">
        <v>12.0</v>
      </c>
      <c r="F12" s="63">
        <v>1.0</v>
      </c>
      <c r="G12" s="166" t="s">
        <v>5556</v>
      </c>
      <c r="H12" s="167"/>
      <c r="I12" s="167"/>
      <c r="J12" s="167"/>
      <c r="K12" s="167"/>
      <c r="L12" s="167"/>
      <c r="M12" s="167"/>
      <c r="N12" s="167"/>
      <c r="O12" s="167"/>
      <c r="P12" s="167"/>
      <c r="Q12" s="167"/>
      <c r="R12" s="167"/>
      <c r="S12" s="167"/>
    </row>
    <row r="13">
      <c r="A13" s="168">
        <v>45733.0</v>
      </c>
      <c r="B13" s="169" t="s">
        <v>5523</v>
      </c>
      <c r="C13" s="173" t="s">
        <v>1377</v>
      </c>
      <c r="D13" s="171" t="s">
        <v>1378</v>
      </c>
      <c r="E13" s="171">
        <v>12.0</v>
      </c>
      <c r="F13" s="69">
        <v>1.0</v>
      </c>
      <c r="G13" s="172" t="s">
        <v>5407</v>
      </c>
      <c r="H13" s="167"/>
      <c r="I13" s="167"/>
      <c r="J13" s="167"/>
      <c r="K13" s="167"/>
      <c r="L13" s="167"/>
      <c r="M13" s="167"/>
      <c r="N13" s="167"/>
      <c r="O13" s="167"/>
      <c r="P13" s="167"/>
      <c r="Q13" s="167"/>
      <c r="R13" s="167"/>
      <c r="S13" s="167"/>
    </row>
    <row r="14">
      <c r="A14" s="162">
        <v>45733.0</v>
      </c>
      <c r="B14" s="163" t="s">
        <v>5523</v>
      </c>
      <c r="C14" s="164">
        <v>692036.0</v>
      </c>
      <c r="D14" s="165" t="s">
        <v>206</v>
      </c>
      <c r="E14" s="165">
        <v>350.0</v>
      </c>
      <c r="F14" s="63">
        <v>1.0</v>
      </c>
      <c r="G14" s="88" t="s">
        <v>5428</v>
      </c>
      <c r="H14" s="167"/>
      <c r="I14" s="167"/>
      <c r="J14" s="167"/>
      <c r="K14" s="167"/>
      <c r="L14" s="167"/>
      <c r="M14" s="167"/>
      <c r="N14" s="167"/>
      <c r="O14" s="167"/>
      <c r="P14" s="167"/>
      <c r="Q14" s="167"/>
      <c r="R14" s="167"/>
      <c r="S14" s="167"/>
    </row>
    <row r="15">
      <c r="A15" s="168">
        <v>45733.0</v>
      </c>
      <c r="B15" s="169" t="s">
        <v>5523</v>
      </c>
      <c r="C15" s="170">
        <v>600567.0</v>
      </c>
      <c r="D15" s="171" t="s">
        <v>5493</v>
      </c>
      <c r="E15" s="171">
        <v>540.0</v>
      </c>
      <c r="F15" s="69">
        <v>1.0</v>
      </c>
      <c r="G15" s="95" t="s">
        <v>5557</v>
      </c>
      <c r="H15" s="167"/>
      <c r="I15" s="167"/>
      <c r="J15" s="167"/>
      <c r="K15" s="167"/>
      <c r="L15" s="167"/>
      <c r="M15" s="167"/>
      <c r="N15" s="167"/>
      <c r="O15" s="167"/>
      <c r="P15" s="167"/>
      <c r="Q15" s="167"/>
      <c r="R15" s="167"/>
      <c r="S15" s="167"/>
    </row>
    <row r="16">
      <c r="A16" s="162">
        <v>45733.0</v>
      </c>
      <c r="B16" s="163" t="s">
        <v>5523</v>
      </c>
      <c r="C16" s="164">
        <v>600567.0</v>
      </c>
      <c r="D16" s="165" t="s">
        <v>5493</v>
      </c>
      <c r="E16" s="165">
        <v>525.0</v>
      </c>
      <c r="F16" s="63">
        <v>1.0</v>
      </c>
      <c r="G16" s="88" t="s">
        <v>5558</v>
      </c>
      <c r="H16" s="167"/>
      <c r="I16" s="167"/>
      <c r="J16" s="167"/>
      <c r="K16" s="167"/>
      <c r="L16" s="167"/>
      <c r="M16" s="167"/>
      <c r="N16" s="167"/>
      <c r="O16" s="167"/>
      <c r="P16" s="167"/>
      <c r="Q16" s="167"/>
      <c r="R16" s="167"/>
      <c r="S16" s="167"/>
    </row>
    <row r="17">
      <c r="A17" s="168">
        <v>45733.0</v>
      </c>
      <c r="B17" s="169" t="s">
        <v>5523</v>
      </c>
      <c r="C17" s="170">
        <v>600567.0</v>
      </c>
      <c r="D17" s="171" t="s">
        <v>5493</v>
      </c>
      <c r="E17" s="171">
        <v>178.0</v>
      </c>
      <c r="F17" s="69">
        <v>1.0</v>
      </c>
      <c r="G17" s="95" t="s">
        <v>5335</v>
      </c>
      <c r="H17" s="167"/>
      <c r="I17" s="167"/>
      <c r="J17" s="167"/>
      <c r="K17" s="167"/>
      <c r="L17" s="167"/>
      <c r="M17" s="167"/>
      <c r="N17" s="167"/>
      <c r="O17" s="167"/>
      <c r="P17" s="167"/>
      <c r="Q17" s="167"/>
      <c r="R17" s="167"/>
      <c r="S17" s="167"/>
    </row>
    <row r="18">
      <c r="A18" s="162">
        <v>45733.0</v>
      </c>
      <c r="B18" s="163" t="s">
        <v>5523</v>
      </c>
      <c r="C18" s="164">
        <v>692036.0</v>
      </c>
      <c r="D18" s="165" t="s">
        <v>206</v>
      </c>
      <c r="E18" s="165">
        <v>350.0</v>
      </c>
      <c r="F18" s="63">
        <v>1.0</v>
      </c>
      <c r="G18" s="88" t="s">
        <v>5559</v>
      </c>
      <c r="H18" s="167"/>
      <c r="I18" s="167"/>
      <c r="J18" s="167"/>
      <c r="K18" s="167"/>
      <c r="L18" s="167"/>
      <c r="M18" s="167"/>
      <c r="N18" s="167"/>
      <c r="O18" s="167"/>
      <c r="P18" s="167"/>
      <c r="Q18" s="167"/>
      <c r="R18" s="167"/>
      <c r="S18" s="167"/>
    </row>
    <row r="19">
      <c r="A19" s="168">
        <v>45733.0</v>
      </c>
      <c r="B19" s="169" t="s">
        <v>5523</v>
      </c>
      <c r="C19" s="170">
        <v>692036.0</v>
      </c>
      <c r="D19" s="171" t="s">
        <v>206</v>
      </c>
      <c r="E19" s="171">
        <v>350.0</v>
      </c>
      <c r="F19" s="69">
        <v>1.0</v>
      </c>
      <c r="G19" s="95" t="s">
        <v>5560</v>
      </c>
      <c r="H19" s="167"/>
      <c r="I19" s="167"/>
      <c r="J19" s="167"/>
      <c r="K19" s="167"/>
      <c r="L19" s="167"/>
      <c r="M19" s="167"/>
      <c r="N19" s="167"/>
      <c r="O19" s="167"/>
      <c r="P19" s="167"/>
      <c r="Q19" s="167"/>
      <c r="R19" s="167"/>
      <c r="S19" s="167"/>
    </row>
    <row r="20">
      <c r="A20" s="162">
        <v>45733.0</v>
      </c>
      <c r="B20" s="163" t="s">
        <v>5523</v>
      </c>
      <c r="C20" s="164">
        <v>692036.0</v>
      </c>
      <c r="D20" s="165" t="s">
        <v>206</v>
      </c>
      <c r="E20" s="165">
        <v>350.0</v>
      </c>
      <c r="F20" s="63">
        <v>1.0</v>
      </c>
      <c r="G20" s="88" t="s">
        <v>5373</v>
      </c>
      <c r="H20" s="167"/>
      <c r="I20" s="167"/>
      <c r="J20" s="167"/>
      <c r="K20" s="167"/>
      <c r="L20" s="167"/>
      <c r="M20" s="167"/>
      <c r="N20" s="167"/>
      <c r="O20" s="167"/>
      <c r="P20" s="167"/>
      <c r="Q20" s="167"/>
      <c r="R20" s="167"/>
      <c r="S20" s="167"/>
    </row>
    <row r="21">
      <c r="A21" s="168">
        <v>45733.0</v>
      </c>
      <c r="B21" s="169" t="s">
        <v>5523</v>
      </c>
      <c r="C21" s="170">
        <v>692036.0</v>
      </c>
      <c r="D21" s="171" t="s">
        <v>206</v>
      </c>
      <c r="E21" s="171">
        <v>350.0</v>
      </c>
      <c r="F21" s="69">
        <v>1.0</v>
      </c>
      <c r="G21" s="95" t="s">
        <v>5561</v>
      </c>
      <c r="H21" s="167"/>
      <c r="I21" s="167"/>
      <c r="J21" s="167"/>
      <c r="K21" s="167"/>
      <c r="L21" s="167"/>
      <c r="M21" s="167"/>
      <c r="N21" s="167"/>
      <c r="O21" s="167"/>
      <c r="P21" s="167"/>
      <c r="Q21" s="167"/>
      <c r="R21" s="167"/>
      <c r="S21" s="167"/>
    </row>
    <row r="22">
      <c r="A22" s="162">
        <v>45733.0</v>
      </c>
      <c r="B22" s="163" t="s">
        <v>5523</v>
      </c>
      <c r="C22" s="164">
        <v>692036.0</v>
      </c>
      <c r="D22" s="165" t="s">
        <v>206</v>
      </c>
      <c r="E22" s="165">
        <v>350.0</v>
      </c>
      <c r="F22" s="63">
        <v>1.0</v>
      </c>
      <c r="G22" s="88" t="s">
        <v>5363</v>
      </c>
      <c r="H22" s="167"/>
      <c r="I22" s="167"/>
      <c r="J22" s="167"/>
      <c r="K22" s="167"/>
      <c r="L22" s="167"/>
      <c r="M22" s="167"/>
      <c r="N22" s="167"/>
      <c r="O22" s="167"/>
      <c r="P22" s="167"/>
      <c r="Q22" s="167"/>
      <c r="R22" s="167"/>
      <c r="S22" s="167"/>
    </row>
    <row r="23">
      <c r="A23" s="168">
        <v>45733.0</v>
      </c>
      <c r="B23" s="169" t="s">
        <v>5523</v>
      </c>
      <c r="C23" s="170">
        <v>692036.0</v>
      </c>
      <c r="D23" s="171" t="s">
        <v>206</v>
      </c>
      <c r="E23" s="171">
        <v>350.0</v>
      </c>
      <c r="F23" s="69">
        <v>1.0</v>
      </c>
      <c r="G23" s="95" t="s">
        <v>5562</v>
      </c>
      <c r="H23" s="167"/>
      <c r="I23" s="167"/>
      <c r="J23" s="167"/>
      <c r="K23" s="167"/>
      <c r="L23" s="167"/>
      <c r="M23" s="167"/>
      <c r="N23" s="167"/>
      <c r="O23" s="167"/>
      <c r="P23" s="167"/>
      <c r="Q23" s="167"/>
      <c r="R23" s="167"/>
      <c r="S23" s="167"/>
    </row>
    <row r="24">
      <c r="A24" s="162">
        <v>45733.0</v>
      </c>
      <c r="B24" s="163" t="s">
        <v>5523</v>
      </c>
      <c r="C24" s="164">
        <v>692036.0</v>
      </c>
      <c r="D24" s="165" t="s">
        <v>206</v>
      </c>
      <c r="E24" s="165">
        <v>350.0</v>
      </c>
      <c r="F24" s="63">
        <v>1.0</v>
      </c>
      <c r="G24" s="88" t="s">
        <v>5320</v>
      </c>
      <c r="H24" s="167"/>
      <c r="I24" s="167"/>
      <c r="J24" s="167"/>
      <c r="K24" s="167"/>
      <c r="L24" s="167"/>
      <c r="M24" s="167"/>
      <c r="N24" s="167"/>
      <c r="O24" s="167"/>
      <c r="P24" s="167"/>
      <c r="Q24" s="167"/>
      <c r="R24" s="167"/>
      <c r="S24" s="167"/>
    </row>
    <row r="25">
      <c r="A25" s="168">
        <v>45733.0</v>
      </c>
      <c r="B25" s="169" t="s">
        <v>5523</v>
      </c>
      <c r="C25" s="170">
        <v>692036.0</v>
      </c>
      <c r="D25" s="171" t="s">
        <v>206</v>
      </c>
      <c r="E25" s="171">
        <v>350.0</v>
      </c>
      <c r="F25" s="69">
        <v>1.0</v>
      </c>
      <c r="G25" s="95" t="s">
        <v>5362</v>
      </c>
      <c r="H25" s="167"/>
      <c r="I25" s="167"/>
      <c r="J25" s="167"/>
      <c r="K25" s="167"/>
      <c r="L25" s="167"/>
      <c r="M25" s="167"/>
      <c r="N25" s="167"/>
      <c r="O25" s="167"/>
      <c r="P25" s="167"/>
      <c r="Q25" s="167"/>
      <c r="R25" s="167"/>
      <c r="S25" s="167"/>
    </row>
    <row r="26">
      <c r="A26" s="162">
        <v>45733.0</v>
      </c>
      <c r="B26" s="163" t="s">
        <v>5523</v>
      </c>
      <c r="C26" s="164">
        <v>692012.0</v>
      </c>
      <c r="D26" s="165" t="s">
        <v>212</v>
      </c>
      <c r="E26" s="165">
        <v>225.0</v>
      </c>
      <c r="F26" s="63">
        <v>1.0</v>
      </c>
      <c r="G26" s="88" t="s">
        <v>5563</v>
      </c>
      <c r="H26" s="167"/>
      <c r="I26" s="167"/>
      <c r="J26" s="167"/>
      <c r="K26" s="167"/>
      <c r="L26" s="167"/>
      <c r="M26" s="167"/>
      <c r="N26" s="167"/>
      <c r="O26" s="167"/>
      <c r="P26" s="167"/>
      <c r="Q26" s="167"/>
      <c r="R26" s="167"/>
      <c r="S26" s="167"/>
    </row>
    <row r="27">
      <c r="A27" s="168">
        <v>45733.0</v>
      </c>
      <c r="B27" s="169" t="s">
        <v>5523</v>
      </c>
      <c r="C27" s="170">
        <v>692012.0</v>
      </c>
      <c r="D27" s="171" t="s">
        <v>212</v>
      </c>
      <c r="E27" s="171">
        <v>225.0</v>
      </c>
      <c r="F27" s="69">
        <v>1.0</v>
      </c>
      <c r="G27" s="95" t="s">
        <v>5564</v>
      </c>
      <c r="H27" s="167"/>
      <c r="I27" s="167"/>
      <c r="J27" s="167"/>
      <c r="K27" s="167"/>
      <c r="L27" s="167"/>
      <c r="M27" s="167"/>
      <c r="N27" s="167"/>
      <c r="O27" s="167"/>
      <c r="P27" s="167"/>
      <c r="Q27" s="167"/>
      <c r="R27" s="167"/>
      <c r="S27" s="167"/>
    </row>
    <row r="28">
      <c r="A28" s="162">
        <v>45733.0</v>
      </c>
      <c r="B28" s="163" t="s">
        <v>5523</v>
      </c>
      <c r="C28" s="164">
        <v>692012.0</v>
      </c>
      <c r="D28" s="165" t="s">
        <v>212</v>
      </c>
      <c r="E28" s="165">
        <v>225.0</v>
      </c>
      <c r="F28" s="63">
        <v>1.0</v>
      </c>
      <c r="G28" s="88" t="s">
        <v>5565</v>
      </c>
      <c r="H28" s="167"/>
      <c r="I28" s="167"/>
      <c r="J28" s="167"/>
      <c r="K28" s="167"/>
      <c r="L28" s="167"/>
      <c r="M28" s="167"/>
      <c r="N28" s="167"/>
      <c r="O28" s="167"/>
      <c r="P28" s="167"/>
      <c r="Q28" s="167"/>
      <c r="R28" s="167"/>
      <c r="S28" s="167"/>
    </row>
    <row r="29">
      <c r="A29" s="168">
        <v>45733.0</v>
      </c>
      <c r="B29" s="169" t="s">
        <v>5523</v>
      </c>
      <c r="C29" s="170">
        <v>692012.0</v>
      </c>
      <c r="D29" s="171" t="s">
        <v>212</v>
      </c>
      <c r="E29" s="171">
        <v>225.0</v>
      </c>
      <c r="F29" s="69">
        <v>1.0</v>
      </c>
      <c r="G29" s="95" t="s">
        <v>5566</v>
      </c>
      <c r="H29" s="167"/>
      <c r="I29" s="167"/>
      <c r="J29" s="167"/>
      <c r="K29" s="167"/>
      <c r="L29" s="167"/>
      <c r="M29" s="167"/>
      <c r="N29" s="167"/>
      <c r="O29" s="167"/>
      <c r="P29" s="167"/>
      <c r="Q29" s="167"/>
      <c r="R29" s="167"/>
      <c r="S29" s="167"/>
    </row>
    <row r="30">
      <c r="A30" s="162">
        <v>45733.0</v>
      </c>
      <c r="B30" s="163" t="s">
        <v>5523</v>
      </c>
      <c r="C30" s="164">
        <v>692012.0</v>
      </c>
      <c r="D30" s="165" t="s">
        <v>212</v>
      </c>
      <c r="E30" s="165">
        <v>225.0</v>
      </c>
      <c r="F30" s="63">
        <v>1.0</v>
      </c>
      <c r="G30" s="88" t="s">
        <v>5330</v>
      </c>
      <c r="H30" s="167"/>
      <c r="I30" s="167"/>
      <c r="J30" s="167"/>
      <c r="K30" s="167"/>
      <c r="L30" s="167"/>
      <c r="M30" s="167"/>
      <c r="N30" s="167"/>
      <c r="O30" s="167"/>
      <c r="P30" s="167"/>
      <c r="Q30" s="167"/>
      <c r="R30" s="167"/>
      <c r="S30" s="167"/>
    </row>
    <row r="31">
      <c r="A31" s="168">
        <v>45733.0</v>
      </c>
      <c r="B31" s="169" t="s">
        <v>5523</v>
      </c>
      <c r="C31" s="170">
        <v>692012.0</v>
      </c>
      <c r="D31" s="171" t="s">
        <v>212</v>
      </c>
      <c r="E31" s="171">
        <v>225.0</v>
      </c>
      <c r="F31" s="69">
        <v>1.0</v>
      </c>
      <c r="G31" s="95" t="s">
        <v>5326</v>
      </c>
      <c r="H31" s="167"/>
      <c r="I31" s="167"/>
      <c r="J31" s="167"/>
      <c r="K31" s="167"/>
      <c r="L31" s="167"/>
      <c r="M31" s="167"/>
      <c r="N31" s="167"/>
      <c r="O31" s="167"/>
      <c r="P31" s="167"/>
      <c r="Q31" s="167"/>
      <c r="R31" s="167"/>
      <c r="S31" s="167"/>
    </row>
    <row r="32">
      <c r="A32" s="162">
        <v>45733.0</v>
      </c>
      <c r="B32" s="163" t="s">
        <v>5523</v>
      </c>
      <c r="C32" s="164">
        <v>692012.0</v>
      </c>
      <c r="D32" s="165" t="s">
        <v>212</v>
      </c>
      <c r="E32" s="165">
        <v>225.0</v>
      </c>
      <c r="F32" s="63">
        <v>1.0</v>
      </c>
      <c r="G32" s="88" t="s">
        <v>5329</v>
      </c>
      <c r="H32" s="167"/>
      <c r="I32" s="167"/>
      <c r="J32" s="167"/>
      <c r="K32" s="167"/>
      <c r="L32" s="167"/>
      <c r="M32" s="167"/>
      <c r="N32" s="167"/>
      <c r="O32" s="167"/>
      <c r="P32" s="167"/>
      <c r="Q32" s="167"/>
      <c r="R32" s="167"/>
      <c r="S32" s="167"/>
    </row>
    <row r="33">
      <c r="A33" s="168">
        <v>45733.0</v>
      </c>
      <c r="B33" s="169" t="s">
        <v>5523</v>
      </c>
      <c r="C33" s="170">
        <v>692012.0</v>
      </c>
      <c r="D33" s="171" t="s">
        <v>212</v>
      </c>
      <c r="E33" s="171">
        <v>225.0</v>
      </c>
      <c r="F33" s="69">
        <v>1.0</v>
      </c>
      <c r="G33" s="95" t="s">
        <v>5567</v>
      </c>
      <c r="H33" s="167"/>
      <c r="I33" s="167"/>
      <c r="J33" s="167"/>
      <c r="K33" s="167"/>
      <c r="L33" s="167"/>
      <c r="M33" s="167"/>
      <c r="N33" s="167"/>
      <c r="O33" s="167"/>
      <c r="P33" s="167"/>
      <c r="Q33" s="167"/>
      <c r="R33" s="167"/>
      <c r="S33" s="167"/>
    </row>
    <row r="34">
      <c r="A34" s="162">
        <v>45733.0</v>
      </c>
      <c r="B34" s="163" t="s">
        <v>5523</v>
      </c>
      <c r="C34" s="164">
        <v>692012.0</v>
      </c>
      <c r="D34" s="165" t="s">
        <v>212</v>
      </c>
      <c r="E34" s="165">
        <v>225.0</v>
      </c>
      <c r="F34" s="63">
        <v>1.0</v>
      </c>
      <c r="G34" s="88" t="s">
        <v>5568</v>
      </c>
      <c r="H34" s="167"/>
      <c r="I34" s="167"/>
      <c r="J34" s="167"/>
      <c r="K34" s="167"/>
      <c r="L34" s="167"/>
      <c r="M34" s="167"/>
      <c r="N34" s="167"/>
      <c r="O34" s="167"/>
      <c r="P34" s="167"/>
      <c r="Q34" s="167"/>
      <c r="R34" s="167"/>
      <c r="S34" s="167"/>
    </row>
    <row r="35">
      <c r="A35" s="168">
        <v>45733.0</v>
      </c>
      <c r="B35" s="169" t="s">
        <v>5523</v>
      </c>
      <c r="C35" s="170">
        <v>692012.0</v>
      </c>
      <c r="D35" s="171" t="s">
        <v>212</v>
      </c>
      <c r="E35" s="171">
        <v>225.0</v>
      </c>
      <c r="F35" s="69">
        <v>1.0</v>
      </c>
      <c r="G35" s="95" t="s">
        <v>5569</v>
      </c>
      <c r="H35" s="167"/>
      <c r="I35" s="167"/>
      <c r="J35" s="167"/>
      <c r="K35" s="167"/>
      <c r="L35" s="167"/>
      <c r="M35" s="167"/>
      <c r="N35" s="167"/>
      <c r="O35" s="167"/>
      <c r="P35" s="167"/>
      <c r="Q35" s="167"/>
      <c r="R35" s="167"/>
      <c r="S35" s="167"/>
    </row>
    <row r="36">
      <c r="A36" s="162">
        <v>45733.0</v>
      </c>
      <c r="B36" s="163" t="s">
        <v>5523</v>
      </c>
      <c r="C36" s="164">
        <v>692012.0</v>
      </c>
      <c r="D36" s="165" t="s">
        <v>212</v>
      </c>
      <c r="E36" s="165">
        <v>225.0</v>
      </c>
      <c r="F36" s="63">
        <v>1.0</v>
      </c>
      <c r="G36" s="88" t="s">
        <v>5354</v>
      </c>
      <c r="H36" s="167"/>
      <c r="I36" s="167"/>
      <c r="J36" s="167"/>
      <c r="K36" s="167"/>
      <c r="L36" s="167"/>
      <c r="M36" s="167"/>
      <c r="N36" s="167"/>
      <c r="O36" s="167"/>
      <c r="P36" s="167"/>
      <c r="Q36" s="167"/>
      <c r="R36" s="167"/>
      <c r="S36" s="167"/>
    </row>
    <row r="37">
      <c r="A37" s="168">
        <v>45733.0</v>
      </c>
      <c r="B37" s="169" t="s">
        <v>5523</v>
      </c>
      <c r="C37" s="170">
        <v>692012.0</v>
      </c>
      <c r="D37" s="171" t="s">
        <v>212</v>
      </c>
      <c r="E37" s="171">
        <v>225.0</v>
      </c>
      <c r="F37" s="69">
        <v>1.0</v>
      </c>
      <c r="G37" s="95" t="s">
        <v>5353</v>
      </c>
      <c r="H37" s="167"/>
      <c r="I37" s="167"/>
      <c r="J37" s="167"/>
      <c r="K37" s="167"/>
      <c r="L37" s="167"/>
      <c r="M37" s="167"/>
      <c r="N37" s="167"/>
      <c r="O37" s="167"/>
      <c r="P37" s="167"/>
      <c r="Q37" s="167"/>
      <c r="R37" s="167"/>
      <c r="S37" s="167"/>
    </row>
    <row r="38">
      <c r="A38" s="162">
        <v>45733.0</v>
      </c>
      <c r="B38" s="163" t="s">
        <v>5523</v>
      </c>
      <c r="C38" s="164">
        <v>692012.0</v>
      </c>
      <c r="D38" s="165" t="s">
        <v>212</v>
      </c>
      <c r="E38" s="165">
        <v>225.0</v>
      </c>
      <c r="F38" s="63">
        <v>1.0</v>
      </c>
      <c r="G38" s="88" t="s">
        <v>5331</v>
      </c>
      <c r="H38" s="167"/>
      <c r="I38" s="167"/>
      <c r="J38" s="167"/>
      <c r="K38" s="167"/>
      <c r="L38" s="167"/>
      <c r="M38" s="167"/>
      <c r="N38" s="167"/>
      <c r="O38" s="167"/>
      <c r="P38" s="167"/>
      <c r="Q38" s="167"/>
      <c r="R38" s="167"/>
      <c r="S38" s="167"/>
    </row>
    <row r="39">
      <c r="A39" s="168">
        <v>45733.0</v>
      </c>
      <c r="B39" s="169" t="s">
        <v>5523</v>
      </c>
      <c r="C39" s="170">
        <v>692029.0</v>
      </c>
      <c r="D39" s="171" t="s">
        <v>218</v>
      </c>
      <c r="E39" s="171">
        <v>200.0</v>
      </c>
      <c r="F39" s="69">
        <v>1.0</v>
      </c>
      <c r="G39" s="95" t="s">
        <v>5312</v>
      </c>
      <c r="H39" s="167"/>
      <c r="I39" s="167"/>
      <c r="J39" s="167"/>
      <c r="K39" s="167"/>
      <c r="L39" s="167"/>
      <c r="M39" s="167"/>
      <c r="N39" s="167"/>
      <c r="O39" s="167"/>
      <c r="P39" s="167"/>
      <c r="Q39" s="167"/>
      <c r="R39" s="167"/>
      <c r="S39" s="167"/>
    </row>
    <row r="40">
      <c r="A40" s="162">
        <v>45733.0</v>
      </c>
      <c r="B40" s="163" t="s">
        <v>5523</v>
      </c>
      <c r="C40" s="164">
        <v>692029.0</v>
      </c>
      <c r="D40" s="165" t="s">
        <v>218</v>
      </c>
      <c r="E40" s="165">
        <v>200.0</v>
      </c>
      <c r="F40" s="63">
        <v>1.0</v>
      </c>
      <c r="G40" s="88" t="s">
        <v>5570</v>
      </c>
      <c r="H40" s="167"/>
      <c r="I40" s="167"/>
      <c r="J40" s="167"/>
      <c r="K40" s="167"/>
      <c r="L40" s="167"/>
      <c r="M40" s="167"/>
      <c r="N40" s="167"/>
      <c r="O40" s="167"/>
      <c r="P40" s="167"/>
      <c r="Q40" s="167"/>
      <c r="R40" s="167"/>
      <c r="S40" s="167"/>
    </row>
    <row r="41">
      <c r="A41" s="168">
        <v>45733.0</v>
      </c>
      <c r="B41" s="169" t="s">
        <v>5523</v>
      </c>
      <c r="C41" s="170">
        <v>692029.0</v>
      </c>
      <c r="D41" s="171" t="s">
        <v>218</v>
      </c>
      <c r="E41" s="171">
        <v>200.0</v>
      </c>
      <c r="F41" s="69">
        <v>1.0</v>
      </c>
      <c r="G41" s="95" t="s">
        <v>5409</v>
      </c>
      <c r="H41" s="167"/>
      <c r="I41" s="167"/>
      <c r="J41" s="167"/>
      <c r="K41" s="167"/>
      <c r="L41" s="167"/>
      <c r="M41" s="167"/>
      <c r="N41" s="167"/>
      <c r="O41" s="167"/>
      <c r="P41" s="167"/>
      <c r="Q41" s="167"/>
      <c r="R41" s="167"/>
      <c r="S41" s="167"/>
    </row>
    <row r="42">
      <c r="A42" s="162">
        <v>45733.0</v>
      </c>
      <c r="B42" s="163" t="s">
        <v>5523</v>
      </c>
      <c r="C42" s="164">
        <v>692029.0</v>
      </c>
      <c r="D42" s="165" t="s">
        <v>218</v>
      </c>
      <c r="E42" s="165">
        <v>200.0</v>
      </c>
      <c r="F42" s="63">
        <v>1.0</v>
      </c>
      <c r="G42" s="88" t="s">
        <v>5571</v>
      </c>
      <c r="H42" s="167"/>
      <c r="I42" s="167"/>
      <c r="J42" s="167"/>
      <c r="K42" s="167"/>
      <c r="L42" s="167"/>
      <c r="M42" s="167"/>
      <c r="N42" s="167"/>
      <c r="O42" s="167"/>
      <c r="P42" s="167"/>
      <c r="Q42" s="167"/>
      <c r="R42" s="167"/>
      <c r="S42" s="167"/>
    </row>
    <row r="43">
      <c r="A43" s="168">
        <v>45733.0</v>
      </c>
      <c r="B43" s="169" t="s">
        <v>5523</v>
      </c>
      <c r="C43" s="170">
        <v>692029.0</v>
      </c>
      <c r="D43" s="171" t="s">
        <v>218</v>
      </c>
      <c r="E43" s="171">
        <v>200.0</v>
      </c>
      <c r="F43" s="69">
        <v>1.0</v>
      </c>
      <c r="G43" s="95" t="s">
        <v>5342</v>
      </c>
      <c r="H43" s="167"/>
      <c r="I43" s="167"/>
      <c r="J43" s="167"/>
      <c r="K43" s="167"/>
      <c r="L43" s="167"/>
      <c r="M43" s="167"/>
      <c r="N43" s="167"/>
      <c r="O43" s="167"/>
      <c r="P43" s="167"/>
      <c r="Q43" s="167"/>
      <c r="R43" s="167"/>
      <c r="S43" s="167"/>
    </row>
    <row r="44">
      <c r="A44" s="162">
        <v>45733.0</v>
      </c>
      <c r="B44" s="163" t="s">
        <v>5523</v>
      </c>
      <c r="C44" s="164">
        <v>692029.0</v>
      </c>
      <c r="D44" s="165" t="s">
        <v>218</v>
      </c>
      <c r="E44" s="165">
        <v>200.0</v>
      </c>
      <c r="F44" s="63">
        <v>1.0</v>
      </c>
      <c r="G44" s="88" t="s">
        <v>5572</v>
      </c>
      <c r="H44" s="167"/>
      <c r="I44" s="167"/>
      <c r="J44" s="167"/>
      <c r="K44" s="167"/>
      <c r="L44" s="167"/>
      <c r="M44" s="167"/>
      <c r="N44" s="167"/>
      <c r="O44" s="167"/>
      <c r="P44" s="167"/>
      <c r="Q44" s="167"/>
      <c r="R44" s="167"/>
      <c r="S44" s="167"/>
    </row>
    <row r="45">
      <c r="A45" s="168">
        <v>45733.0</v>
      </c>
      <c r="B45" s="169" t="s">
        <v>5523</v>
      </c>
      <c r="C45" s="170">
        <v>692029.0</v>
      </c>
      <c r="D45" s="171" t="s">
        <v>218</v>
      </c>
      <c r="E45" s="171">
        <v>200.0</v>
      </c>
      <c r="F45" s="69">
        <v>1.0</v>
      </c>
      <c r="G45" s="95" t="s">
        <v>5345</v>
      </c>
      <c r="H45" s="167"/>
      <c r="I45" s="167"/>
      <c r="J45" s="167"/>
      <c r="K45" s="167"/>
      <c r="L45" s="167"/>
      <c r="M45" s="167"/>
      <c r="N45" s="167"/>
      <c r="O45" s="167"/>
      <c r="P45" s="167"/>
      <c r="Q45" s="167"/>
      <c r="R45" s="167"/>
      <c r="S45" s="167"/>
    </row>
    <row r="46">
      <c r="A46" s="162">
        <v>45733.0</v>
      </c>
      <c r="B46" s="163" t="s">
        <v>5523</v>
      </c>
      <c r="C46" s="164">
        <v>692029.0</v>
      </c>
      <c r="D46" s="165" t="s">
        <v>218</v>
      </c>
      <c r="E46" s="165">
        <v>200.0</v>
      </c>
      <c r="F46" s="63">
        <v>1.0</v>
      </c>
      <c r="G46" s="88" t="s">
        <v>5573</v>
      </c>
      <c r="H46" s="167"/>
      <c r="I46" s="167"/>
      <c r="J46" s="167"/>
      <c r="K46" s="167"/>
      <c r="L46" s="167"/>
      <c r="M46" s="167"/>
      <c r="N46" s="167"/>
      <c r="O46" s="167"/>
      <c r="P46" s="167"/>
      <c r="Q46" s="167"/>
      <c r="R46" s="167"/>
      <c r="S46" s="167"/>
    </row>
    <row r="47">
      <c r="A47" s="168">
        <v>45733.0</v>
      </c>
      <c r="B47" s="169" t="s">
        <v>5523</v>
      </c>
      <c r="C47" s="170">
        <v>692029.0</v>
      </c>
      <c r="D47" s="171" t="s">
        <v>218</v>
      </c>
      <c r="E47" s="171">
        <v>200.0</v>
      </c>
      <c r="F47" s="69">
        <v>1.0</v>
      </c>
      <c r="G47" s="95" t="s">
        <v>5325</v>
      </c>
      <c r="H47" s="167"/>
      <c r="I47" s="167"/>
      <c r="J47" s="167"/>
      <c r="K47" s="167"/>
      <c r="L47" s="167"/>
      <c r="M47" s="167"/>
      <c r="N47" s="167"/>
      <c r="O47" s="167"/>
      <c r="P47" s="167"/>
      <c r="Q47" s="167"/>
      <c r="R47" s="167"/>
      <c r="S47" s="167"/>
    </row>
    <row r="48">
      <c r="A48" s="162">
        <v>45733.0</v>
      </c>
      <c r="B48" s="163" t="s">
        <v>5523</v>
      </c>
      <c r="C48" s="164">
        <v>692029.0</v>
      </c>
      <c r="D48" s="165" t="s">
        <v>218</v>
      </c>
      <c r="E48" s="165">
        <v>200.0</v>
      </c>
      <c r="F48" s="63">
        <v>1.0</v>
      </c>
      <c r="G48" s="88" t="s">
        <v>5574</v>
      </c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67"/>
      <c r="S48" s="167"/>
    </row>
    <row r="49">
      <c r="A49" s="168">
        <v>45733.0</v>
      </c>
      <c r="B49" s="169" t="s">
        <v>5523</v>
      </c>
      <c r="C49" s="170" t="s">
        <v>5351</v>
      </c>
      <c r="D49" s="171" t="s">
        <v>5352</v>
      </c>
      <c r="E49" s="171">
        <v>400.0</v>
      </c>
      <c r="F49" s="69">
        <v>1.0</v>
      </c>
      <c r="G49" s="95" t="s">
        <v>5575</v>
      </c>
      <c r="H49" s="167"/>
      <c r="I49" s="167"/>
      <c r="J49" s="167"/>
      <c r="K49" s="167"/>
      <c r="L49" s="167"/>
      <c r="M49" s="167"/>
      <c r="N49" s="167"/>
      <c r="O49" s="167"/>
      <c r="P49" s="167"/>
      <c r="Q49" s="167"/>
      <c r="R49" s="167"/>
      <c r="S49" s="167"/>
    </row>
    <row r="50">
      <c r="A50" s="162">
        <v>45733.0</v>
      </c>
      <c r="B50" s="163" t="s">
        <v>5523</v>
      </c>
      <c r="C50" s="164" t="s">
        <v>5351</v>
      </c>
      <c r="D50" s="165" t="s">
        <v>5352</v>
      </c>
      <c r="E50" s="165">
        <v>400.0</v>
      </c>
      <c r="F50" s="63">
        <v>1.0</v>
      </c>
      <c r="G50" s="88" t="s">
        <v>5576</v>
      </c>
      <c r="H50" s="167"/>
      <c r="I50" s="167"/>
      <c r="J50" s="167"/>
      <c r="K50" s="167"/>
      <c r="L50" s="167"/>
      <c r="M50" s="167"/>
      <c r="N50" s="167"/>
      <c r="O50" s="167"/>
      <c r="P50" s="167"/>
      <c r="Q50" s="167"/>
      <c r="R50" s="167"/>
      <c r="S50" s="167"/>
    </row>
    <row r="51">
      <c r="A51" s="168">
        <v>45733.0</v>
      </c>
      <c r="B51" s="169" t="s">
        <v>5523</v>
      </c>
      <c r="C51" s="170" t="s">
        <v>5317</v>
      </c>
      <c r="D51" s="171" t="s">
        <v>5318</v>
      </c>
      <c r="E51" s="171">
        <v>300.0</v>
      </c>
      <c r="F51" s="69">
        <v>1.0</v>
      </c>
      <c r="G51" s="95" t="s">
        <v>5577</v>
      </c>
      <c r="H51" s="167"/>
      <c r="I51" s="167"/>
      <c r="J51" s="167"/>
      <c r="K51" s="167"/>
      <c r="L51" s="167"/>
      <c r="M51" s="167"/>
      <c r="N51" s="167"/>
      <c r="O51" s="167"/>
      <c r="P51" s="167"/>
      <c r="Q51" s="167"/>
      <c r="R51" s="167"/>
      <c r="S51" s="167"/>
    </row>
    <row r="52">
      <c r="A52" s="162">
        <v>45733.0</v>
      </c>
      <c r="B52" s="163" t="s">
        <v>5523</v>
      </c>
      <c r="C52" s="164" t="s">
        <v>5317</v>
      </c>
      <c r="D52" s="165" t="s">
        <v>5318</v>
      </c>
      <c r="E52" s="165">
        <v>400.0</v>
      </c>
      <c r="F52" s="63">
        <v>1.0</v>
      </c>
      <c r="G52" s="88" t="s">
        <v>5578</v>
      </c>
      <c r="H52" s="167"/>
      <c r="I52" s="167"/>
      <c r="J52" s="167"/>
      <c r="K52" s="167"/>
      <c r="L52" s="167"/>
      <c r="M52" s="167"/>
      <c r="N52" s="167"/>
      <c r="O52" s="167"/>
      <c r="P52" s="167"/>
      <c r="Q52" s="167"/>
      <c r="R52" s="167"/>
      <c r="S52" s="167"/>
    </row>
    <row r="53">
      <c r="A53" s="168">
        <v>45733.0</v>
      </c>
      <c r="B53" s="169" t="s">
        <v>5523</v>
      </c>
      <c r="C53" s="170">
        <v>600673.0</v>
      </c>
      <c r="D53" s="171" t="s">
        <v>5348</v>
      </c>
      <c r="E53" s="171">
        <v>240.0</v>
      </c>
      <c r="F53" s="69">
        <v>1.0</v>
      </c>
      <c r="G53" s="95" t="s">
        <v>5429</v>
      </c>
      <c r="H53" s="167"/>
      <c r="I53" s="167"/>
      <c r="J53" s="167"/>
      <c r="K53" s="167"/>
      <c r="L53" s="167"/>
      <c r="M53" s="167"/>
      <c r="N53" s="167"/>
      <c r="O53" s="167"/>
      <c r="P53" s="167"/>
      <c r="Q53" s="167"/>
      <c r="R53" s="167"/>
      <c r="S53" s="167"/>
    </row>
    <row r="54">
      <c r="A54" s="162">
        <v>45733.0</v>
      </c>
      <c r="B54" s="163" t="s">
        <v>5523</v>
      </c>
      <c r="C54" s="164">
        <v>600673.0</v>
      </c>
      <c r="D54" s="165" t="s">
        <v>5348</v>
      </c>
      <c r="E54" s="165">
        <v>276.0</v>
      </c>
      <c r="F54" s="63">
        <v>1.0</v>
      </c>
      <c r="G54" s="88" t="s">
        <v>5347</v>
      </c>
      <c r="H54" s="167"/>
      <c r="I54" s="167"/>
      <c r="J54" s="167"/>
      <c r="K54" s="167"/>
      <c r="L54" s="167"/>
      <c r="M54" s="167"/>
      <c r="N54" s="167"/>
      <c r="O54" s="167"/>
      <c r="P54" s="167"/>
      <c r="Q54" s="167"/>
      <c r="R54" s="167"/>
      <c r="S54" s="167"/>
    </row>
    <row r="55">
      <c r="A55" s="168">
        <v>45733.0</v>
      </c>
      <c r="B55" s="169" t="s">
        <v>5523</v>
      </c>
      <c r="C55" s="173" t="s">
        <v>5481</v>
      </c>
      <c r="D55" s="171" t="s">
        <v>5388</v>
      </c>
      <c r="E55" s="171">
        <v>15.0</v>
      </c>
      <c r="F55" s="69">
        <v>1.0</v>
      </c>
      <c r="G55" s="95" t="s">
        <v>5386</v>
      </c>
      <c r="H55" s="167"/>
      <c r="I55" s="167"/>
      <c r="J55" s="167"/>
      <c r="K55" s="167"/>
      <c r="L55" s="167"/>
      <c r="M55" s="167"/>
      <c r="N55" s="167"/>
      <c r="O55" s="167"/>
      <c r="P55" s="167"/>
      <c r="Q55" s="167"/>
      <c r="R55" s="167"/>
      <c r="S55" s="167"/>
    </row>
    <row r="56">
      <c r="A56" s="162">
        <v>45733.0</v>
      </c>
      <c r="B56" s="163" t="s">
        <v>5523</v>
      </c>
      <c r="C56" s="174" t="s">
        <v>5481</v>
      </c>
      <c r="D56" s="165" t="s">
        <v>5388</v>
      </c>
      <c r="E56" s="165">
        <v>45.0</v>
      </c>
      <c r="F56" s="63">
        <v>1.0</v>
      </c>
      <c r="G56" s="88" t="s">
        <v>5387</v>
      </c>
      <c r="H56" s="167"/>
      <c r="I56" s="167"/>
      <c r="J56" s="167"/>
      <c r="K56" s="167"/>
      <c r="L56" s="167"/>
      <c r="M56" s="167"/>
      <c r="N56" s="167"/>
      <c r="O56" s="167"/>
      <c r="P56" s="167"/>
      <c r="Q56" s="167"/>
      <c r="R56" s="167"/>
      <c r="S56" s="167"/>
    </row>
    <row r="57">
      <c r="A57" s="168">
        <v>45733.0</v>
      </c>
      <c r="B57" s="169" t="s">
        <v>5523</v>
      </c>
      <c r="C57" s="173" t="s">
        <v>5481</v>
      </c>
      <c r="D57" s="171" t="s">
        <v>5388</v>
      </c>
      <c r="E57" s="171">
        <v>38.0</v>
      </c>
      <c r="F57" s="69">
        <v>1.0</v>
      </c>
      <c r="G57" s="95" t="s">
        <v>5376</v>
      </c>
      <c r="H57" s="167"/>
      <c r="I57" s="167"/>
      <c r="J57" s="167"/>
      <c r="K57" s="167"/>
      <c r="L57" s="167"/>
      <c r="M57" s="167"/>
      <c r="N57" s="167"/>
      <c r="O57" s="167"/>
      <c r="P57" s="167"/>
      <c r="Q57" s="167"/>
      <c r="R57" s="167"/>
      <c r="S57" s="167"/>
    </row>
    <row r="58">
      <c r="A58" s="162">
        <v>45733.0</v>
      </c>
      <c r="B58" s="163" t="s">
        <v>5523</v>
      </c>
      <c r="C58" s="164">
        <v>600512.0</v>
      </c>
      <c r="D58" s="165" t="s">
        <v>5388</v>
      </c>
      <c r="E58" s="165">
        <v>56.0</v>
      </c>
      <c r="F58" s="63">
        <v>1.0</v>
      </c>
      <c r="G58" s="88" t="s">
        <v>5579</v>
      </c>
      <c r="H58" s="167"/>
      <c r="I58" s="167"/>
      <c r="J58" s="167"/>
      <c r="K58" s="167"/>
      <c r="L58" s="167"/>
      <c r="M58" s="167"/>
      <c r="N58" s="167"/>
      <c r="O58" s="167"/>
      <c r="P58" s="167"/>
      <c r="Q58" s="167"/>
      <c r="R58" s="167"/>
      <c r="S58" s="167"/>
    </row>
    <row r="59">
      <c r="A59" s="168">
        <v>45733.0</v>
      </c>
      <c r="B59" s="169" t="s">
        <v>5523</v>
      </c>
      <c r="C59" s="170">
        <v>111111.0</v>
      </c>
      <c r="D59" s="171" t="s">
        <v>5580</v>
      </c>
      <c r="E59" s="171">
        <v>55.0</v>
      </c>
      <c r="F59" s="69">
        <v>1.0</v>
      </c>
      <c r="G59" s="95" t="s">
        <v>5378</v>
      </c>
      <c r="H59" s="167"/>
      <c r="I59" s="167"/>
      <c r="J59" s="167"/>
      <c r="K59" s="167"/>
      <c r="L59" s="167"/>
      <c r="M59" s="167"/>
      <c r="N59" s="167"/>
      <c r="O59" s="167"/>
      <c r="P59" s="167"/>
      <c r="Q59" s="167"/>
      <c r="R59" s="167"/>
      <c r="S59" s="167"/>
    </row>
    <row r="60">
      <c r="A60" s="162">
        <v>45733.0</v>
      </c>
      <c r="B60" s="163" t="s">
        <v>5523</v>
      </c>
      <c r="C60" s="164">
        <v>600550.0</v>
      </c>
      <c r="D60" s="165" t="s">
        <v>5581</v>
      </c>
      <c r="E60" s="165">
        <v>27.0</v>
      </c>
      <c r="F60" s="63">
        <v>1.0</v>
      </c>
      <c r="G60" s="88" t="s">
        <v>5378</v>
      </c>
      <c r="H60" s="167"/>
      <c r="I60" s="167"/>
      <c r="J60" s="167"/>
      <c r="K60" s="167"/>
      <c r="L60" s="167"/>
      <c r="M60" s="167"/>
      <c r="N60" s="167"/>
      <c r="O60" s="167"/>
      <c r="P60" s="167"/>
      <c r="Q60" s="167"/>
      <c r="R60" s="167"/>
      <c r="S60" s="167"/>
    </row>
    <row r="61">
      <c r="A61" s="168">
        <v>45733.0</v>
      </c>
      <c r="B61" s="169" t="s">
        <v>5523</v>
      </c>
      <c r="C61" s="170" t="s">
        <v>5582</v>
      </c>
      <c r="D61" s="171" t="s">
        <v>5474</v>
      </c>
      <c r="E61" s="171">
        <v>44.0</v>
      </c>
      <c r="F61" s="69">
        <v>1.0</v>
      </c>
      <c r="G61" s="95" t="s">
        <v>5583</v>
      </c>
      <c r="H61" s="167"/>
      <c r="I61" s="167"/>
      <c r="J61" s="167"/>
      <c r="K61" s="167"/>
      <c r="L61" s="167"/>
      <c r="M61" s="167"/>
      <c r="N61" s="167"/>
      <c r="O61" s="167"/>
      <c r="P61" s="167"/>
      <c r="Q61" s="167"/>
      <c r="R61" s="167"/>
      <c r="S61" s="167"/>
    </row>
    <row r="62">
      <c r="A62" s="162">
        <v>45733.0</v>
      </c>
      <c r="B62" s="163" t="s">
        <v>5523</v>
      </c>
      <c r="C62" s="164" t="s">
        <v>5383</v>
      </c>
      <c r="D62" s="165" t="s">
        <v>5384</v>
      </c>
      <c r="E62" s="165">
        <v>24.0</v>
      </c>
      <c r="F62" s="63">
        <v>4.0</v>
      </c>
      <c r="G62" s="88" t="s">
        <v>5382</v>
      </c>
      <c r="H62" s="167"/>
      <c r="I62" s="167"/>
      <c r="J62" s="167"/>
      <c r="K62" s="167"/>
      <c r="L62" s="167"/>
      <c r="M62" s="167"/>
      <c r="N62" s="167"/>
      <c r="O62" s="167"/>
      <c r="P62" s="167"/>
      <c r="Q62" s="167"/>
      <c r="R62" s="167"/>
      <c r="S62" s="167"/>
    </row>
    <row r="63">
      <c r="A63" s="168">
        <v>45733.0</v>
      </c>
      <c r="B63" s="169" t="s">
        <v>5523</v>
      </c>
      <c r="C63" s="170">
        <v>605678.0</v>
      </c>
      <c r="D63" s="171" t="s">
        <v>376</v>
      </c>
      <c r="E63" s="171">
        <v>40.0</v>
      </c>
      <c r="F63" s="69">
        <v>6.0</v>
      </c>
      <c r="G63" s="95" t="s">
        <v>5366</v>
      </c>
      <c r="H63" s="167"/>
      <c r="I63" s="167"/>
      <c r="J63" s="167"/>
      <c r="K63" s="167"/>
      <c r="L63" s="167"/>
      <c r="M63" s="167"/>
      <c r="N63" s="167"/>
      <c r="O63" s="167"/>
      <c r="P63" s="167"/>
      <c r="Q63" s="167"/>
      <c r="R63" s="167"/>
      <c r="S63" s="167"/>
    </row>
    <row r="64">
      <c r="A64" s="162">
        <v>45733.0</v>
      </c>
      <c r="B64" s="163" t="s">
        <v>5523</v>
      </c>
      <c r="C64" s="164">
        <v>600697.0</v>
      </c>
      <c r="D64" s="165" t="s">
        <v>5367</v>
      </c>
      <c r="E64" s="165">
        <v>30.0</v>
      </c>
      <c r="F64" s="63">
        <v>1.0</v>
      </c>
      <c r="G64" s="88" t="s">
        <v>5584</v>
      </c>
      <c r="H64" s="167"/>
      <c r="I64" s="167"/>
      <c r="J64" s="167"/>
      <c r="K64" s="167"/>
      <c r="L64" s="167"/>
      <c r="M64" s="167"/>
      <c r="N64" s="167"/>
      <c r="O64" s="167"/>
      <c r="P64" s="167"/>
      <c r="Q64" s="167"/>
      <c r="R64" s="167"/>
      <c r="S64" s="167"/>
    </row>
    <row r="65">
      <c r="A65" s="168">
        <v>45733.0</v>
      </c>
      <c r="B65" s="169" t="s">
        <v>5523</v>
      </c>
      <c r="C65" s="170">
        <v>674889.0</v>
      </c>
      <c r="D65" s="171" t="s">
        <v>361</v>
      </c>
      <c r="E65" s="171">
        <v>20.0</v>
      </c>
      <c r="F65" s="69">
        <v>5.0</v>
      </c>
      <c r="G65" s="95" t="s">
        <v>5585</v>
      </c>
      <c r="H65" s="167"/>
      <c r="I65" s="167"/>
      <c r="J65" s="167"/>
      <c r="K65" s="167"/>
      <c r="L65" s="167"/>
      <c r="M65" s="167"/>
      <c r="N65" s="167"/>
      <c r="O65" s="167"/>
      <c r="P65" s="167"/>
      <c r="Q65" s="167"/>
      <c r="R65" s="167"/>
      <c r="S65" s="167"/>
    </row>
    <row r="66">
      <c r="A66" s="162">
        <v>45733.0</v>
      </c>
      <c r="B66" s="163" t="s">
        <v>5523</v>
      </c>
      <c r="C66" s="164" t="s">
        <v>5383</v>
      </c>
      <c r="D66" s="165" t="s">
        <v>5384</v>
      </c>
      <c r="E66" s="165">
        <v>10.0</v>
      </c>
      <c r="F66" s="63">
        <v>2.0</v>
      </c>
      <c r="G66" s="88" t="s">
        <v>5586</v>
      </c>
      <c r="H66" s="167"/>
      <c r="I66" s="167"/>
      <c r="J66" s="167"/>
      <c r="K66" s="167"/>
      <c r="L66" s="167"/>
      <c r="M66" s="167"/>
      <c r="N66" s="167"/>
      <c r="O66" s="167"/>
      <c r="P66" s="167"/>
      <c r="Q66" s="167"/>
      <c r="R66" s="167"/>
      <c r="S66" s="167"/>
    </row>
    <row r="67">
      <c r="A67" s="168">
        <v>45733.0</v>
      </c>
      <c r="B67" s="169" t="s">
        <v>5523</v>
      </c>
      <c r="C67" s="170" t="s">
        <v>5383</v>
      </c>
      <c r="D67" s="171" t="s">
        <v>5384</v>
      </c>
      <c r="E67" s="171">
        <v>12.0</v>
      </c>
      <c r="F67" s="69">
        <v>2.0</v>
      </c>
      <c r="G67" s="95" t="s">
        <v>5587</v>
      </c>
      <c r="H67" s="167"/>
      <c r="I67" s="167"/>
      <c r="J67" s="167"/>
      <c r="K67" s="167"/>
      <c r="L67" s="167"/>
      <c r="M67" s="167"/>
      <c r="N67" s="167"/>
      <c r="O67" s="167"/>
      <c r="P67" s="167"/>
      <c r="Q67" s="167"/>
      <c r="R67" s="167"/>
      <c r="S67" s="167"/>
    </row>
    <row r="68">
      <c r="A68" s="162">
        <v>45733.0</v>
      </c>
      <c r="B68" s="163" t="s">
        <v>5523</v>
      </c>
      <c r="C68" s="164" t="s">
        <v>5310</v>
      </c>
      <c r="D68" s="165" t="s">
        <v>5464</v>
      </c>
      <c r="E68" s="165">
        <v>200.0</v>
      </c>
      <c r="F68" s="63">
        <v>1.0</v>
      </c>
      <c r="G68" s="88" t="s">
        <v>5327</v>
      </c>
      <c r="H68" s="167"/>
      <c r="I68" s="167"/>
      <c r="J68" s="167"/>
      <c r="K68" s="167"/>
      <c r="L68" s="167"/>
      <c r="M68" s="167"/>
      <c r="N68" s="167"/>
      <c r="O68" s="167"/>
      <c r="P68" s="167"/>
      <c r="Q68" s="167"/>
      <c r="R68" s="167"/>
      <c r="S68" s="167"/>
    </row>
    <row r="69">
      <c r="A69" s="168">
        <v>45733.0</v>
      </c>
      <c r="B69" s="169" t="s">
        <v>5523</v>
      </c>
      <c r="C69" s="170" t="s">
        <v>5310</v>
      </c>
      <c r="D69" s="171" t="s">
        <v>5464</v>
      </c>
      <c r="E69" s="171">
        <v>200.0</v>
      </c>
      <c r="F69" s="69">
        <v>1.0</v>
      </c>
      <c r="G69" s="95" t="s">
        <v>5356</v>
      </c>
      <c r="H69" s="167"/>
      <c r="I69" s="167"/>
      <c r="J69" s="167"/>
      <c r="K69" s="167"/>
      <c r="L69" s="167"/>
      <c r="M69" s="167"/>
      <c r="N69" s="167"/>
      <c r="O69" s="167"/>
      <c r="P69" s="167"/>
      <c r="Q69" s="167"/>
      <c r="R69" s="167"/>
      <c r="S69" s="167"/>
    </row>
    <row r="70">
      <c r="A70" s="162">
        <v>45733.0</v>
      </c>
      <c r="B70" s="163" t="s">
        <v>5523</v>
      </c>
      <c r="C70" s="164" t="s">
        <v>5310</v>
      </c>
      <c r="D70" s="165" t="s">
        <v>5464</v>
      </c>
      <c r="E70" s="165">
        <v>200.0</v>
      </c>
      <c r="F70" s="63">
        <v>1.0</v>
      </c>
      <c r="G70" s="88" t="s">
        <v>5355</v>
      </c>
      <c r="H70" s="167"/>
      <c r="I70" s="167"/>
      <c r="J70" s="167"/>
      <c r="K70" s="167"/>
      <c r="L70" s="167"/>
      <c r="M70" s="167"/>
      <c r="N70" s="167"/>
      <c r="O70" s="167"/>
      <c r="P70" s="167"/>
      <c r="Q70" s="167"/>
      <c r="R70" s="167"/>
      <c r="S70" s="167"/>
    </row>
    <row r="71">
      <c r="A71" s="168">
        <v>45733.0</v>
      </c>
      <c r="B71" s="169" t="s">
        <v>5523</v>
      </c>
      <c r="C71" s="170" t="s">
        <v>5310</v>
      </c>
      <c r="D71" s="171" t="s">
        <v>5464</v>
      </c>
      <c r="E71" s="171">
        <v>200.0</v>
      </c>
      <c r="F71" s="69">
        <v>1.0</v>
      </c>
      <c r="G71" s="95" t="s">
        <v>5588</v>
      </c>
      <c r="H71" s="167"/>
      <c r="I71" s="167"/>
      <c r="J71" s="167"/>
      <c r="K71" s="167"/>
      <c r="L71" s="167"/>
      <c r="M71" s="167"/>
      <c r="N71" s="167"/>
      <c r="O71" s="167"/>
      <c r="P71" s="167"/>
      <c r="Q71" s="167"/>
      <c r="R71" s="167"/>
      <c r="S71" s="167"/>
    </row>
    <row r="72">
      <c r="A72" s="162">
        <v>45733.0</v>
      </c>
      <c r="B72" s="163" t="s">
        <v>5523</v>
      </c>
      <c r="C72" s="164" t="s">
        <v>5310</v>
      </c>
      <c r="D72" s="165" t="s">
        <v>5464</v>
      </c>
      <c r="E72" s="165">
        <v>200.0</v>
      </c>
      <c r="F72" s="63">
        <v>1.0</v>
      </c>
      <c r="G72" s="88" t="s">
        <v>5357</v>
      </c>
      <c r="H72" s="167"/>
      <c r="I72" s="167"/>
      <c r="J72" s="167"/>
      <c r="K72" s="167"/>
      <c r="L72" s="167"/>
      <c r="M72" s="167"/>
      <c r="N72" s="167"/>
      <c r="O72" s="167"/>
      <c r="P72" s="167"/>
      <c r="Q72" s="167"/>
      <c r="R72" s="167"/>
      <c r="S72" s="167"/>
    </row>
    <row r="73">
      <c r="A73" s="168">
        <v>45733.0</v>
      </c>
      <c r="B73" s="169" t="s">
        <v>5523</v>
      </c>
      <c r="C73" s="170" t="s">
        <v>5310</v>
      </c>
      <c r="D73" s="171" t="s">
        <v>5464</v>
      </c>
      <c r="E73" s="171">
        <v>200.0</v>
      </c>
      <c r="F73" s="69">
        <v>1.0</v>
      </c>
      <c r="G73" s="95" t="s">
        <v>5358</v>
      </c>
      <c r="H73" s="167"/>
      <c r="I73" s="167"/>
      <c r="J73" s="167"/>
      <c r="K73" s="167"/>
      <c r="L73" s="167"/>
      <c r="M73" s="167"/>
      <c r="N73" s="167"/>
      <c r="O73" s="167"/>
      <c r="P73" s="167"/>
      <c r="Q73" s="167"/>
      <c r="R73" s="167"/>
      <c r="S73" s="167"/>
    </row>
    <row r="74">
      <c r="A74" s="162">
        <v>45733.0</v>
      </c>
      <c r="B74" s="163" t="s">
        <v>5523</v>
      </c>
      <c r="C74" s="164" t="s">
        <v>5310</v>
      </c>
      <c r="D74" s="165" t="s">
        <v>5464</v>
      </c>
      <c r="E74" s="165">
        <v>200.0</v>
      </c>
      <c r="F74" s="63">
        <v>1.0</v>
      </c>
      <c r="G74" s="88" t="s">
        <v>5360</v>
      </c>
      <c r="H74" s="167"/>
      <c r="I74" s="167"/>
      <c r="J74" s="167"/>
      <c r="K74" s="167"/>
      <c r="L74" s="167"/>
      <c r="M74" s="167"/>
      <c r="N74" s="167"/>
      <c r="O74" s="167"/>
      <c r="P74" s="167"/>
      <c r="Q74" s="167"/>
      <c r="R74" s="167"/>
      <c r="S74" s="167"/>
    </row>
    <row r="75">
      <c r="A75" s="168">
        <v>45733.0</v>
      </c>
      <c r="B75" s="169" t="s">
        <v>5523</v>
      </c>
      <c r="C75" s="170" t="s">
        <v>5310</v>
      </c>
      <c r="D75" s="171" t="s">
        <v>5464</v>
      </c>
      <c r="E75" s="171">
        <v>200.0</v>
      </c>
      <c r="F75" s="69">
        <v>1.0</v>
      </c>
      <c r="G75" s="95" t="s">
        <v>5359</v>
      </c>
      <c r="H75" s="167"/>
      <c r="I75" s="167"/>
      <c r="J75" s="167"/>
      <c r="K75" s="167"/>
      <c r="L75" s="167"/>
      <c r="M75" s="167"/>
      <c r="N75" s="167"/>
      <c r="O75" s="167"/>
      <c r="P75" s="167"/>
      <c r="Q75" s="167"/>
      <c r="R75" s="167"/>
      <c r="S75" s="167"/>
    </row>
    <row r="76">
      <c r="A76" s="162">
        <v>45733.0</v>
      </c>
      <c r="B76" s="163" t="s">
        <v>5523</v>
      </c>
      <c r="C76" s="164" t="s">
        <v>5310</v>
      </c>
      <c r="D76" s="165" t="s">
        <v>5464</v>
      </c>
      <c r="E76" s="165">
        <v>200.0</v>
      </c>
      <c r="F76" s="63">
        <v>1.0</v>
      </c>
      <c r="G76" s="88" t="s">
        <v>5309</v>
      </c>
      <c r="H76" s="167"/>
      <c r="I76" s="167"/>
      <c r="J76" s="167"/>
      <c r="K76" s="167"/>
      <c r="L76" s="167"/>
      <c r="M76" s="167"/>
      <c r="N76" s="167"/>
      <c r="O76" s="167"/>
      <c r="P76" s="167"/>
      <c r="Q76" s="167"/>
      <c r="R76" s="167"/>
      <c r="S76" s="167"/>
    </row>
    <row r="77">
      <c r="A77" s="168">
        <v>45733.0</v>
      </c>
      <c r="B77" s="169" t="s">
        <v>5523</v>
      </c>
      <c r="C77" s="170" t="s">
        <v>5310</v>
      </c>
      <c r="D77" s="171" t="s">
        <v>5464</v>
      </c>
      <c r="E77" s="171">
        <v>200.0</v>
      </c>
      <c r="F77" s="69">
        <v>1.0</v>
      </c>
      <c r="G77" s="95" t="s">
        <v>5390</v>
      </c>
      <c r="H77" s="167"/>
      <c r="I77" s="167"/>
      <c r="J77" s="167"/>
      <c r="K77" s="167"/>
      <c r="L77" s="167"/>
      <c r="M77" s="167"/>
      <c r="N77" s="167"/>
      <c r="O77" s="167"/>
      <c r="P77" s="167"/>
      <c r="Q77" s="167"/>
      <c r="R77" s="167"/>
      <c r="S77" s="167"/>
    </row>
    <row r="78">
      <c r="A78" s="162">
        <v>45733.0</v>
      </c>
      <c r="B78" s="163" t="s">
        <v>5523</v>
      </c>
      <c r="C78" s="164">
        <v>600567.0</v>
      </c>
      <c r="D78" s="165" t="s">
        <v>5493</v>
      </c>
      <c r="E78" s="165">
        <v>510.0</v>
      </c>
      <c r="F78" s="63">
        <v>1.0</v>
      </c>
      <c r="G78" s="88" t="s">
        <v>5589</v>
      </c>
      <c r="H78" s="167"/>
      <c r="I78" s="167"/>
      <c r="J78" s="167"/>
      <c r="K78" s="167"/>
      <c r="L78" s="167"/>
      <c r="M78" s="167"/>
      <c r="N78" s="167"/>
      <c r="O78" s="167"/>
      <c r="P78" s="167"/>
      <c r="Q78" s="167"/>
      <c r="R78" s="167"/>
      <c r="S78" s="167"/>
    </row>
    <row r="79">
      <c r="A79" s="168">
        <v>45733.0</v>
      </c>
      <c r="B79" s="169" t="s">
        <v>5523</v>
      </c>
      <c r="C79" s="170" t="s">
        <v>5310</v>
      </c>
      <c r="D79" s="171" t="s">
        <v>5464</v>
      </c>
      <c r="E79" s="171">
        <v>200.0</v>
      </c>
      <c r="F79" s="69">
        <v>1.0</v>
      </c>
      <c r="G79" s="95" t="s">
        <v>5328</v>
      </c>
      <c r="H79" s="167"/>
      <c r="I79" s="167"/>
      <c r="J79" s="167"/>
      <c r="K79" s="167"/>
      <c r="L79" s="167"/>
      <c r="M79" s="167"/>
      <c r="N79" s="167"/>
      <c r="O79" s="167"/>
      <c r="P79" s="167"/>
      <c r="Q79" s="167"/>
      <c r="R79" s="167"/>
      <c r="S79" s="167"/>
    </row>
    <row r="80">
      <c r="A80" s="162">
        <v>45733.0</v>
      </c>
      <c r="B80" s="163" t="s">
        <v>5523</v>
      </c>
      <c r="C80" s="164" t="s">
        <v>5310</v>
      </c>
      <c r="D80" s="165" t="s">
        <v>5464</v>
      </c>
      <c r="E80" s="165">
        <v>200.0</v>
      </c>
      <c r="F80" s="63">
        <v>1.0</v>
      </c>
      <c r="G80" s="88" t="s">
        <v>5590</v>
      </c>
      <c r="H80" s="167"/>
      <c r="I80" s="167"/>
      <c r="J80" s="167"/>
      <c r="K80" s="167"/>
      <c r="L80" s="167"/>
      <c r="M80" s="167"/>
      <c r="N80" s="167"/>
      <c r="O80" s="167"/>
      <c r="P80" s="167"/>
      <c r="Q80" s="167"/>
      <c r="R80" s="167"/>
      <c r="S80" s="167"/>
    </row>
    <row r="81">
      <c r="A81" s="168">
        <v>45733.0</v>
      </c>
      <c r="B81" s="169" t="s">
        <v>5523</v>
      </c>
      <c r="C81" s="170" t="s">
        <v>5310</v>
      </c>
      <c r="D81" s="171" t="s">
        <v>5464</v>
      </c>
      <c r="E81" s="171">
        <v>200.0</v>
      </c>
      <c r="F81" s="69">
        <v>1.0</v>
      </c>
      <c r="G81" s="95" t="s">
        <v>5591</v>
      </c>
      <c r="H81" s="167"/>
      <c r="I81" s="167"/>
      <c r="J81" s="167"/>
      <c r="K81" s="167"/>
      <c r="L81" s="167"/>
      <c r="M81" s="167"/>
      <c r="N81" s="167"/>
      <c r="O81" s="167"/>
      <c r="P81" s="167"/>
      <c r="Q81" s="167"/>
      <c r="R81" s="167"/>
      <c r="S81" s="167"/>
    </row>
    <row r="82">
      <c r="A82" s="162">
        <v>45733.0</v>
      </c>
      <c r="B82" s="163" t="s">
        <v>5523</v>
      </c>
      <c r="C82" s="164" t="s">
        <v>5310</v>
      </c>
      <c r="D82" s="165" t="s">
        <v>5464</v>
      </c>
      <c r="E82" s="165">
        <v>200.0</v>
      </c>
      <c r="F82" s="63">
        <v>1.0</v>
      </c>
      <c r="G82" s="88" t="s">
        <v>5332</v>
      </c>
      <c r="H82" s="167"/>
      <c r="I82" s="167"/>
      <c r="J82" s="167"/>
      <c r="K82" s="167"/>
      <c r="L82" s="167"/>
      <c r="M82" s="167"/>
      <c r="N82" s="167"/>
      <c r="O82" s="167"/>
      <c r="P82" s="167"/>
      <c r="Q82" s="167"/>
      <c r="R82" s="167"/>
      <c r="S82" s="167"/>
    </row>
    <row r="83">
      <c r="A83" s="168">
        <v>45733.0</v>
      </c>
      <c r="B83" s="169" t="s">
        <v>5523</v>
      </c>
      <c r="C83" s="170" t="s">
        <v>5310</v>
      </c>
      <c r="D83" s="171" t="s">
        <v>5464</v>
      </c>
      <c r="E83" s="171">
        <v>200.0</v>
      </c>
      <c r="F83" s="69">
        <v>1.0</v>
      </c>
      <c r="G83" s="95" t="s">
        <v>5370</v>
      </c>
      <c r="H83" s="167"/>
      <c r="I83" s="167"/>
      <c r="J83" s="167"/>
      <c r="K83" s="167"/>
      <c r="L83" s="167"/>
      <c r="M83" s="167"/>
      <c r="N83" s="167"/>
      <c r="O83" s="167"/>
      <c r="P83" s="167"/>
      <c r="Q83" s="167"/>
      <c r="R83" s="167"/>
      <c r="S83" s="167"/>
    </row>
    <row r="84">
      <c r="A84" s="162">
        <v>45733.0</v>
      </c>
      <c r="B84" s="163" t="s">
        <v>5523</v>
      </c>
      <c r="C84" s="164" t="s">
        <v>5310</v>
      </c>
      <c r="D84" s="165" t="s">
        <v>5464</v>
      </c>
      <c r="E84" s="165">
        <v>200.0</v>
      </c>
      <c r="F84" s="63">
        <v>1.0</v>
      </c>
      <c r="G84" s="88" t="s">
        <v>5371</v>
      </c>
      <c r="H84" s="167"/>
      <c r="I84" s="167"/>
      <c r="J84" s="167"/>
      <c r="K84" s="167"/>
      <c r="L84" s="167"/>
      <c r="M84" s="167"/>
      <c r="N84" s="167"/>
      <c r="O84" s="167"/>
      <c r="P84" s="167"/>
      <c r="Q84" s="167"/>
      <c r="R84" s="167"/>
      <c r="S84" s="167"/>
    </row>
    <row r="85">
      <c r="A85" s="168">
        <v>45733.0</v>
      </c>
      <c r="B85" s="169" t="s">
        <v>5523</v>
      </c>
      <c r="C85" s="170" t="s">
        <v>5310</v>
      </c>
      <c r="D85" s="171" t="s">
        <v>5464</v>
      </c>
      <c r="E85" s="171">
        <v>200.0</v>
      </c>
      <c r="F85" s="69">
        <v>1.0</v>
      </c>
      <c r="G85" s="95" t="s">
        <v>5372</v>
      </c>
      <c r="H85" s="167"/>
      <c r="I85" s="167"/>
      <c r="J85" s="167"/>
      <c r="K85" s="167"/>
      <c r="L85" s="167"/>
      <c r="M85" s="167"/>
      <c r="N85" s="167"/>
      <c r="O85" s="167"/>
      <c r="P85" s="167"/>
      <c r="Q85" s="167"/>
      <c r="R85" s="167"/>
      <c r="S85" s="167"/>
    </row>
    <row r="86">
      <c r="A86" s="162">
        <v>45733.0</v>
      </c>
      <c r="B86" s="163" t="s">
        <v>5523</v>
      </c>
      <c r="C86" s="164" t="s">
        <v>5310</v>
      </c>
      <c r="D86" s="165" t="s">
        <v>5464</v>
      </c>
      <c r="E86" s="165">
        <v>200.0</v>
      </c>
      <c r="F86" s="63">
        <v>1.0</v>
      </c>
      <c r="G86" s="88" t="s">
        <v>5592</v>
      </c>
      <c r="H86" s="167"/>
      <c r="I86" s="167"/>
      <c r="J86" s="167"/>
      <c r="K86" s="167"/>
      <c r="L86" s="167"/>
      <c r="M86" s="167"/>
      <c r="N86" s="167"/>
      <c r="O86" s="167"/>
      <c r="P86" s="167"/>
      <c r="Q86" s="167"/>
      <c r="R86" s="167"/>
      <c r="S86" s="167"/>
    </row>
    <row r="87">
      <c r="A87" s="168">
        <v>45733.0</v>
      </c>
      <c r="B87" s="169" t="s">
        <v>5523</v>
      </c>
      <c r="C87" s="170" t="s">
        <v>5310</v>
      </c>
      <c r="D87" s="171" t="s">
        <v>5464</v>
      </c>
      <c r="E87" s="171">
        <v>200.0</v>
      </c>
      <c r="F87" s="69">
        <v>1.0</v>
      </c>
      <c r="G87" s="95" t="s">
        <v>5412</v>
      </c>
      <c r="H87" s="167"/>
      <c r="I87" s="167"/>
      <c r="J87" s="167"/>
      <c r="K87" s="167"/>
      <c r="L87" s="167"/>
      <c r="M87" s="167"/>
      <c r="N87" s="167"/>
      <c r="O87" s="167"/>
      <c r="P87" s="167"/>
      <c r="Q87" s="167"/>
      <c r="R87" s="167"/>
      <c r="S87" s="167"/>
    </row>
    <row r="88">
      <c r="A88" s="162">
        <v>45733.0</v>
      </c>
      <c r="B88" s="163" t="s">
        <v>5523</v>
      </c>
      <c r="C88" s="164" t="s">
        <v>5310</v>
      </c>
      <c r="D88" s="165" t="s">
        <v>5464</v>
      </c>
      <c r="E88" s="165">
        <v>200.0</v>
      </c>
      <c r="F88" s="63">
        <v>1.0</v>
      </c>
      <c r="G88" s="88" t="s">
        <v>5413</v>
      </c>
      <c r="H88" s="167"/>
      <c r="I88" s="167"/>
      <c r="J88" s="167"/>
      <c r="K88" s="167"/>
      <c r="L88" s="167"/>
      <c r="M88" s="167"/>
      <c r="N88" s="167"/>
      <c r="O88" s="167"/>
      <c r="P88" s="167"/>
      <c r="Q88" s="167"/>
      <c r="R88" s="167"/>
      <c r="S88" s="167"/>
    </row>
    <row r="89">
      <c r="A89" s="168">
        <v>45733.0</v>
      </c>
      <c r="B89" s="169" t="s">
        <v>5523</v>
      </c>
      <c r="C89" s="170">
        <v>692043.0</v>
      </c>
      <c r="D89" s="171" t="s">
        <v>224</v>
      </c>
      <c r="E89" s="171">
        <v>225.0</v>
      </c>
      <c r="F89" s="69">
        <v>1.0</v>
      </c>
      <c r="G89" s="95" t="s">
        <v>5385</v>
      </c>
      <c r="H89" s="167"/>
      <c r="I89" s="167"/>
      <c r="J89" s="167"/>
      <c r="K89" s="167"/>
      <c r="L89" s="167"/>
      <c r="M89" s="167"/>
      <c r="N89" s="167"/>
      <c r="O89" s="167"/>
      <c r="P89" s="167"/>
      <c r="Q89" s="167"/>
      <c r="R89" s="167"/>
      <c r="S89" s="167"/>
    </row>
    <row r="90">
      <c r="A90" s="162">
        <v>45733.0</v>
      </c>
      <c r="B90" s="163" t="s">
        <v>5523</v>
      </c>
      <c r="C90" s="164" t="s">
        <v>5310</v>
      </c>
      <c r="D90" s="165" t="s">
        <v>5464</v>
      </c>
      <c r="E90" s="165">
        <v>275.0</v>
      </c>
      <c r="F90" s="63">
        <v>1.0</v>
      </c>
      <c r="G90" s="88" t="s">
        <v>5593</v>
      </c>
      <c r="H90" s="167"/>
      <c r="I90" s="167"/>
      <c r="J90" s="167"/>
      <c r="K90" s="167"/>
      <c r="L90" s="167"/>
      <c r="M90" s="167"/>
      <c r="N90" s="167"/>
      <c r="O90" s="167"/>
      <c r="P90" s="167"/>
      <c r="Q90" s="167"/>
      <c r="R90" s="167"/>
      <c r="S90" s="167"/>
    </row>
    <row r="91">
      <c r="A91" s="168">
        <v>45733.0</v>
      </c>
      <c r="B91" s="169" t="s">
        <v>5523</v>
      </c>
      <c r="C91" s="170">
        <v>692043.0</v>
      </c>
      <c r="D91" s="171" t="s">
        <v>224</v>
      </c>
      <c r="E91" s="171">
        <v>225.0</v>
      </c>
      <c r="F91" s="69">
        <v>1.0</v>
      </c>
      <c r="G91" s="95" t="s">
        <v>5594</v>
      </c>
      <c r="H91" s="167"/>
      <c r="I91" s="167"/>
      <c r="J91" s="167"/>
      <c r="K91" s="167"/>
      <c r="L91" s="167"/>
      <c r="M91" s="167"/>
      <c r="N91" s="167"/>
      <c r="O91" s="167"/>
      <c r="P91" s="167"/>
      <c r="Q91" s="167"/>
      <c r="R91" s="167"/>
      <c r="S91" s="167"/>
    </row>
    <row r="92">
      <c r="A92" s="162">
        <v>45733.0</v>
      </c>
      <c r="B92" s="163" t="s">
        <v>5523</v>
      </c>
      <c r="C92" s="164">
        <v>692043.0</v>
      </c>
      <c r="D92" s="165" t="s">
        <v>224</v>
      </c>
      <c r="E92" s="165">
        <v>225.0</v>
      </c>
      <c r="F92" s="63">
        <v>1.0</v>
      </c>
      <c r="G92" s="88" t="s">
        <v>5595</v>
      </c>
      <c r="H92" s="167"/>
      <c r="I92" s="167"/>
      <c r="J92" s="167"/>
      <c r="K92" s="167"/>
      <c r="L92" s="167"/>
      <c r="M92" s="167"/>
      <c r="N92" s="167"/>
      <c r="O92" s="167"/>
      <c r="P92" s="167"/>
      <c r="Q92" s="167"/>
      <c r="R92" s="167"/>
      <c r="S92" s="167"/>
    </row>
    <row r="93">
      <c r="A93" s="168">
        <v>45733.0</v>
      </c>
      <c r="B93" s="169" t="s">
        <v>5523</v>
      </c>
      <c r="C93" s="170">
        <v>692043.0</v>
      </c>
      <c r="D93" s="171" t="s">
        <v>224</v>
      </c>
      <c r="E93" s="171">
        <v>225.0</v>
      </c>
      <c r="F93" s="69">
        <v>1.0</v>
      </c>
      <c r="G93" s="95" t="s">
        <v>5596</v>
      </c>
      <c r="H93" s="167"/>
      <c r="I93" s="167"/>
      <c r="J93" s="167"/>
      <c r="K93" s="167"/>
      <c r="L93" s="167"/>
      <c r="M93" s="167"/>
      <c r="N93" s="167"/>
      <c r="O93" s="167"/>
      <c r="P93" s="167"/>
      <c r="Q93" s="167"/>
      <c r="R93" s="167"/>
      <c r="S93" s="167"/>
    </row>
    <row r="94">
      <c r="A94" s="162">
        <v>45733.0</v>
      </c>
      <c r="B94" s="163" t="s">
        <v>5523</v>
      </c>
      <c r="C94" s="164">
        <v>692043.0</v>
      </c>
      <c r="D94" s="165" t="s">
        <v>224</v>
      </c>
      <c r="E94" s="165">
        <v>225.0</v>
      </c>
      <c r="F94" s="63">
        <v>1.0</v>
      </c>
      <c r="G94" s="88" t="s">
        <v>5597</v>
      </c>
      <c r="H94" s="167"/>
      <c r="I94" s="167"/>
      <c r="J94" s="167"/>
      <c r="K94" s="167"/>
      <c r="L94" s="167"/>
      <c r="M94" s="167"/>
      <c r="N94" s="167"/>
      <c r="O94" s="167"/>
      <c r="P94" s="167"/>
      <c r="Q94" s="167"/>
      <c r="R94" s="167"/>
      <c r="S94" s="167"/>
    </row>
    <row r="95">
      <c r="A95" s="168">
        <v>45733.0</v>
      </c>
      <c r="B95" s="169" t="s">
        <v>5523</v>
      </c>
      <c r="C95" s="170">
        <v>692043.0</v>
      </c>
      <c r="D95" s="171" t="s">
        <v>224</v>
      </c>
      <c r="E95" s="171">
        <v>300.0</v>
      </c>
      <c r="F95" s="69">
        <v>1.0</v>
      </c>
      <c r="G95" s="95" t="s">
        <v>5598</v>
      </c>
      <c r="H95" s="167"/>
      <c r="I95" s="167"/>
      <c r="J95" s="167"/>
      <c r="K95" s="167"/>
      <c r="L95" s="167"/>
      <c r="M95" s="167"/>
      <c r="N95" s="167"/>
      <c r="O95" s="167"/>
      <c r="P95" s="167"/>
      <c r="Q95" s="167"/>
      <c r="R95" s="167"/>
      <c r="S95" s="167"/>
    </row>
    <row r="96">
      <c r="A96" s="162">
        <v>45733.0</v>
      </c>
      <c r="B96" s="163" t="s">
        <v>5523</v>
      </c>
      <c r="C96" s="164" t="s">
        <v>5310</v>
      </c>
      <c r="D96" s="165" t="s">
        <v>5464</v>
      </c>
      <c r="E96" s="165">
        <v>325.0</v>
      </c>
      <c r="F96" s="63">
        <v>1.0</v>
      </c>
      <c r="G96" s="88" t="s">
        <v>5599</v>
      </c>
      <c r="H96" s="167"/>
      <c r="I96" s="167"/>
      <c r="J96" s="167"/>
      <c r="K96" s="167"/>
      <c r="L96" s="167"/>
      <c r="M96" s="167"/>
      <c r="N96" s="167"/>
      <c r="O96" s="167"/>
      <c r="P96" s="167"/>
      <c r="Q96" s="167"/>
      <c r="R96" s="167"/>
      <c r="S96" s="167"/>
    </row>
    <row r="97">
      <c r="A97" s="168">
        <v>45733.0</v>
      </c>
      <c r="B97" s="169" t="s">
        <v>5523</v>
      </c>
      <c r="C97" s="170" t="s">
        <v>5310</v>
      </c>
      <c r="D97" s="171" t="s">
        <v>5464</v>
      </c>
      <c r="E97" s="171">
        <v>325.0</v>
      </c>
      <c r="F97" s="69">
        <v>1.0</v>
      </c>
      <c r="G97" s="95" t="s">
        <v>5600</v>
      </c>
      <c r="H97" s="167"/>
      <c r="I97" s="167"/>
      <c r="J97" s="167"/>
      <c r="K97" s="167"/>
      <c r="L97" s="167"/>
      <c r="M97" s="167"/>
      <c r="N97" s="167"/>
      <c r="O97" s="167"/>
      <c r="P97" s="167"/>
      <c r="Q97" s="167"/>
      <c r="R97" s="167"/>
      <c r="S97" s="167"/>
    </row>
    <row r="98">
      <c r="A98" s="162">
        <v>45733.0</v>
      </c>
      <c r="B98" s="163" t="s">
        <v>5523</v>
      </c>
      <c r="C98" s="164" t="s">
        <v>5310</v>
      </c>
      <c r="D98" s="165" t="s">
        <v>5464</v>
      </c>
      <c r="E98" s="165">
        <v>325.0</v>
      </c>
      <c r="F98" s="63">
        <v>1.0</v>
      </c>
      <c r="G98" s="88" t="s">
        <v>5601</v>
      </c>
      <c r="H98" s="167"/>
      <c r="I98" s="167"/>
      <c r="J98" s="167"/>
      <c r="K98" s="167"/>
      <c r="L98" s="167"/>
      <c r="M98" s="167"/>
      <c r="N98" s="167"/>
      <c r="O98" s="167"/>
      <c r="P98" s="167"/>
      <c r="Q98" s="167"/>
      <c r="R98" s="167"/>
      <c r="S98" s="167"/>
    </row>
    <row r="99">
      <c r="A99" s="168">
        <v>45733.0</v>
      </c>
      <c r="B99" s="169" t="s">
        <v>5523</v>
      </c>
      <c r="C99" s="170" t="s">
        <v>5333</v>
      </c>
      <c r="D99" s="171" t="s">
        <v>5334</v>
      </c>
      <c r="E99" s="171">
        <v>2868.0</v>
      </c>
      <c r="F99" s="69">
        <v>1.0</v>
      </c>
      <c r="G99" s="95" t="s">
        <v>5602</v>
      </c>
      <c r="H99" s="167"/>
      <c r="I99" s="167"/>
      <c r="J99" s="167"/>
      <c r="K99" s="167"/>
      <c r="L99" s="167"/>
      <c r="M99" s="167"/>
      <c r="N99" s="167"/>
      <c r="O99" s="167"/>
      <c r="P99" s="167"/>
      <c r="Q99" s="167"/>
      <c r="R99" s="167"/>
      <c r="S99" s="167"/>
    </row>
    <row r="100">
      <c r="A100" s="162">
        <v>45733.0</v>
      </c>
      <c r="B100" s="163" t="s">
        <v>5523</v>
      </c>
      <c r="C100" s="164" t="s">
        <v>5333</v>
      </c>
      <c r="D100" s="165" t="s">
        <v>5334</v>
      </c>
      <c r="E100" s="165">
        <v>1500.0</v>
      </c>
      <c r="F100" s="63">
        <v>1.0</v>
      </c>
      <c r="G100" s="88" t="s">
        <v>5603</v>
      </c>
      <c r="H100" s="167"/>
      <c r="I100" s="167"/>
      <c r="J100" s="167"/>
      <c r="K100" s="167"/>
      <c r="L100" s="167"/>
      <c r="M100" s="167"/>
      <c r="N100" s="167"/>
      <c r="O100" s="167"/>
      <c r="P100" s="167"/>
      <c r="Q100" s="167"/>
      <c r="R100" s="167"/>
      <c r="S100" s="167"/>
    </row>
    <row r="101">
      <c r="A101" s="168">
        <v>45733.0</v>
      </c>
      <c r="B101" s="169" t="s">
        <v>5523</v>
      </c>
      <c r="C101" s="170">
        <v>692425.0</v>
      </c>
      <c r="D101" s="171" t="s">
        <v>239</v>
      </c>
      <c r="E101" s="171">
        <v>700.0</v>
      </c>
      <c r="F101" s="69">
        <v>1.0</v>
      </c>
      <c r="G101" s="95" t="s">
        <v>5341</v>
      </c>
      <c r="H101" s="167"/>
      <c r="I101" s="167"/>
      <c r="J101" s="167"/>
      <c r="K101" s="167"/>
      <c r="L101" s="167"/>
      <c r="M101" s="167"/>
      <c r="N101" s="167"/>
      <c r="O101" s="167"/>
      <c r="P101" s="167"/>
      <c r="Q101" s="167"/>
      <c r="R101" s="167"/>
      <c r="S101" s="167"/>
    </row>
    <row r="102">
      <c r="A102" s="162">
        <v>45733.0</v>
      </c>
      <c r="B102" s="163" t="s">
        <v>5523</v>
      </c>
      <c r="C102" s="164" t="s">
        <v>5310</v>
      </c>
      <c r="D102" s="165" t="s">
        <v>5464</v>
      </c>
      <c r="E102" s="165">
        <v>200.0</v>
      </c>
      <c r="F102" s="63">
        <v>1.0</v>
      </c>
      <c r="G102" s="88" t="s">
        <v>5420</v>
      </c>
      <c r="H102" s="167"/>
      <c r="I102" s="167"/>
      <c r="J102" s="167"/>
      <c r="K102" s="167"/>
      <c r="L102" s="167"/>
      <c r="M102" s="167"/>
      <c r="N102" s="167"/>
      <c r="O102" s="167"/>
      <c r="P102" s="167"/>
      <c r="Q102" s="167"/>
      <c r="R102" s="167"/>
      <c r="S102" s="167"/>
    </row>
    <row r="103">
      <c r="A103" s="168">
        <v>45733.0</v>
      </c>
      <c r="B103" s="169" t="s">
        <v>5523</v>
      </c>
      <c r="C103" s="170" t="s">
        <v>5333</v>
      </c>
      <c r="D103" s="171" t="s">
        <v>5604</v>
      </c>
      <c r="E103" s="171">
        <v>1960.0</v>
      </c>
      <c r="F103" s="69">
        <v>1.0</v>
      </c>
      <c r="G103" s="95" t="s">
        <v>5421</v>
      </c>
      <c r="H103" s="167"/>
      <c r="I103" s="167"/>
      <c r="J103" s="167"/>
      <c r="K103" s="167"/>
      <c r="L103" s="167"/>
      <c r="M103" s="167"/>
      <c r="N103" s="167"/>
      <c r="O103" s="167"/>
      <c r="P103" s="167"/>
      <c r="Q103" s="167"/>
      <c r="R103" s="167"/>
      <c r="S103" s="167"/>
    </row>
    <row r="104">
      <c r="A104" s="162">
        <v>45733.0</v>
      </c>
      <c r="B104" s="163" t="s">
        <v>5523</v>
      </c>
      <c r="C104" s="174" t="s">
        <v>1377</v>
      </c>
      <c r="D104" s="165" t="s">
        <v>1378</v>
      </c>
      <c r="E104" s="165">
        <v>12.0</v>
      </c>
      <c r="F104" s="63">
        <v>1.0</v>
      </c>
      <c r="G104" s="166" t="s">
        <v>5391</v>
      </c>
      <c r="H104" s="167"/>
      <c r="I104" s="167"/>
      <c r="J104" s="167"/>
      <c r="K104" s="167"/>
      <c r="L104" s="167"/>
      <c r="M104" s="167"/>
      <c r="N104" s="167"/>
      <c r="O104" s="167"/>
      <c r="P104" s="167"/>
      <c r="Q104" s="167"/>
      <c r="R104" s="167"/>
      <c r="S104" s="167"/>
    </row>
    <row r="105">
      <c r="A105" s="168">
        <v>45733.0</v>
      </c>
      <c r="B105" s="169" t="s">
        <v>5523</v>
      </c>
      <c r="C105" s="173" t="s">
        <v>1377</v>
      </c>
      <c r="D105" s="171" t="s">
        <v>1378</v>
      </c>
      <c r="E105" s="171">
        <v>12.0</v>
      </c>
      <c r="F105" s="69">
        <v>1.0</v>
      </c>
      <c r="G105" s="172" t="s">
        <v>5392</v>
      </c>
      <c r="H105" s="167"/>
      <c r="I105" s="167"/>
      <c r="J105" s="167"/>
      <c r="K105" s="167"/>
      <c r="L105" s="167"/>
      <c r="M105" s="167"/>
      <c r="N105" s="167"/>
      <c r="O105" s="167"/>
      <c r="P105" s="167"/>
      <c r="Q105" s="167"/>
      <c r="R105" s="167"/>
      <c r="S105" s="167"/>
    </row>
    <row r="106">
      <c r="A106" s="162">
        <v>45733.0</v>
      </c>
      <c r="B106" s="163" t="s">
        <v>5523</v>
      </c>
      <c r="C106" s="174" t="s">
        <v>1377</v>
      </c>
      <c r="D106" s="165" t="s">
        <v>1378</v>
      </c>
      <c r="E106" s="165">
        <v>12.0</v>
      </c>
      <c r="F106" s="63">
        <v>1.0</v>
      </c>
      <c r="G106" s="166" t="s">
        <v>5393</v>
      </c>
      <c r="H106" s="167"/>
      <c r="I106" s="167"/>
      <c r="J106" s="167"/>
      <c r="K106" s="167"/>
      <c r="L106" s="167"/>
      <c r="M106" s="167"/>
      <c r="N106" s="167"/>
      <c r="O106" s="167"/>
      <c r="P106" s="167"/>
      <c r="Q106" s="167"/>
      <c r="R106" s="167"/>
      <c r="S106" s="167"/>
    </row>
    <row r="107">
      <c r="A107" s="168">
        <v>45733.0</v>
      </c>
      <c r="B107" s="169" t="s">
        <v>5523</v>
      </c>
      <c r="C107" s="173" t="s">
        <v>1377</v>
      </c>
      <c r="D107" s="171" t="s">
        <v>1378</v>
      </c>
      <c r="E107" s="171">
        <v>12.0</v>
      </c>
      <c r="F107" s="69">
        <v>1.0</v>
      </c>
      <c r="G107" s="172" t="s">
        <v>5394</v>
      </c>
      <c r="H107" s="167"/>
      <c r="I107" s="167"/>
      <c r="J107" s="167"/>
      <c r="K107" s="167"/>
      <c r="L107" s="167"/>
      <c r="M107" s="167"/>
      <c r="N107" s="167"/>
      <c r="O107" s="167"/>
      <c r="P107" s="167"/>
      <c r="Q107" s="167"/>
      <c r="R107" s="167"/>
      <c r="S107" s="167"/>
    </row>
    <row r="108">
      <c r="A108" s="162">
        <v>45733.0</v>
      </c>
      <c r="B108" s="163" t="s">
        <v>5523</v>
      </c>
      <c r="C108" s="174" t="s">
        <v>1377</v>
      </c>
      <c r="D108" s="165" t="s">
        <v>1378</v>
      </c>
      <c r="E108" s="165">
        <v>12.0</v>
      </c>
      <c r="F108" s="63">
        <v>1.0</v>
      </c>
      <c r="G108" s="166" t="s">
        <v>5395</v>
      </c>
      <c r="H108" s="167"/>
      <c r="I108" s="167"/>
      <c r="J108" s="167"/>
      <c r="K108" s="167"/>
      <c r="L108" s="167"/>
      <c r="M108" s="167"/>
      <c r="N108" s="167"/>
      <c r="O108" s="167"/>
      <c r="P108" s="167"/>
      <c r="Q108" s="167"/>
      <c r="R108" s="167"/>
      <c r="S108" s="167"/>
    </row>
    <row r="109">
      <c r="A109" s="168">
        <v>45733.0</v>
      </c>
      <c r="B109" s="169" t="s">
        <v>5523</v>
      </c>
      <c r="C109" s="170">
        <v>692425.0</v>
      </c>
      <c r="D109" s="171" t="s">
        <v>239</v>
      </c>
      <c r="E109" s="171">
        <v>700.0</v>
      </c>
      <c r="F109" s="69">
        <v>1.0</v>
      </c>
      <c r="G109" s="95" t="s">
        <v>5343</v>
      </c>
      <c r="H109" s="167"/>
      <c r="I109" s="167"/>
      <c r="J109" s="167"/>
      <c r="K109" s="167"/>
      <c r="L109" s="167"/>
      <c r="M109" s="167"/>
      <c r="N109" s="167"/>
      <c r="O109" s="167"/>
      <c r="P109" s="167"/>
      <c r="Q109" s="167"/>
      <c r="R109" s="167"/>
      <c r="S109" s="167"/>
    </row>
    <row r="110">
      <c r="A110" s="162">
        <v>45733.0</v>
      </c>
      <c r="B110" s="163" t="s">
        <v>5523</v>
      </c>
      <c r="C110" s="164">
        <v>692425.0</v>
      </c>
      <c r="D110" s="165" t="s">
        <v>239</v>
      </c>
      <c r="E110" s="165">
        <v>700.0</v>
      </c>
      <c r="F110" s="63">
        <v>1.0</v>
      </c>
      <c r="G110" s="88" t="s">
        <v>5339</v>
      </c>
      <c r="H110" s="167"/>
      <c r="I110" s="167"/>
      <c r="J110" s="167"/>
      <c r="K110" s="167"/>
      <c r="L110" s="167"/>
      <c r="M110" s="167"/>
      <c r="N110" s="167"/>
      <c r="O110" s="167"/>
      <c r="P110" s="167"/>
      <c r="Q110" s="167"/>
      <c r="R110" s="167"/>
      <c r="S110" s="167"/>
    </row>
    <row r="111">
      <c r="A111" s="168">
        <v>45733.0</v>
      </c>
      <c r="B111" s="169" t="s">
        <v>5523</v>
      </c>
      <c r="C111" s="170">
        <v>692425.0</v>
      </c>
      <c r="D111" s="171" t="s">
        <v>239</v>
      </c>
      <c r="E111" s="171">
        <v>700.0</v>
      </c>
      <c r="F111" s="69">
        <v>1.0</v>
      </c>
      <c r="G111" s="95" t="s">
        <v>5337</v>
      </c>
      <c r="H111" s="167"/>
      <c r="I111" s="167"/>
      <c r="J111" s="167"/>
      <c r="K111" s="167"/>
      <c r="L111" s="167"/>
      <c r="M111" s="167"/>
      <c r="N111" s="167"/>
      <c r="O111" s="167"/>
      <c r="P111" s="167"/>
      <c r="Q111" s="167"/>
      <c r="R111" s="167"/>
      <c r="S111" s="167"/>
    </row>
    <row r="112">
      <c r="A112" s="162">
        <v>45733.0</v>
      </c>
      <c r="B112" s="163" t="s">
        <v>5523</v>
      </c>
      <c r="C112" s="164">
        <v>692425.0</v>
      </c>
      <c r="D112" s="165" t="s">
        <v>239</v>
      </c>
      <c r="E112" s="165">
        <v>400.0</v>
      </c>
      <c r="F112" s="63">
        <v>1.0</v>
      </c>
      <c r="G112" s="88" t="s">
        <v>5336</v>
      </c>
      <c r="H112" s="167"/>
      <c r="I112" s="167"/>
      <c r="J112" s="167"/>
      <c r="K112" s="167"/>
      <c r="L112" s="167"/>
      <c r="M112" s="167"/>
      <c r="N112" s="167"/>
      <c r="O112" s="167"/>
      <c r="P112" s="167"/>
      <c r="Q112" s="167"/>
      <c r="R112" s="167"/>
      <c r="S112" s="167"/>
    </row>
    <row r="113">
      <c r="A113" s="168">
        <v>45733.0</v>
      </c>
      <c r="B113" s="169" t="s">
        <v>5523</v>
      </c>
      <c r="C113" s="170">
        <v>692012.0</v>
      </c>
      <c r="D113" s="171" t="s">
        <v>212</v>
      </c>
      <c r="E113" s="171">
        <v>150.0</v>
      </c>
      <c r="F113" s="69">
        <v>1.0</v>
      </c>
      <c r="G113" s="95" t="s">
        <v>5322</v>
      </c>
      <c r="H113" s="167"/>
      <c r="I113" s="167"/>
      <c r="J113" s="167"/>
      <c r="K113" s="167"/>
      <c r="L113" s="167"/>
      <c r="M113" s="167"/>
      <c r="N113" s="167"/>
      <c r="O113" s="167"/>
      <c r="P113" s="167"/>
      <c r="Q113" s="167"/>
      <c r="R113" s="167"/>
      <c r="S113" s="167"/>
    </row>
    <row r="114">
      <c r="A114" s="162">
        <v>45733.0</v>
      </c>
      <c r="B114" s="163" t="s">
        <v>5523</v>
      </c>
      <c r="C114" s="164" t="s">
        <v>5310</v>
      </c>
      <c r="D114" s="165" t="s">
        <v>5464</v>
      </c>
      <c r="E114" s="165">
        <v>200.0</v>
      </c>
      <c r="F114" s="63">
        <v>1.0</v>
      </c>
      <c r="G114" s="88" t="s">
        <v>5605</v>
      </c>
      <c r="H114" s="167"/>
      <c r="I114" s="167"/>
      <c r="J114" s="167"/>
      <c r="K114" s="167"/>
      <c r="L114" s="167"/>
      <c r="M114" s="167"/>
      <c r="N114" s="167"/>
      <c r="O114" s="167"/>
      <c r="P114" s="167"/>
      <c r="Q114" s="167"/>
      <c r="R114" s="167"/>
      <c r="S114" s="167"/>
    </row>
    <row r="115">
      <c r="A115" s="168">
        <v>45733.0</v>
      </c>
      <c r="B115" s="169" t="s">
        <v>5523</v>
      </c>
      <c r="C115" s="170" t="s">
        <v>5310</v>
      </c>
      <c r="D115" s="171" t="s">
        <v>5464</v>
      </c>
      <c r="E115" s="171">
        <v>200.0</v>
      </c>
      <c r="F115" s="69">
        <v>1.0</v>
      </c>
      <c r="G115" s="95" t="s">
        <v>5606</v>
      </c>
      <c r="H115" s="167"/>
      <c r="I115" s="167"/>
      <c r="J115" s="167"/>
      <c r="K115" s="167"/>
      <c r="L115" s="167"/>
      <c r="M115" s="167"/>
      <c r="N115" s="167"/>
      <c r="O115" s="167"/>
      <c r="P115" s="167"/>
      <c r="Q115" s="167"/>
      <c r="R115" s="167"/>
      <c r="S115" s="167"/>
    </row>
    <row r="116">
      <c r="A116" s="162">
        <v>45733.0</v>
      </c>
      <c r="B116" s="163" t="s">
        <v>5523</v>
      </c>
      <c r="C116" s="164" t="s">
        <v>5310</v>
      </c>
      <c r="D116" s="165" t="s">
        <v>5464</v>
      </c>
      <c r="E116" s="165">
        <v>200.0</v>
      </c>
      <c r="F116" s="63">
        <v>1.0</v>
      </c>
      <c r="G116" s="88" t="s">
        <v>5607</v>
      </c>
      <c r="H116" s="167"/>
      <c r="I116" s="167"/>
      <c r="J116" s="167"/>
      <c r="K116" s="167"/>
      <c r="L116" s="167"/>
      <c r="M116" s="167"/>
      <c r="N116" s="167"/>
      <c r="O116" s="167"/>
      <c r="P116" s="167"/>
      <c r="Q116" s="167"/>
      <c r="R116" s="167"/>
      <c r="S116" s="167"/>
    </row>
    <row r="117">
      <c r="A117" s="168">
        <v>45733.0</v>
      </c>
      <c r="B117" s="169" t="s">
        <v>5523</v>
      </c>
      <c r="C117" s="170">
        <v>600536.0</v>
      </c>
      <c r="D117" s="171" t="s">
        <v>5608</v>
      </c>
      <c r="E117" s="171">
        <v>395.0</v>
      </c>
      <c r="F117" s="69">
        <v>1.0</v>
      </c>
      <c r="G117" s="95" t="s">
        <v>5418</v>
      </c>
      <c r="H117" s="167"/>
      <c r="I117" s="167"/>
      <c r="J117" s="167"/>
      <c r="K117" s="167"/>
      <c r="L117" s="167"/>
      <c r="M117" s="167"/>
      <c r="N117" s="167"/>
      <c r="O117" s="167"/>
      <c r="P117" s="167"/>
      <c r="Q117" s="167"/>
      <c r="R117" s="167"/>
      <c r="S117" s="167"/>
    </row>
    <row r="118">
      <c r="A118" s="162">
        <v>45737.0</v>
      </c>
      <c r="B118" s="163">
        <v>6053.0</v>
      </c>
      <c r="C118" s="164" t="s">
        <v>5317</v>
      </c>
      <c r="D118" s="165" t="s">
        <v>5318</v>
      </c>
      <c r="E118" s="165">
        <v>350.0</v>
      </c>
      <c r="F118" s="63">
        <v>1.0</v>
      </c>
      <c r="G118" s="88" t="s">
        <v>5319</v>
      </c>
      <c r="H118" s="167"/>
      <c r="I118" s="167"/>
      <c r="J118" s="167"/>
      <c r="K118" s="167"/>
      <c r="L118" s="167"/>
      <c r="M118" s="167"/>
      <c r="N118" s="167"/>
      <c r="O118" s="167"/>
      <c r="P118" s="167"/>
      <c r="Q118" s="167"/>
      <c r="R118" s="167"/>
      <c r="S118" s="167"/>
    </row>
    <row r="119">
      <c r="A119" s="168">
        <v>45737.0</v>
      </c>
      <c r="B119" s="169">
        <v>6053.0</v>
      </c>
      <c r="C119" s="170" t="s">
        <v>5317</v>
      </c>
      <c r="D119" s="171" t="s">
        <v>5318</v>
      </c>
      <c r="E119" s="171">
        <v>350.0</v>
      </c>
      <c r="F119" s="69">
        <v>1.0</v>
      </c>
      <c r="G119" s="95" t="s">
        <v>5316</v>
      </c>
      <c r="H119" s="167"/>
      <c r="I119" s="167"/>
      <c r="J119" s="167"/>
      <c r="K119" s="167"/>
      <c r="L119" s="167"/>
      <c r="M119" s="167"/>
      <c r="N119" s="167"/>
      <c r="O119" s="167"/>
      <c r="P119" s="167"/>
      <c r="Q119" s="167"/>
      <c r="R119" s="167"/>
      <c r="S119" s="167"/>
    </row>
    <row r="120">
      <c r="A120" s="162">
        <v>45737.0</v>
      </c>
      <c r="B120" s="163">
        <v>6053.0</v>
      </c>
      <c r="C120" s="164" t="s">
        <v>5317</v>
      </c>
      <c r="D120" s="165" t="s">
        <v>5318</v>
      </c>
      <c r="E120" s="165">
        <v>350.0</v>
      </c>
      <c r="F120" s="63">
        <v>1.0</v>
      </c>
      <c r="G120" s="88" t="s">
        <v>5346</v>
      </c>
      <c r="H120" s="167"/>
      <c r="I120" s="167"/>
      <c r="J120" s="167"/>
      <c r="K120" s="167"/>
      <c r="L120" s="167"/>
      <c r="M120" s="167"/>
      <c r="N120" s="167"/>
      <c r="O120" s="167"/>
      <c r="P120" s="167"/>
      <c r="Q120" s="167"/>
      <c r="R120" s="167"/>
      <c r="S120" s="167"/>
    </row>
    <row r="121">
      <c r="A121" s="168">
        <v>45737.0</v>
      </c>
      <c r="B121" s="169">
        <v>6053.0</v>
      </c>
      <c r="C121" s="170" t="s">
        <v>5351</v>
      </c>
      <c r="D121" s="171" t="s">
        <v>5352</v>
      </c>
      <c r="E121" s="171">
        <v>400.0</v>
      </c>
      <c r="F121" s="69">
        <v>1.0</v>
      </c>
      <c r="G121" s="95" t="s">
        <v>5350</v>
      </c>
      <c r="H121" s="167"/>
      <c r="I121" s="167"/>
      <c r="J121" s="167"/>
      <c r="K121" s="167"/>
      <c r="L121" s="167"/>
      <c r="M121" s="167"/>
      <c r="N121" s="167"/>
      <c r="O121" s="167"/>
      <c r="P121" s="167"/>
      <c r="Q121" s="167"/>
      <c r="R121" s="167"/>
      <c r="S121" s="167"/>
    </row>
    <row r="122">
      <c r="A122" s="162">
        <v>45737.0</v>
      </c>
      <c r="B122" s="163">
        <v>6053.0</v>
      </c>
      <c r="C122" s="164" t="s">
        <v>5351</v>
      </c>
      <c r="D122" s="165" t="s">
        <v>5352</v>
      </c>
      <c r="E122" s="165">
        <v>400.0</v>
      </c>
      <c r="F122" s="63">
        <v>1.0</v>
      </c>
      <c r="G122" s="88" t="s">
        <v>5609</v>
      </c>
      <c r="H122" s="167"/>
      <c r="I122" s="167"/>
      <c r="J122" s="167"/>
      <c r="K122" s="167"/>
      <c r="L122" s="167"/>
      <c r="M122" s="167"/>
      <c r="N122" s="167"/>
      <c r="O122" s="167"/>
      <c r="P122" s="167"/>
      <c r="Q122" s="167"/>
      <c r="R122" s="167"/>
      <c r="S122" s="167"/>
    </row>
    <row r="123">
      <c r="A123" s="168">
        <v>45737.0</v>
      </c>
      <c r="B123" s="169">
        <v>6053.0</v>
      </c>
      <c r="C123" s="170" t="s">
        <v>5351</v>
      </c>
      <c r="D123" s="171" t="s">
        <v>5352</v>
      </c>
      <c r="E123" s="171">
        <v>400.0</v>
      </c>
      <c r="F123" s="69">
        <v>1.0</v>
      </c>
      <c r="G123" s="95" t="s">
        <v>5610</v>
      </c>
      <c r="H123" s="167"/>
      <c r="I123" s="167"/>
      <c r="J123" s="167"/>
      <c r="K123" s="167"/>
      <c r="L123" s="167"/>
      <c r="M123" s="167"/>
      <c r="N123" s="167"/>
      <c r="O123" s="167"/>
      <c r="P123" s="167"/>
      <c r="Q123" s="167"/>
      <c r="R123" s="167"/>
      <c r="S123" s="167"/>
    </row>
    <row r="124">
      <c r="A124" s="162">
        <v>45737.0</v>
      </c>
      <c r="B124" s="163">
        <v>6053.0</v>
      </c>
      <c r="C124" s="164" t="s">
        <v>5351</v>
      </c>
      <c r="D124" s="165" t="s">
        <v>5352</v>
      </c>
      <c r="E124" s="165">
        <v>400.0</v>
      </c>
      <c r="F124" s="63">
        <v>1.0</v>
      </c>
      <c r="G124" s="88" t="s">
        <v>5611</v>
      </c>
      <c r="H124" s="167"/>
      <c r="I124" s="167"/>
      <c r="J124" s="167"/>
      <c r="K124" s="167"/>
      <c r="L124" s="167"/>
      <c r="M124" s="167"/>
      <c r="N124" s="167"/>
      <c r="O124" s="167"/>
      <c r="P124" s="167"/>
      <c r="Q124" s="167"/>
      <c r="R124" s="167"/>
      <c r="S124" s="167"/>
    </row>
    <row r="125">
      <c r="A125" s="168">
        <v>45737.0</v>
      </c>
      <c r="B125" s="169">
        <v>6053.0</v>
      </c>
      <c r="C125" s="170" t="s">
        <v>5317</v>
      </c>
      <c r="D125" s="171" t="s">
        <v>5318</v>
      </c>
      <c r="E125" s="171">
        <v>415.0</v>
      </c>
      <c r="F125" s="69">
        <v>1.0</v>
      </c>
      <c r="G125" s="95" t="s">
        <v>5612</v>
      </c>
      <c r="H125" s="167"/>
      <c r="I125" s="167"/>
      <c r="J125" s="167"/>
      <c r="K125" s="167"/>
      <c r="L125" s="167"/>
      <c r="M125" s="167"/>
      <c r="N125" s="167"/>
      <c r="O125" s="167"/>
      <c r="P125" s="167"/>
      <c r="Q125" s="167"/>
      <c r="R125" s="167"/>
      <c r="S125" s="167"/>
    </row>
    <row r="126">
      <c r="A126" s="162">
        <v>45737.0</v>
      </c>
      <c r="B126" s="163">
        <v>6053.0</v>
      </c>
      <c r="C126" s="164" t="s">
        <v>5317</v>
      </c>
      <c r="D126" s="165" t="s">
        <v>5318</v>
      </c>
      <c r="E126" s="165">
        <v>350.0</v>
      </c>
      <c r="F126" s="63">
        <v>1.0</v>
      </c>
      <c r="G126" s="88" t="s">
        <v>5613</v>
      </c>
      <c r="H126" s="167"/>
      <c r="I126" s="167"/>
      <c r="J126" s="167"/>
      <c r="K126" s="167"/>
      <c r="L126" s="167"/>
      <c r="M126" s="167"/>
      <c r="N126" s="167"/>
      <c r="O126" s="167"/>
      <c r="P126" s="167"/>
      <c r="Q126" s="167"/>
      <c r="R126" s="167"/>
      <c r="S126" s="167"/>
    </row>
    <row r="127">
      <c r="A127" s="168">
        <v>45737.0</v>
      </c>
      <c r="B127" s="169">
        <v>6053.0</v>
      </c>
      <c r="C127" s="170" t="s">
        <v>5317</v>
      </c>
      <c r="D127" s="171" t="s">
        <v>5318</v>
      </c>
      <c r="E127" s="171">
        <v>350.0</v>
      </c>
      <c r="F127" s="69">
        <v>1.0</v>
      </c>
      <c r="G127" s="95" t="s">
        <v>5614</v>
      </c>
      <c r="H127" s="167"/>
      <c r="I127" s="167"/>
      <c r="J127" s="167"/>
      <c r="K127" s="167"/>
      <c r="L127" s="167"/>
      <c r="M127" s="167"/>
      <c r="N127" s="167"/>
      <c r="O127" s="167"/>
      <c r="P127" s="167"/>
      <c r="Q127" s="167"/>
      <c r="R127" s="167"/>
      <c r="S127" s="167"/>
    </row>
    <row r="128">
      <c r="A128" s="162">
        <v>45737.0</v>
      </c>
      <c r="B128" s="163">
        <v>6053.0</v>
      </c>
      <c r="C128" s="164" t="s">
        <v>5351</v>
      </c>
      <c r="D128" s="165" t="s">
        <v>5352</v>
      </c>
      <c r="E128" s="165">
        <v>468.0</v>
      </c>
      <c r="F128" s="63">
        <v>1.0</v>
      </c>
      <c r="G128" s="88" t="s">
        <v>5615</v>
      </c>
      <c r="H128" s="167"/>
      <c r="I128" s="167"/>
      <c r="J128" s="167"/>
      <c r="K128" s="167"/>
      <c r="L128" s="167"/>
      <c r="M128" s="167"/>
      <c r="N128" s="167"/>
      <c r="O128" s="167"/>
      <c r="P128" s="167"/>
      <c r="Q128" s="167"/>
      <c r="R128" s="167"/>
      <c r="S128" s="167"/>
    </row>
    <row r="129">
      <c r="A129" s="168">
        <v>45737.0</v>
      </c>
      <c r="B129" s="169">
        <v>6053.0</v>
      </c>
      <c r="C129" s="170" t="s">
        <v>5323</v>
      </c>
      <c r="D129" s="171" t="s">
        <v>5324</v>
      </c>
      <c r="E129" s="171">
        <v>400.0</v>
      </c>
      <c r="F129" s="69">
        <v>1.0</v>
      </c>
      <c r="G129" s="95" t="s">
        <v>5417</v>
      </c>
      <c r="H129" s="167"/>
      <c r="I129" s="167"/>
      <c r="J129" s="167"/>
      <c r="K129" s="167"/>
      <c r="L129" s="167"/>
      <c r="M129" s="167"/>
      <c r="N129" s="167"/>
      <c r="O129" s="167"/>
      <c r="P129" s="167"/>
      <c r="Q129" s="167"/>
      <c r="R129" s="167"/>
      <c r="S129" s="167"/>
    </row>
    <row r="130">
      <c r="A130" s="162">
        <v>45737.0</v>
      </c>
      <c r="B130" s="163">
        <v>6053.0</v>
      </c>
      <c r="C130" s="164" t="s">
        <v>5323</v>
      </c>
      <c r="D130" s="165" t="s">
        <v>5324</v>
      </c>
      <c r="E130" s="165">
        <v>400.0</v>
      </c>
      <c r="F130" s="63">
        <v>1.0</v>
      </c>
      <c r="G130" s="88" t="s">
        <v>5322</v>
      </c>
      <c r="H130" s="167"/>
      <c r="I130" s="167"/>
      <c r="J130" s="167"/>
      <c r="K130" s="167"/>
      <c r="L130" s="167"/>
      <c r="M130" s="167"/>
      <c r="N130" s="167"/>
      <c r="O130" s="167"/>
      <c r="P130" s="167"/>
      <c r="Q130" s="167"/>
      <c r="R130" s="167"/>
      <c r="S130" s="167"/>
    </row>
    <row r="131">
      <c r="A131" s="168">
        <v>45737.0</v>
      </c>
      <c r="B131" s="169" t="s">
        <v>5616</v>
      </c>
      <c r="C131" s="170">
        <v>605678.0</v>
      </c>
      <c r="D131" s="171" t="s">
        <v>376</v>
      </c>
      <c r="E131" s="171">
        <v>65.0</v>
      </c>
      <c r="F131" s="69">
        <v>17.0</v>
      </c>
      <c r="G131" s="95" t="s">
        <v>5315</v>
      </c>
      <c r="H131" s="167"/>
      <c r="I131" s="167"/>
      <c r="J131" s="167"/>
      <c r="K131" s="167"/>
      <c r="L131" s="167"/>
      <c r="M131" s="167"/>
      <c r="N131" s="167"/>
      <c r="O131" s="167"/>
      <c r="P131" s="167"/>
      <c r="Q131" s="167"/>
      <c r="R131" s="167"/>
      <c r="S131" s="167"/>
    </row>
    <row r="132">
      <c r="A132" s="162">
        <v>45740.0</v>
      </c>
      <c r="B132" s="163">
        <v>10558.0</v>
      </c>
      <c r="C132" s="164">
        <v>674889.0</v>
      </c>
      <c r="D132" s="165" t="s">
        <v>361</v>
      </c>
      <c r="E132" s="165">
        <v>45.0</v>
      </c>
      <c r="F132" s="63">
        <v>12.0</v>
      </c>
      <c r="G132" s="88" t="s">
        <v>5315</v>
      </c>
      <c r="H132" s="167"/>
      <c r="I132" s="167"/>
      <c r="J132" s="167"/>
      <c r="K132" s="167"/>
      <c r="L132" s="167"/>
      <c r="M132" s="167"/>
      <c r="N132" s="167"/>
      <c r="O132" s="167"/>
      <c r="P132" s="167"/>
      <c r="Q132" s="167"/>
      <c r="R132" s="167"/>
      <c r="S132" s="167"/>
    </row>
    <row r="133">
      <c r="A133" s="168">
        <v>45742.0</v>
      </c>
      <c r="B133" s="169">
        <v>10560.0</v>
      </c>
      <c r="C133" s="170">
        <v>605678.0</v>
      </c>
      <c r="D133" s="171" t="s">
        <v>376</v>
      </c>
      <c r="E133" s="171">
        <v>45.0</v>
      </c>
      <c r="F133" s="69">
        <v>12.0</v>
      </c>
      <c r="G133" s="95" t="s">
        <v>5366</v>
      </c>
      <c r="H133" s="167"/>
      <c r="I133" s="167"/>
      <c r="J133" s="167"/>
      <c r="K133" s="167"/>
      <c r="L133" s="167"/>
      <c r="M133" s="167"/>
      <c r="N133" s="167"/>
      <c r="O133" s="167"/>
      <c r="P133" s="167"/>
      <c r="Q133" s="167"/>
      <c r="R133" s="167"/>
      <c r="S133" s="167"/>
    </row>
    <row r="134">
      <c r="A134" s="162">
        <v>45742.0</v>
      </c>
      <c r="B134" s="163">
        <v>1245.0</v>
      </c>
      <c r="C134" s="164">
        <v>605678.0</v>
      </c>
      <c r="D134" s="165" t="s">
        <v>376</v>
      </c>
      <c r="E134" s="165">
        <v>55.0</v>
      </c>
      <c r="F134" s="63">
        <v>14.0</v>
      </c>
      <c r="G134" s="88" t="s">
        <v>5307</v>
      </c>
      <c r="H134" s="167"/>
      <c r="I134" s="167"/>
      <c r="J134" s="167"/>
      <c r="K134" s="167"/>
      <c r="L134" s="167"/>
      <c r="M134" s="167"/>
      <c r="N134" s="167"/>
      <c r="O134" s="167"/>
      <c r="P134" s="167"/>
      <c r="Q134" s="167"/>
      <c r="R134" s="167"/>
      <c r="S134" s="167"/>
    </row>
    <row r="135">
      <c r="A135" s="168">
        <v>45742.0</v>
      </c>
      <c r="B135" s="169">
        <v>6091.0</v>
      </c>
      <c r="C135" s="170">
        <v>692425.0</v>
      </c>
      <c r="D135" s="171" t="s">
        <v>239</v>
      </c>
      <c r="E135" s="171">
        <v>1000.0</v>
      </c>
      <c r="F135" s="69">
        <v>2.0</v>
      </c>
      <c r="G135" s="95" t="s">
        <v>5391</v>
      </c>
      <c r="H135" s="167"/>
      <c r="I135" s="167"/>
      <c r="J135" s="167"/>
      <c r="K135" s="167"/>
      <c r="L135" s="167"/>
      <c r="M135" s="167"/>
      <c r="N135" s="167"/>
      <c r="O135" s="167"/>
      <c r="P135" s="167"/>
      <c r="Q135" s="167"/>
      <c r="R135" s="167"/>
      <c r="S135" s="167"/>
    </row>
    <row r="136">
      <c r="A136" s="162">
        <v>45742.0</v>
      </c>
      <c r="B136" s="163">
        <v>6092.0</v>
      </c>
      <c r="C136" s="164">
        <v>692432.0</v>
      </c>
      <c r="D136" s="165" t="s">
        <v>230</v>
      </c>
      <c r="E136" s="165">
        <v>1200.0</v>
      </c>
      <c r="F136" s="63">
        <v>1.0</v>
      </c>
      <c r="G136" s="88" t="s">
        <v>5392</v>
      </c>
      <c r="H136" s="167"/>
      <c r="I136" s="167"/>
      <c r="J136" s="167"/>
      <c r="K136" s="167"/>
      <c r="L136" s="167"/>
      <c r="M136" s="167"/>
      <c r="N136" s="167"/>
      <c r="O136" s="167"/>
      <c r="P136" s="167"/>
      <c r="Q136" s="167"/>
      <c r="R136" s="167"/>
      <c r="S136" s="167"/>
    </row>
    <row r="137">
      <c r="A137" s="168">
        <v>45744.0</v>
      </c>
      <c r="B137" s="169">
        <v>1249.0</v>
      </c>
      <c r="C137" s="170">
        <v>605678.0</v>
      </c>
      <c r="D137" s="171" t="s">
        <v>376</v>
      </c>
      <c r="E137" s="171">
        <v>45.0</v>
      </c>
      <c r="F137" s="69">
        <v>11.0</v>
      </c>
      <c r="G137" s="95" t="s">
        <v>5307</v>
      </c>
      <c r="H137" s="167"/>
      <c r="I137" s="167"/>
      <c r="J137" s="167"/>
      <c r="K137" s="167"/>
      <c r="L137" s="167"/>
      <c r="M137" s="167"/>
      <c r="N137" s="167"/>
      <c r="O137" s="167"/>
      <c r="P137" s="167"/>
      <c r="Q137" s="167"/>
      <c r="R137" s="167"/>
      <c r="S137" s="167"/>
    </row>
    <row r="138">
      <c r="A138" s="162">
        <v>45747.0</v>
      </c>
      <c r="B138" s="163">
        <v>10574.0</v>
      </c>
      <c r="C138" s="164">
        <v>692265.0</v>
      </c>
      <c r="D138" s="165" t="s">
        <v>5314</v>
      </c>
      <c r="E138" s="165">
        <v>40.0</v>
      </c>
      <c r="F138" s="63">
        <v>10.0</v>
      </c>
      <c r="G138" s="88" t="s">
        <v>5313</v>
      </c>
      <c r="H138" s="167"/>
      <c r="I138" s="167"/>
      <c r="J138" s="167"/>
      <c r="K138" s="167"/>
      <c r="L138" s="167"/>
      <c r="M138" s="167"/>
      <c r="N138" s="167"/>
      <c r="O138" s="167"/>
      <c r="P138" s="167"/>
      <c r="Q138" s="167"/>
      <c r="R138" s="167"/>
      <c r="S138" s="167"/>
    </row>
    <row r="139">
      <c r="A139" s="168">
        <v>45751.0</v>
      </c>
      <c r="B139" s="169">
        <v>6147.0</v>
      </c>
      <c r="C139" s="170">
        <v>692012.0</v>
      </c>
      <c r="D139" s="171" t="s">
        <v>212</v>
      </c>
      <c r="E139" s="171">
        <v>1350.0</v>
      </c>
      <c r="F139" s="69">
        <v>6.0</v>
      </c>
      <c r="G139" s="95" t="s">
        <v>5327</v>
      </c>
      <c r="H139" s="167"/>
      <c r="I139" s="167"/>
      <c r="J139" s="167"/>
      <c r="K139" s="167"/>
      <c r="L139" s="167"/>
      <c r="M139" s="167"/>
      <c r="N139" s="167"/>
      <c r="O139" s="167"/>
      <c r="P139" s="167"/>
      <c r="Q139" s="167"/>
      <c r="R139" s="167"/>
      <c r="S139" s="167"/>
    </row>
    <row r="140">
      <c r="A140" s="162">
        <v>45751.0</v>
      </c>
      <c r="B140" s="163">
        <v>6148.0</v>
      </c>
      <c r="C140" s="164">
        <v>2.2222222E7</v>
      </c>
      <c r="D140" s="165" t="s">
        <v>5406</v>
      </c>
      <c r="E140" s="165">
        <v>4186.0</v>
      </c>
      <c r="F140" s="63">
        <v>6.0</v>
      </c>
      <c r="G140" s="88" t="s">
        <v>5617</v>
      </c>
      <c r="H140" s="167"/>
      <c r="I140" s="167"/>
      <c r="J140" s="167"/>
      <c r="K140" s="167"/>
      <c r="L140" s="167"/>
      <c r="M140" s="167"/>
      <c r="N140" s="167"/>
      <c r="O140" s="167"/>
      <c r="P140" s="167"/>
      <c r="Q140" s="167"/>
      <c r="R140" s="167"/>
      <c r="S140" s="167"/>
    </row>
    <row r="141">
      <c r="A141" s="168">
        <v>45751.0</v>
      </c>
      <c r="B141" s="169">
        <v>6158.0</v>
      </c>
      <c r="C141" s="170">
        <v>692012.0</v>
      </c>
      <c r="D141" s="171" t="s">
        <v>212</v>
      </c>
      <c r="E141" s="171">
        <v>166.0</v>
      </c>
      <c r="F141" s="69">
        <v>1.0</v>
      </c>
      <c r="G141" s="95" t="s">
        <v>5327</v>
      </c>
      <c r="H141" s="167"/>
      <c r="I141" s="167"/>
      <c r="J141" s="167"/>
      <c r="K141" s="167"/>
      <c r="L141" s="167"/>
      <c r="M141" s="167"/>
      <c r="N141" s="167"/>
      <c r="O141" s="167"/>
      <c r="P141" s="167"/>
      <c r="Q141" s="167"/>
      <c r="R141" s="167"/>
      <c r="S141" s="167"/>
    </row>
    <row r="142">
      <c r="A142" s="162">
        <v>45751.0</v>
      </c>
      <c r="B142" s="163">
        <v>6158.0</v>
      </c>
      <c r="C142" s="164">
        <v>692012.0</v>
      </c>
      <c r="D142" s="165" t="s">
        <v>212</v>
      </c>
      <c r="E142" s="165">
        <v>225.0</v>
      </c>
      <c r="F142" s="63">
        <v>1.0</v>
      </c>
      <c r="G142" s="88" t="s">
        <v>5356</v>
      </c>
      <c r="H142" s="167"/>
      <c r="I142" s="167"/>
      <c r="J142" s="167"/>
      <c r="K142" s="167"/>
      <c r="L142" s="167"/>
      <c r="M142" s="167"/>
      <c r="N142" s="167"/>
      <c r="O142" s="167"/>
      <c r="P142" s="167"/>
      <c r="Q142" s="167"/>
      <c r="R142" s="167"/>
      <c r="S142" s="167"/>
    </row>
    <row r="143">
      <c r="A143" s="168">
        <v>45751.0</v>
      </c>
      <c r="B143" s="169">
        <v>6158.0</v>
      </c>
      <c r="C143" s="170">
        <v>692012.0</v>
      </c>
      <c r="D143" s="171" t="s">
        <v>212</v>
      </c>
      <c r="E143" s="171">
        <v>225.0</v>
      </c>
      <c r="F143" s="69">
        <v>1.0</v>
      </c>
      <c r="G143" s="95" t="s">
        <v>5355</v>
      </c>
      <c r="H143" s="167"/>
      <c r="I143" s="167"/>
      <c r="J143" s="167"/>
      <c r="K143" s="167"/>
      <c r="L143" s="167"/>
      <c r="M143" s="167"/>
      <c r="N143" s="167"/>
      <c r="O143" s="167"/>
      <c r="P143" s="167"/>
      <c r="Q143" s="167"/>
      <c r="R143" s="167"/>
      <c r="S143" s="167"/>
    </row>
    <row r="144">
      <c r="A144" s="162">
        <v>45751.0</v>
      </c>
      <c r="B144" s="163">
        <v>6158.0</v>
      </c>
      <c r="C144" s="164">
        <v>692029.0</v>
      </c>
      <c r="D144" s="165" t="s">
        <v>218</v>
      </c>
      <c r="E144" s="165">
        <v>225.0</v>
      </c>
      <c r="F144" s="63">
        <v>1.0</v>
      </c>
      <c r="G144" s="88" t="s">
        <v>5588</v>
      </c>
      <c r="H144" s="167"/>
      <c r="I144" s="167"/>
      <c r="J144" s="167"/>
      <c r="K144" s="167"/>
      <c r="L144" s="167"/>
      <c r="M144" s="167"/>
      <c r="N144" s="167"/>
      <c r="O144" s="167"/>
      <c r="P144" s="167"/>
      <c r="Q144" s="167"/>
      <c r="R144" s="167"/>
      <c r="S144" s="167"/>
    </row>
    <row r="145">
      <c r="A145" s="168">
        <v>45751.0</v>
      </c>
      <c r="B145" s="169">
        <v>6158.0</v>
      </c>
      <c r="C145" s="170">
        <v>692012.0</v>
      </c>
      <c r="D145" s="171" t="s">
        <v>212</v>
      </c>
      <c r="E145" s="171">
        <v>225.0</v>
      </c>
      <c r="F145" s="69">
        <v>1.0</v>
      </c>
      <c r="G145" s="95" t="s">
        <v>5357</v>
      </c>
      <c r="H145" s="167"/>
      <c r="I145" s="167"/>
      <c r="J145" s="167"/>
      <c r="K145" s="167"/>
      <c r="L145" s="167"/>
      <c r="M145" s="167"/>
      <c r="N145" s="167"/>
      <c r="O145" s="167"/>
      <c r="P145" s="167"/>
      <c r="Q145" s="167"/>
      <c r="R145" s="167"/>
      <c r="S145" s="167"/>
    </row>
    <row r="146">
      <c r="A146" s="162">
        <v>45751.0</v>
      </c>
      <c r="B146" s="163">
        <v>6158.0</v>
      </c>
      <c r="C146" s="164">
        <v>692012.0</v>
      </c>
      <c r="D146" s="165" t="s">
        <v>212</v>
      </c>
      <c r="E146" s="165">
        <v>198.0</v>
      </c>
      <c r="F146" s="63">
        <v>1.0</v>
      </c>
      <c r="G146" s="88" t="s">
        <v>5358</v>
      </c>
      <c r="H146" s="167"/>
      <c r="I146" s="167"/>
      <c r="J146" s="167"/>
      <c r="K146" s="167"/>
      <c r="L146" s="167"/>
      <c r="M146" s="167"/>
      <c r="N146" s="167"/>
      <c r="O146" s="167"/>
      <c r="P146" s="167"/>
      <c r="Q146" s="167"/>
      <c r="R146" s="167"/>
      <c r="S146" s="167"/>
    </row>
    <row r="147">
      <c r="A147" s="168">
        <v>45751.0</v>
      </c>
      <c r="B147" s="169">
        <v>6159.0</v>
      </c>
      <c r="C147" s="170">
        <v>692036.0</v>
      </c>
      <c r="D147" s="171" t="s">
        <v>206</v>
      </c>
      <c r="E147" s="171">
        <v>350.0</v>
      </c>
      <c r="F147" s="69">
        <v>1.0</v>
      </c>
      <c r="G147" s="95" t="s">
        <v>5360</v>
      </c>
      <c r="H147" s="167"/>
      <c r="I147" s="167"/>
      <c r="J147" s="167"/>
      <c r="K147" s="167"/>
      <c r="L147" s="167"/>
      <c r="M147" s="167"/>
      <c r="N147" s="167"/>
      <c r="O147" s="167"/>
      <c r="P147" s="167"/>
      <c r="Q147" s="167"/>
      <c r="R147" s="167"/>
      <c r="S147" s="167"/>
    </row>
    <row r="148">
      <c r="A148" s="162">
        <v>45751.0</v>
      </c>
      <c r="B148" s="163">
        <v>6156.0</v>
      </c>
      <c r="C148" s="164">
        <v>692036.0</v>
      </c>
      <c r="D148" s="165" t="s">
        <v>206</v>
      </c>
      <c r="E148" s="165">
        <v>255.0</v>
      </c>
      <c r="F148" s="63">
        <v>1.0</v>
      </c>
      <c r="G148" s="88" t="s">
        <v>5359</v>
      </c>
      <c r="H148" s="167"/>
      <c r="I148" s="167"/>
      <c r="J148" s="167"/>
      <c r="K148" s="167"/>
      <c r="L148" s="167"/>
      <c r="M148" s="167"/>
      <c r="N148" s="167"/>
      <c r="O148" s="167"/>
      <c r="P148" s="167"/>
      <c r="Q148" s="167"/>
      <c r="R148" s="167"/>
      <c r="S148" s="167"/>
    </row>
    <row r="149">
      <c r="A149" s="168">
        <v>45751.0</v>
      </c>
      <c r="B149" s="169">
        <v>6157.0</v>
      </c>
      <c r="C149" s="170">
        <v>692012.0</v>
      </c>
      <c r="D149" s="171" t="s">
        <v>212</v>
      </c>
      <c r="E149" s="171">
        <v>225.0</v>
      </c>
      <c r="F149" s="69">
        <v>1.0</v>
      </c>
      <c r="G149" s="95" t="s">
        <v>5309</v>
      </c>
      <c r="H149" s="167"/>
      <c r="I149" s="167"/>
      <c r="J149" s="167"/>
      <c r="K149" s="167"/>
      <c r="L149" s="167"/>
      <c r="M149" s="167"/>
      <c r="N149" s="167"/>
      <c r="O149" s="167"/>
      <c r="P149" s="167"/>
      <c r="Q149" s="167"/>
      <c r="R149" s="167"/>
      <c r="S149" s="167"/>
    </row>
    <row r="150">
      <c r="A150" s="162">
        <v>45751.0</v>
      </c>
      <c r="B150" s="163">
        <v>6157.0</v>
      </c>
      <c r="C150" s="164">
        <v>692012.0</v>
      </c>
      <c r="D150" s="165" t="s">
        <v>212</v>
      </c>
      <c r="E150" s="165">
        <v>225.0</v>
      </c>
      <c r="F150" s="63">
        <v>1.0</v>
      </c>
      <c r="G150" s="88" t="s">
        <v>5390</v>
      </c>
      <c r="H150" s="167"/>
      <c r="I150" s="167"/>
      <c r="J150" s="167"/>
      <c r="K150" s="167"/>
      <c r="L150" s="167"/>
      <c r="M150" s="167"/>
      <c r="N150" s="167"/>
      <c r="O150" s="167"/>
      <c r="P150" s="167"/>
      <c r="Q150" s="167"/>
      <c r="R150" s="167"/>
      <c r="S150" s="167"/>
    </row>
    <row r="151">
      <c r="A151" s="168">
        <v>45751.0</v>
      </c>
      <c r="B151" s="169">
        <v>6157.0</v>
      </c>
      <c r="C151" s="170">
        <v>692012.0</v>
      </c>
      <c r="D151" s="171" t="s">
        <v>212</v>
      </c>
      <c r="E151" s="171">
        <v>225.0</v>
      </c>
      <c r="F151" s="69">
        <v>1.0</v>
      </c>
      <c r="G151" s="95" t="s">
        <v>5589</v>
      </c>
      <c r="H151" s="167"/>
      <c r="I151" s="167"/>
      <c r="J151" s="167"/>
      <c r="K151" s="167"/>
      <c r="L151" s="167"/>
      <c r="M151" s="167"/>
      <c r="N151" s="167"/>
      <c r="O151" s="167"/>
      <c r="P151" s="167"/>
      <c r="Q151" s="167"/>
      <c r="R151" s="167"/>
      <c r="S151" s="167"/>
    </row>
    <row r="152">
      <c r="A152" s="162">
        <v>45751.0</v>
      </c>
      <c r="B152" s="163">
        <v>6157.0</v>
      </c>
      <c r="C152" s="164">
        <v>692012.0</v>
      </c>
      <c r="D152" s="165" t="s">
        <v>212</v>
      </c>
      <c r="E152" s="165">
        <v>225.0</v>
      </c>
      <c r="F152" s="63">
        <v>1.0</v>
      </c>
      <c r="G152" s="88" t="s">
        <v>5328</v>
      </c>
      <c r="H152" s="167"/>
      <c r="I152" s="167"/>
      <c r="J152" s="167"/>
      <c r="K152" s="167"/>
      <c r="L152" s="167"/>
      <c r="M152" s="167"/>
      <c r="N152" s="167"/>
      <c r="O152" s="167"/>
      <c r="P152" s="167"/>
      <c r="Q152" s="167"/>
      <c r="R152" s="167"/>
      <c r="S152" s="167"/>
    </row>
    <row r="153">
      <c r="A153" s="168">
        <v>45751.0</v>
      </c>
      <c r="B153" s="169">
        <v>6153.0</v>
      </c>
      <c r="C153" s="170">
        <v>692029.0</v>
      </c>
      <c r="D153" s="171" t="s">
        <v>218</v>
      </c>
      <c r="E153" s="171">
        <v>241.0</v>
      </c>
      <c r="F153" s="69">
        <v>1.0</v>
      </c>
      <c r="G153" s="95" t="s">
        <v>5332</v>
      </c>
      <c r="H153" s="167"/>
      <c r="I153" s="167"/>
      <c r="J153" s="167"/>
      <c r="K153" s="167"/>
      <c r="L153" s="167"/>
      <c r="M153" s="167"/>
      <c r="N153" s="167"/>
      <c r="O153" s="167"/>
      <c r="P153" s="167"/>
      <c r="Q153" s="167"/>
      <c r="R153" s="167"/>
      <c r="S153" s="167"/>
    </row>
    <row r="154">
      <c r="A154" s="162">
        <v>45751.0</v>
      </c>
      <c r="B154" s="163">
        <v>6155.0</v>
      </c>
      <c r="C154" s="164">
        <v>692432.0</v>
      </c>
      <c r="D154" s="165" t="s">
        <v>230</v>
      </c>
      <c r="E154" s="165">
        <v>795.0</v>
      </c>
      <c r="F154" s="63">
        <v>1.0</v>
      </c>
      <c r="G154" s="88" t="s">
        <v>5413</v>
      </c>
      <c r="H154" s="167"/>
      <c r="I154" s="167"/>
      <c r="J154" s="167"/>
      <c r="K154" s="167"/>
      <c r="L154" s="167"/>
      <c r="M154" s="167"/>
      <c r="N154" s="167"/>
      <c r="O154" s="167"/>
      <c r="P154" s="167"/>
      <c r="Q154" s="167"/>
      <c r="R154" s="167"/>
      <c r="S154" s="167"/>
    </row>
    <row r="155">
      <c r="A155" s="168">
        <v>45754.0</v>
      </c>
      <c r="B155" s="169">
        <v>1260.0</v>
      </c>
      <c r="C155" s="170">
        <v>605678.0</v>
      </c>
      <c r="D155" s="171" t="s">
        <v>376</v>
      </c>
      <c r="E155" s="171">
        <v>30.0</v>
      </c>
      <c r="F155" s="69">
        <v>8.0</v>
      </c>
      <c r="G155" s="95" t="s">
        <v>5364</v>
      </c>
      <c r="H155" s="167"/>
      <c r="I155" s="167"/>
      <c r="J155" s="167"/>
      <c r="K155" s="167"/>
      <c r="L155" s="167"/>
      <c r="M155" s="167"/>
      <c r="N155" s="167"/>
      <c r="O155" s="167"/>
      <c r="P155" s="167"/>
      <c r="Q155" s="167"/>
      <c r="R155" s="167"/>
      <c r="S155" s="167"/>
    </row>
    <row r="156">
      <c r="A156" s="162">
        <v>45754.0</v>
      </c>
      <c r="B156" s="163">
        <v>6176.0</v>
      </c>
      <c r="C156" s="164">
        <v>692029.0</v>
      </c>
      <c r="D156" s="165" t="s">
        <v>218</v>
      </c>
      <c r="E156" s="165">
        <v>200.0</v>
      </c>
      <c r="F156" s="63">
        <v>1.0</v>
      </c>
      <c r="G156" s="88" t="s">
        <v>5365</v>
      </c>
      <c r="H156" s="167"/>
      <c r="I156" s="167"/>
      <c r="J156" s="167"/>
      <c r="K156" s="167"/>
      <c r="L156" s="167"/>
      <c r="M156" s="167"/>
      <c r="N156" s="167"/>
      <c r="O156" s="167"/>
      <c r="P156" s="167"/>
      <c r="Q156" s="167"/>
      <c r="R156" s="167"/>
      <c r="S156" s="167"/>
    </row>
    <row r="157">
      <c r="A157" s="168">
        <v>45754.0</v>
      </c>
      <c r="B157" s="169">
        <v>6176.0</v>
      </c>
      <c r="C157" s="170">
        <v>692029.0</v>
      </c>
      <c r="D157" s="171" t="s">
        <v>218</v>
      </c>
      <c r="E157" s="171">
        <v>200.0</v>
      </c>
      <c r="F157" s="69">
        <v>1.0</v>
      </c>
      <c r="G157" s="95" t="s">
        <v>5618</v>
      </c>
      <c r="H157" s="167"/>
      <c r="I157" s="167"/>
      <c r="J157" s="167"/>
      <c r="K157" s="167"/>
      <c r="L157" s="167"/>
      <c r="M157" s="167"/>
      <c r="N157" s="167"/>
      <c r="O157" s="167"/>
      <c r="P157" s="167"/>
      <c r="Q157" s="167"/>
      <c r="R157" s="167"/>
      <c r="S157" s="167"/>
    </row>
    <row r="158">
      <c r="A158" s="162">
        <v>45754.0</v>
      </c>
      <c r="B158" s="163">
        <v>6176.0</v>
      </c>
      <c r="C158" s="164">
        <v>692029.0</v>
      </c>
      <c r="D158" s="165" t="s">
        <v>218</v>
      </c>
      <c r="E158" s="165">
        <v>200.0</v>
      </c>
      <c r="F158" s="63">
        <v>1.0</v>
      </c>
      <c r="G158" s="88" t="s">
        <v>5619</v>
      </c>
      <c r="H158" s="167"/>
      <c r="I158" s="167"/>
      <c r="J158" s="167"/>
      <c r="K158" s="167"/>
      <c r="L158" s="167"/>
      <c r="M158" s="167"/>
      <c r="N158" s="167"/>
      <c r="O158" s="167"/>
      <c r="P158" s="167"/>
      <c r="Q158" s="167"/>
      <c r="R158" s="167"/>
      <c r="S158" s="167"/>
    </row>
    <row r="159">
      <c r="A159" s="168">
        <v>45754.0</v>
      </c>
      <c r="B159" s="169">
        <v>6176.0</v>
      </c>
      <c r="C159" s="170">
        <v>692029.0</v>
      </c>
      <c r="D159" s="171" t="s">
        <v>218</v>
      </c>
      <c r="E159" s="171">
        <v>200.0</v>
      </c>
      <c r="F159" s="69">
        <v>1.0</v>
      </c>
      <c r="G159" s="95" t="s">
        <v>5620</v>
      </c>
      <c r="H159" s="167"/>
      <c r="I159" s="167"/>
      <c r="J159" s="167"/>
      <c r="K159" s="167"/>
      <c r="L159" s="167"/>
      <c r="M159" s="167"/>
      <c r="N159" s="167"/>
      <c r="O159" s="167"/>
      <c r="P159" s="167"/>
      <c r="Q159" s="167"/>
      <c r="R159" s="167"/>
      <c r="S159" s="167"/>
    </row>
    <row r="160">
      <c r="A160" s="162">
        <v>45754.0</v>
      </c>
      <c r="B160" s="163">
        <v>6176.0</v>
      </c>
      <c r="C160" s="164">
        <v>692029.0</v>
      </c>
      <c r="D160" s="165" t="s">
        <v>218</v>
      </c>
      <c r="E160" s="165">
        <v>200.0</v>
      </c>
      <c r="F160" s="63">
        <v>1.0</v>
      </c>
      <c r="G160" s="88" t="s">
        <v>5374</v>
      </c>
      <c r="H160" s="167"/>
      <c r="I160" s="167"/>
      <c r="J160" s="167"/>
      <c r="K160" s="167"/>
      <c r="L160" s="167"/>
      <c r="M160" s="167"/>
      <c r="N160" s="167"/>
      <c r="O160" s="167"/>
      <c r="P160" s="167"/>
      <c r="Q160" s="167"/>
      <c r="R160" s="167"/>
      <c r="S160" s="167"/>
    </row>
    <row r="161">
      <c r="A161" s="168">
        <v>45754.0</v>
      </c>
      <c r="B161" s="169">
        <v>6176.0</v>
      </c>
      <c r="C161" s="170">
        <v>692029.0</v>
      </c>
      <c r="D161" s="171" t="s">
        <v>218</v>
      </c>
      <c r="E161" s="171">
        <v>200.0</v>
      </c>
      <c r="F161" s="69">
        <v>1.0</v>
      </c>
      <c r="G161" s="95" t="s">
        <v>5375</v>
      </c>
      <c r="H161" s="167"/>
      <c r="I161" s="167"/>
      <c r="J161" s="167"/>
      <c r="K161" s="167"/>
      <c r="L161" s="167"/>
      <c r="M161" s="167"/>
      <c r="N161" s="167"/>
      <c r="O161" s="167"/>
      <c r="P161" s="167"/>
      <c r="Q161" s="167"/>
      <c r="R161" s="167"/>
      <c r="S161" s="167"/>
    </row>
    <row r="162">
      <c r="A162" s="162">
        <v>45754.0</v>
      </c>
      <c r="B162" s="163">
        <v>6176.0</v>
      </c>
      <c r="C162" s="164">
        <v>692029.0</v>
      </c>
      <c r="D162" s="165" t="s">
        <v>218</v>
      </c>
      <c r="E162" s="165">
        <v>200.0</v>
      </c>
      <c r="F162" s="63">
        <v>1.0</v>
      </c>
      <c r="G162" s="88" t="s">
        <v>5621</v>
      </c>
      <c r="H162" s="167"/>
      <c r="I162" s="167"/>
      <c r="J162" s="167"/>
      <c r="K162" s="167"/>
      <c r="L162" s="167"/>
      <c r="M162" s="167"/>
      <c r="N162" s="167"/>
      <c r="O162" s="167"/>
      <c r="P162" s="167"/>
      <c r="Q162" s="167"/>
      <c r="R162" s="167"/>
      <c r="S162" s="167"/>
    </row>
    <row r="163">
      <c r="A163" s="168">
        <v>45754.0</v>
      </c>
      <c r="B163" s="169">
        <v>6176.0</v>
      </c>
      <c r="C163" s="170">
        <v>692029.0</v>
      </c>
      <c r="D163" s="171" t="s">
        <v>218</v>
      </c>
      <c r="E163" s="171">
        <v>200.0</v>
      </c>
      <c r="F163" s="69">
        <v>1.0</v>
      </c>
      <c r="G163" s="95" t="s">
        <v>5414</v>
      </c>
      <c r="H163" s="167"/>
      <c r="I163" s="167"/>
      <c r="J163" s="167"/>
      <c r="K163" s="167"/>
      <c r="L163" s="167"/>
      <c r="M163" s="167"/>
      <c r="N163" s="167"/>
      <c r="O163" s="167"/>
      <c r="P163" s="167"/>
      <c r="Q163" s="167"/>
      <c r="R163" s="167"/>
      <c r="S163" s="167"/>
    </row>
    <row r="164">
      <c r="A164" s="162">
        <v>45754.0</v>
      </c>
      <c r="B164" s="163">
        <v>6176.0</v>
      </c>
      <c r="C164" s="164">
        <v>692029.0</v>
      </c>
      <c r="D164" s="165" t="s">
        <v>218</v>
      </c>
      <c r="E164" s="165">
        <v>200.0</v>
      </c>
      <c r="F164" s="63">
        <v>1.0</v>
      </c>
      <c r="G164" s="88" t="s">
        <v>5405</v>
      </c>
      <c r="H164" s="167"/>
      <c r="I164" s="167"/>
      <c r="J164" s="167"/>
      <c r="K164" s="167"/>
      <c r="L164" s="167"/>
      <c r="M164" s="167"/>
      <c r="N164" s="167"/>
      <c r="O164" s="167"/>
      <c r="P164" s="167"/>
      <c r="Q164" s="167"/>
      <c r="R164" s="167"/>
      <c r="S164" s="167"/>
    </row>
    <row r="165">
      <c r="A165" s="168">
        <v>45754.0</v>
      </c>
      <c r="B165" s="169">
        <v>6176.0</v>
      </c>
      <c r="C165" s="170">
        <v>692029.0</v>
      </c>
      <c r="D165" s="171" t="s">
        <v>218</v>
      </c>
      <c r="E165" s="171">
        <v>200.0</v>
      </c>
      <c r="F165" s="69">
        <v>1.0</v>
      </c>
      <c r="G165" s="95" t="s">
        <v>5622</v>
      </c>
      <c r="H165" s="167"/>
      <c r="I165" s="167"/>
      <c r="J165" s="167"/>
      <c r="K165" s="167"/>
      <c r="L165" s="167"/>
      <c r="M165" s="167"/>
      <c r="N165" s="167"/>
      <c r="O165" s="167"/>
      <c r="P165" s="167"/>
      <c r="Q165" s="167"/>
      <c r="R165" s="167"/>
      <c r="S165" s="167"/>
    </row>
    <row r="166">
      <c r="A166" s="162">
        <v>45754.0</v>
      </c>
      <c r="B166" s="163">
        <v>6176.0</v>
      </c>
      <c r="C166" s="164">
        <v>692029.0</v>
      </c>
      <c r="D166" s="165" t="s">
        <v>218</v>
      </c>
      <c r="E166" s="165">
        <v>200.0</v>
      </c>
      <c r="F166" s="63">
        <v>1.0</v>
      </c>
      <c r="G166" s="88" t="s">
        <v>5623</v>
      </c>
      <c r="H166" s="167"/>
      <c r="I166" s="167"/>
      <c r="J166" s="167"/>
      <c r="K166" s="167"/>
      <c r="L166" s="167"/>
      <c r="M166" s="167"/>
      <c r="N166" s="167"/>
      <c r="O166" s="167"/>
      <c r="P166" s="167"/>
      <c r="Q166" s="167"/>
      <c r="R166" s="167"/>
      <c r="S166" s="167"/>
    </row>
    <row r="167">
      <c r="A167" s="168">
        <v>45754.0</v>
      </c>
      <c r="B167" s="169">
        <v>6176.0</v>
      </c>
      <c r="C167" s="170">
        <v>692029.0</v>
      </c>
      <c r="D167" s="171" t="s">
        <v>218</v>
      </c>
      <c r="E167" s="171">
        <v>200.0</v>
      </c>
      <c r="F167" s="69">
        <v>1.0</v>
      </c>
      <c r="G167" s="95" t="s">
        <v>5624</v>
      </c>
      <c r="H167" s="167"/>
      <c r="I167" s="167"/>
      <c r="J167" s="167"/>
      <c r="K167" s="167"/>
      <c r="L167" s="167"/>
      <c r="M167" s="167"/>
      <c r="N167" s="167"/>
      <c r="O167" s="167"/>
      <c r="P167" s="167"/>
      <c r="Q167" s="167"/>
      <c r="R167" s="167"/>
      <c r="S167" s="167"/>
    </row>
    <row r="168">
      <c r="A168" s="162">
        <v>45751.0</v>
      </c>
      <c r="B168" s="163">
        <v>6154.0</v>
      </c>
      <c r="C168" s="164">
        <v>600574.0</v>
      </c>
      <c r="D168" s="165" t="s">
        <v>5434</v>
      </c>
      <c r="E168" s="165">
        <v>718.0</v>
      </c>
      <c r="F168" s="63">
        <v>1.0</v>
      </c>
      <c r="G168" s="88" t="s">
        <v>5360</v>
      </c>
      <c r="H168" s="167"/>
      <c r="I168" s="167"/>
      <c r="J168" s="167"/>
      <c r="K168" s="167"/>
      <c r="L168" s="167"/>
      <c r="M168" s="167"/>
      <c r="N168" s="167"/>
      <c r="O168" s="167"/>
      <c r="P168" s="167"/>
      <c r="Q168" s="167"/>
      <c r="R168" s="167"/>
      <c r="S168" s="167"/>
    </row>
    <row r="169">
      <c r="A169" s="168">
        <v>45751.0</v>
      </c>
      <c r="B169" s="169">
        <v>6154.0</v>
      </c>
      <c r="C169" s="170">
        <v>600574.0</v>
      </c>
      <c r="D169" s="171" t="s">
        <v>5434</v>
      </c>
      <c r="E169" s="171">
        <v>716.0</v>
      </c>
      <c r="F169" s="69">
        <v>1.0</v>
      </c>
      <c r="G169" s="95" t="s">
        <v>5309</v>
      </c>
      <c r="H169" s="167"/>
      <c r="I169" s="167"/>
      <c r="J169" s="167"/>
      <c r="K169" s="167"/>
      <c r="L169" s="167"/>
      <c r="M169" s="167"/>
      <c r="N169" s="167"/>
      <c r="O169" s="167"/>
      <c r="P169" s="167"/>
      <c r="Q169" s="167"/>
      <c r="R169" s="167"/>
      <c r="S169" s="167"/>
    </row>
    <row r="170">
      <c r="A170" s="162">
        <v>45751.0</v>
      </c>
      <c r="B170" s="163">
        <v>6154.0</v>
      </c>
      <c r="C170" s="164">
        <v>600574.0</v>
      </c>
      <c r="D170" s="165" t="s">
        <v>5434</v>
      </c>
      <c r="E170" s="165">
        <v>716.0</v>
      </c>
      <c r="F170" s="63">
        <v>1.0</v>
      </c>
      <c r="G170" s="88" t="s">
        <v>5359</v>
      </c>
      <c r="H170" s="167"/>
      <c r="I170" s="167"/>
      <c r="J170" s="167"/>
      <c r="K170" s="167"/>
      <c r="L170" s="167"/>
      <c r="M170" s="167"/>
      <c r="N170" s="167"/>
      <c r="O170" s="167"/>
      <c r="P170" s="167"/>
      <c r="Q170" s="167"/>
      <c r="R170" s="167"/>
      <c r="S170" s="167"/>
    </row>
    <row r="171">
      <c r="A171" s="168">
        <v>45755.0</v>
      </c>
      <c r="B171" s="169">
        <v>6171.0</v>
      </c>
      <c r="C171" s="170">
        <v>692029.0</v>
      </c>
      <c r="D171" s="171" t="s">
        <v>218</v>
      </c>
      <c r="E171" s="171">
        <v>200.0</v>
      </c>
      <c r="F171" s="69">
        <v>1.0</v>
      </c>
      <c r="G171" s="95" t="s">
        <v>5356</v>
      </c>
      <c r="H171" s="167"/>
      <c r="I171" s="167"/>
      <c r="J171" s="167"/>
      <c r="K171" s="167"/>
      <c r="L171" s="167"/>
      <c r="M171" s="167"/>
      <c r="N171" s="167"/>
      <c r="O171" s="167"/>
      <c r="P171" s="167"/>
      <c r="Q171" s="167"/>
      <c r="R171" s="167"/>
      <c r="S171" s="167"/>
    </row>
    <row r="172">
      <c r="A172" s="162">
        <v>45755.0</v>
      </c>
      <c r="B172" s="163">
        <v>6171.0</v>
      </c>
      <c r="C172" s="164">
        <v>692029.0</v>
      </c>
      <c r="D172" s="165" t="s">
        <v>218</v>
      </c>
      <c r="E172" s="165">
        <v>200.0</v>
      </c>
      <c r="F172" s="63">
        <v>1.0</v>
      </c>
      <c r="G172" s="88" t="s">
        <v>5355</v>
      </c>
      <c r="H172" s="167"/>
      <c r="I172" s="167"/>
      <c r="J172" s="167"/>
      <c r="K172" s="167"/>
      <c r="L172" s="167"/>
      <c r="M172" s="167"/>
      <c r="N172" s="167"/>
      <c r="O172" s="167"/>
      <c r="P172" s="167"/>
      <c r="Q172" s="167"/>
      <c r="R172" s="167"/>
      <c r="S172" s="167"/>
    </row>
    <row r="173">
      <c r="A173" s="168">
        <v>45755.0</v>
      </c>
      <c r="B173" s="169">
        <v>6171.0</v>
      </c>
      <c r="C173" s="170">
        <v>692029.0</v>
      </c>
      <c r="D173" s="171" t="s">
        <v>218</v>
      </c>
      <c r="E173" s="171">
        <v>200.0</v>
      </c>
      <c r="F173" s="69">
        <v>1.0</v>
      </c>
      <c r="G173" s="95" t="s">
        <v>5357</v>
      </c>
      <c r="H173" s="167"/>
      <c r="I173" s="167"/>
      <c r="J173" s="167"/>
      <c r="K173" s="167"/>
      <c r="L173" s="167"/>
      <c r="M173" s="167"/>
      <c r="N173" s="167"/>
      <c r="O173" s="167"/>
      <c r="P173" s="167"/>
      <c r="Q173" s="167"/>
      <c r="R173" s="167"/>
      <c r="S173" s="167"/>
    </row>
    <row r="174">
      <c r="A174" s="162">
        <v>45755.0</v>
      </c>
      <c r="B174" s="163">
        <v>6172.0</v>
      </c>
      <c r="C174" s="164">
        <v>692036.0</v>
      </c>
      <c r="D174" s="165" t="s">
        <v>206</v>
      </c>
      <c r="E174" s="165">
        <v>350.0</v>
      </c>
      <c r="F174" s="63">
        <v>1.0</v>
      </c>
      <c r="G174" s="88" t="s">
        <v>5358</v>
      </c>
      <c r="H174" s="167"/>
      <c r="I174" s="167"/>
      <c r="J174" s="167"/>
      <c r="K174" s="167"/>
      <c r="L174" s="167"/>
      <c r="M174" s="167"/>
      <c r="N174" s="167"/>
      <c r="O174" s="167"/>
      <c r="P174" s="167"/>
      <c r="Q174" s="167"/>
      <c r="R174" s="167"/>
      <c r="S174" s="167"/>
    </row>
    <row r="175">
      <c r="A175" s="168">
        <v>45755.0</v>
      </c>
      <c r="B175" s="169">
        <v>6172.0</v>
      </c>
      <c r="C175" s="170">
        <v>692036.0</v>
      </c>
      <c r="D175" s="171" t="s">
        <v>206</v>
      </c>
      <c r="E175" s="171">
        <v>350.0</v>
      </c>
      <c r="F175" s="69">
        <v>1.0</v>
      </c>
      <c r="G175" s="95" t="s">
        <v>5328</v>
      </c>
      <c r="H175" s="167"/>
      <c r="I175" s="167"/>
      <c r="J175" s="167"/>
      <c r="K175" s="167"/>
      <c r="L175" s="167"/>
      <c r="M175" s="167"/>
      <c r="N175" s="167"/>
      <c r="O175" s="167"/>
      <c r="P175" s="167"/>
      <c r="Q175" s="167"/>
      <c r="R175" s="167"/>
      <c r="S175" s="167"/>
    </row>
    <row r="176">
      <c r="A176" s="162">
        <v>45755.0</v>
      </c>
      <c r="B176" s="163">
        <v>6172.0</v>
      </c>
      <c r="C176" s="164">
        <v>692036.0</v>
      </c>
      <c r="D176" s="165" t="s">
        <v>206</v>
      </c>
      <c r="E176" s="165">
        <v>350.0</v>
      </c>
      <c r="F176" s="63">
        <v>1.0</v>
      </c>
      <c r="G176" s="88" t="s">
        <v>5332</v>
      </c>
      <c r="H176" s="167"/>
      <c r="I176" s="167"/>
      <c r="J176" s="167"/>
      <c r="K176" s="167"/>
      <c r="L176" s="167"/>
      <c r="M176" s="167"/>
      <c r="N176" s="167"/>
      <c r="O176" s="167"/>
      <c r="P176" s="167"/>
      <c r="Q176" s="167"/>
      <c r="R176" s="167"/>
      <c r="S176" s="167"/>
    </row>
    <row r="177">
      <c r="A177" s="168">
        <v>45755.0</v>
      </c>
      <c r="B177" s="169">
        <v>6172.0</v>
      </c>
      <c r="C177" s="170">
        <v>692036.0</v>
      </c>
      <c r="D177" s="171" t="s">
        <v>206</v>
      </c>
      <c r="E177" s="171">
        <v>350.0</v>
      </c>
      <c r="F177" s="69">
        <v>1.0</v>
      </c>
      <c r="G177" s="95" t="s">
        <v>5370</v>
      </c>
      <c r="H177" s="167"/>
      <c r="I177" s="167"/>
      <c r="J177" s="167"/>
      <c r="K177" s="167"/>
      <c r="L177" s="167"/>
      <c r="M177" s="167"/>
      <c r="N177" s="167"/>
      <c r="O177" s="167"/>
      <c r="P177" s="167"/>
      <c r="Q177" s="167"/>
      <c r="R177" s="167"/>
      <c r="S177" s="167"/>
    </row>
    <row r="178">
      <c r="A178" s="162">
        <v>45755.0</v>
      </c>
      <c r="B178" s="163">
        <v>6172.0</v>
      </c>
      <c r="C178" s="164">
        <v>692036.0</v>
      </c>
      <c r="D178" s="165" t="s">
        <v>206</v>
      </c>
      <c r="E178" s="165">
        <v>350.0</v>
      </c>
      <c r="F178" s="63">
        <v>1.0</v>
      </c>
      <c r="G178" s="88" t="s">
        <v>5371</v>
      </c>
      <c r="H178" s="167"/>
      <c r="I178" s="167"/>
      <c r="J178" s="167"/>
      <c r="K178" s="167"/>
      <c r="L178" s="167"/>
      <c r="M178" s="167"/>
      <c r="N178" s="167"/>
      <c r="O178" s="167"/>
      <c r="P178" s="167"/>
      <c r="Q178" s="167"/>
      <c r="R178" s="167"/>
      <c r="S178" s="167"/>
    </row>
    <row r="179">
      <c r="A179" s="168">
        <v>45755.0</v>
      </c>
      <c r="B179" s="169">
        <v>6172.0</v>
      </c>
      <c r="C179" s="170">
        <v>692036.0</v>
      </c>
      <c r="D179" s="171" t="s">
        <v>206</v>
      </c>
      <c r="E179" s="171">
        <v>163.0</v>
      </c>
      <c r="F179" s="69">
        <v>1.0</v>
      </c>
      <c r="G179" s="95" t="s">
        <v>5372</v>
      </c>
      <c r="H179" s="167"/>
      <c r="I179" s="167"/>
      <c r="J179" s="167"/>
      <c r="K179" s="167"/>
      <c r="L179" s="167"/>
      <c r="M179" s="167"/>
      <c r="N179" s="167"/>
      <c r="O179" s="167"/>
      <c r="P179" s="167"/>
      <c r="Q179" s="167"/>
      <c r="R179" s="167"/>
      <c r="S179" s="167"/>
    </row>
    <row r="180">
      <c r="A180" s="162">
        <v>45755.0</v>
      </c>
      <c r="B180" s="163">
        <v>1262.0</v>
      </c>
      <c r="C180" s="164">
        <v>682778.0</v>
      </c>
      <c r="D180" s="165" t="s">
        <v>1378</v>
      </c>
      <c r="E180" s="165">
        <v>112.0</v>
      </c>
      <c r="F180" s="63">
        <v>0.0</v>
      </c>
      <c r="G180" s="88" t="s">
        <v>5308</v>
      </c>
      <c r="H180" s="167"/>
      <c r="I180" s="167"/>
      <c r="J180" s="167"/>
      <c r="K180" s="167"/>
      <c r="L180" s="167"/>
      <c r="M180" s="167"/>
      <c r="N180" s="167"/>
      <c r="O180" s="167"/>
      <c r="P180" s="167"/>
      <c r="Q180" s="167"/>
      <c r="R180" s="167"/>
      <c r="S180" s="167"/>
    </row>
    <row r="181">
      <c r="A181" s="168">
        <v>45756.0</v>
      </c>
      <c r="B181" s="169">
        <v>1267.0</v>
      </c>
      <c r="C181" s="170">
        <v>605678.0</v>
      </c>
      <c r="D181" s="171" t="s">
        <v>376</v>
      </c>
      <c r="E181" s="171">
        <v>25.0</v>
      </c>
      <c r="F181" s="69">
        <v>7.0</v>
      </c>
      <c r="G181" s="95" t="s">
        <v>5365</v>
      </c>
      <c r="H181" s="167"/>
      <c r="I181" s="167"/>
      <c r="J181" s="167"/>
      <c r="K181" s="167"/>
      <c r="L181" s="167"/>
      <c r="M181" s="167"/>
      <c r="N181" s="167"/>
      <c r="O181" s="167"/>
      <c r="P181" s="167"/>
      <c r="Q181" s="167"/>
      <c r="R181" s="167"/>
      <c r="S181" s="167"/>
    </row>
    <row r="182">
      <c r="A182" s="162">
        <v>45758.0</v>
      </c>
      <c r="B182" s="163">
        <v>27659.0</v>
      </c>
      <c r="C182" s="164">
        <v>600697.0</v>
      </c>
      <c r="D182" s="165" t="s">
        <v>5367</v>
      </c>
      <c r="E182" s="165">
        <v>33.0</v>
      </c>
      <c r="F182" s="63">
        <v>1.0</v>
      </c>
      <c r="G182" s="88" t="s">
        <v>5365</v>
      </c>
      <c r="H182" s="167"/>
      <c r="I182" s="167"/>
      <c r="J182" s="167"/>
      <c r="K182" s="167"/>
      <c r="L182" s="167"/>
      <c r="M182" s="167"/>
      <c r="N182" s="167"/>
      <c r="O182" s="167"/>
      <c r="P182" s="167"/>
      <c r="Q182" s="167"/>
      <c r="R182" s="167"/>
      <c r="S182" s="167"/>
    </row>
    <row r="183">
      <c r="A183" s="168">
        <v>45761.0</v>
      </c>
      <c r="B183" s="169">
        <v>10605.0</v>
      </c>
      <c r="C183" s="170">
        <v>692265.0</v>
      </c>
      <c r="D183" s="171" t="s">
        <v>5314</v>
      </c>
      <c r="E183" s="171">
        <v>45.0</v>
      </c>
      <c r="F183" s="69">
        <v>12.0</v>
      </c>
      <c r="G183" s="95" t="s">
        <v>5365</v>
      </c>
      <c r="H183" s="167"/>
      <c r="I183" s="167"/>
      <c r="J183" s="167"/>
      <c r="K183" s="167"/>
      <c r="L183" s="167"/>
      <c r="M183" s="167"/>
      <c r="N183" s="167"/>
      <c r="O183" s="167"/>
      <c r="P183" s="167"/>
      <c r="Q183" s="167"/>
      <c r="R183" s="167"/>
      <c r="S183" s="167"/>
    </row>
    <row r="184">
      <c r="A184" s="162">
        <v>45762.0</v>
      </c>
      <c r="B184" s="163">
        <v>10086.0</v>
      </c>
      <c r="C184" s="164">
        <v>605678.0</v>
      </c>
      <c r="D184" s="165" t="s">
        <v>376</v>
      </c>
      <c r="E184" s="165">
        <v>20.0</v>
      </c>
      <c r="F184" s="63">
        <v>5.0</v>
      </c>
      <c r="G184" s="88" t="s">
        <v>5365</v>
      </c>
      <c r="H184" s="167"/>
      <c r="I184" s="167"/>
      <c r="J184" s="167"/>
      <c r="K184" s="167"/>
      <c r="L184" s="167"/>
      <c r="M184" s="167"/>
      <c r="N184" s="167"/>
      <c r="O184" s="167"/>
      <c r="P184" s="167"/>
      <c r="Q184" s="167"/>
      <c r="R184" s="167"/>
      <c r="S184" s="167"/>
    </row>
    <row r="185">
      <c r="A185" s="168">
        <v>45763.0</v>
      </c>
      <c r="B185" s="169">
        <v>6232.0</v>
      </c>
      <c r="C185" s="170">
        <v>692043.0</v>
      </c>
      <c r="D185" s="171" t="s">
        <v>224</v>
      </c>
      <c r="E185" s="171">
        <v>150.0</v>
      </c>
      <c r="F185" s="69">
        <v>1.0</v>
      </c>
      <c r="G185" s="95" t="s">
        <v>5341</v>
      </c>
      <c r="H185" s="167"/>
      <c r="I185" s="167"/>
      <c r="J185" s="167"/>
      <c r="K185" s="167"/>
      <c r="L185" s="167"/>
      <c r="M185" s="167"/>
      <c r="N185" s="167"/>
      <c r="O185" s="167"/>
      <c r="P185" s="167"/>
      <c r="Q185" s="167"/>
      <c r="R185" s="167"/>
      <c r="S185" s="167"/>
    </row>
    <row r="186">
      <c r="A186" s="162">
        <v>45763.0</v>
      </c>
      <c r="B186" s="163">
        <v>6232.0</v>
      </c>
      <c r="C186" s="164">
        <v>692043.0</v>
      </c>
      <c r="D186" s="165" t="s">
        <v>224</v>
      </c>
      <c r="E186" s="165">
        <v>150.0</v>
      </c>
      <c r="F186" s="63">
        <v>1.0</v>
      </c>
      <c r="G186" s="88" t="s">
        <v>5343</v>
      </c>
      <c r="H186" s="167"/>
      <c r="I186" s="167"/>
      <c r="J186" s="167"/>
      <c r="K186" s="167"/>
      <c r="L186" s="167"/>
      <c r="M186" s="167"/>
      <c r="N186" s="167"/>
      <c r="O186" s="167"/>
      <c r="P186" s="167"/>
      <c r="Q186" s="167"/>
      <c r="R186" s="167"/>
      <c r="S186" s="167"/>
    </row>
    <row r="187">
      <c r="A187" s="168">
        <v>45763.0</v>
      </c>
      <c r="B187" s="169">
        <v>6232.0</v>
      </c>
      <c r="C187" s="170">
        <v>692043.0</v>
      </c>
      <c r="D187" s="171" t="s">
        <v>224</v>
      </c>
      <c r="E187" s="171">
        <v>150.0</v>
      </c>
      <c r="F187" s="69">
        <v>1.0</v>
      </c>
      <c r="G187" s="95" t="s">
        <v>5339</v>
      </c>
      <c r="H187" s="167"/>
      <c r="I187" s="167"/>
      <c r="J187" s="167"/>
      <c r="K187" s="167"/>
      <c r="L187" s="167"/>
      <c r="M187" s="167"/>
      <c r="N187" s="167"/>
      <c r="O187" s="167"/>
      <c r="P187" s="167"/>
      <c r="Q187" s="167"/>
      <c r="R187" s="167"/>
      <c r="S187" s="167"/>
    </row>
    <row r="188">
      <c r="A188" s="162">
        <v>45763.0</v>
      </c>
      <c r="B188" s="163">
        <v>6232.0</v>
      </c>
      <c r="C188" s="164">
        <v>692043.0</v>
      </c>
      <c r="D188" s="165" t="s">
        <v>224</v>
      </c>
      <c r="E188" s="165">
        <v>150.0</v>
      </c>
      <c r="F188" s="63">
        <v>1.0</v>
      </c>
      <c r="G188" s="88" t="s">
        <v>5337</v>
      </c>
      <c r="H188" s="167"/>
      <c r="I188" s="167"/>
      <c r="J188" s="167"/>
      <c r="K188" s="167"/>
      <c r="L188" s="167"/>
      <c r="M188" s="167"/>
      <c r="N188" s="167"/>
      <c r="O188" s="167"/>
      <c r="P188" s="167"/>
      <c r="Q188" s="167"/>
      <c r="R188" s="167"/>
      <c r="S188" s="167"/>
    </row>
    <row r="189">
      <c r="A189" s="168">
        <v>45763.0</v>
      </c>
      <c r="B189" s="169">
        <v>6232.0</v>
      </c>
      <c r="C189" s="170">
        <v>692043.0</v>
      </c>
      <c r="D189" s="171" t="s">
        <v>224</v>
      </c>
      <c r="E189" s="171">
        <v>150.0</v>
      </c>
      <c r="F189" s="69">
        <v>1.0</v>
      </c>
      <c r="G189" s="95" t="s">
        <v>5336</v>
      </c>
      <c r="H189" s="167"/>
      <c r="I189" s="167"/>
      <c r="J189" s="167"/>
      <c r="K189" s="167"/>
      <c r="L189" s="167"/>
      <c r="M189" s="167"/>
      <c r="N189" s="167"/>
      <c r="O189" s="167"/>
      <c r="P189" s="167"/>
      <c r="Q189" s="167"/>
      <c r="R189" s="167"/>
      <c r="S189" s="167"/>
    </row>
    <row r="190">
      <c r="A190" s="162">
        <v>45763.0</v>
      </c>
      <c r="B190" s="163">
        <v>6232.0</v>
      </c>
      <c r="C190" s="164">
        <v>692043.0</v>
      </c>
      <c r="D190" s="165" t="s">
        <v>224</v>
      </c>
      <c r="E190" s="165">
        <v>150.0</v>
      </c>
      <c r="F190" s="63">
        <v>1.0</v>
      </c>
      <c r="G190" s="88" t="s">
        <v>5322</v>
      </c>
      <c r="H190" s="167"/>
      <c r="I190" s="167"/>
      <c r="J190" s="167"/>
      <c r="K190" s="167"/>
      <c r="L190" s="167"/>
      <c r="M190" s="167"/>
      <c r="N190" s="167"/>
      <c r="O190" s="167"/>
      <c r="P190" s="167"/>
      <c r="Q190" s="167"/>
      <c r="R190" s="167"/>
      <c r="S190" s="167"/>
    </row>
    <row r="191">
      <c r="A191" s="168">
        <v>45763.0</v>
      </c>
      <c r="B191" s="169">
        <v>6232.0</v>
      </c>
      <c r="C191" s="170">
        <v>692043.0</v>
      </c>
      <c r="D191" s="171" t="s">
        <v>224</v>
      </c>
      <c r="E191" s="171">
        <v>150.0</v>
      </c>
      <c r="F191" s="69">
        <v>1.0</v>
      </c>
      <c r="G191" s="95" t="s">
        <v>5605</v>
      </c>
      <c r="H191" s="167"/>
      <c r="I191" s="167"/>
      <c r="J191" s="167"/>
      <c r="K191" s="167"/>
      <c r="L191" s="167"/>
      <c r="M191" s="167"/>
      <c r="N191" s="167"/>
      <c r="O191" s="167"/>
      <c r="P191" s="167"/>
      <c r="Q191" s="167"/>
      <c r="R191" s="167"/>
      <c r="S191" s="167"/>
    </row>
    <row r="192">
      <c r="A192" s="162">
        <v>45763.0</v>
      </c>
      <c r="B192" s="163">
        <v>6232.0</v>
      </c>
      <c r="C192" s="164">
        <v>692043.0</v>
      </c>
      <c r="D192" s="165" t="s">
        <v>224</v>
      </c>
      <c r="E192" s="165">
        <v>150.0</v>
      </c>
      <c r="F192" s="63">
        <v>1.0</v>
      </c>
      <c r="G192" s="88" t="s">
        <v>5606</v>
      </c>
      <c r="H192" s="167"/>
      <c r="I192" s="167"/>
      <c r="J192" s="167"/>
      <c r="K192" s="167"/>
      <c r="L192" s="167"/>
      <c r="M192" s="167"/>
      <c r="N192" s="167"/>
      <c r="O192" s="167"/>
      <c r="P192" s="167"/>
      <c r="Q192" s="167"/>
      <c r="R192" s="167"/>
      <c r="S192" s="167"/>
    </row>
    <row r="193">
      <c r="A193" s="168">
        <v>45763.0</v>
      </c>
      <c r="B193" s="169">
        <v>6232.0</v>
      </c>
      <c r="C193" s="170">
        <v>692043.0</v>
      </c>
      <c r="D193" s="171" t="s">
        <v>224</v>
      </c>
      <c r="E193" s="171">
        <v>150.0</v>
      </c>
      <c r="F193" s="69">
        <v>1.0</v>
      </c>
      <c r="G193" s="95" t="s">
        <v>5607</v>
      </c>
      <c r="H193" s="167"/>
      <c r="I193" s="167"/>
      <c r="J193" s="167"/>
      <c r="K193" s="167"/>
      <c r="L193" s="167"/>
      <c r="M193" s="167"/>
      <c r="N193" s="167"/>
      <c r="O193" s="167"/>
      <c r="P193" s="167"/>
      <c r="Q193" s="167"/>
      <c r="R193" s="167"/>
      <c r="S193" s="167"/>
    </row>
    <row r="194">
      <c r="A194" s="162">
        <v>45763.0</v>
      </c>
      <c r="B194" s="163">
        <v>6232.0</v>
      </c>
      <c r="C194" s="164">
        <v>692043.0</v>
      </c>
      <c r="D194" s="165" t="s">
        <v>224</v>
      </c>
      <c r="E194" s="165">
        <v>150.0</v>
      </c>
      <c r="F194" s="63">
        <v>1.0</v>
      </c>
      <c r="G194" s="88" t="s">
        <v>5420</v>
      </c>
      <c r="H194" s="167"/>
      <c r="I194" s="167"/>
      <c r="J194" s="167"/>
      <c r="K194" s="167"/>
      <c r="L194" s="167"/>
      <c r="M194" s="167"/>
      <c r="N194" s="167"/>
      <c r="O194" s="167"/>
      <c r="P194" s="167"/>
      <c r="Q194" s="167"/>
      <c r="R194" s="167"/>
      <c r="S194" s="167"/>
    </row>
    <row r="195">
      <c r="A195" s="168">
        <v>45763.0</v>
      </c>
      <c r="B195" s="169">
        <v>6227.0</v>
      </c>
      <c r="C195" s="170">
        <v>692043.0</v>
      </c>
      <c r="D195" s="171" t="s">
        <v>224</v>
      </c>
      <c r="E195" s="171">
        <v>150.0</v>
      </c>
      <c r="F195" s="69">
        <v>1.0</v>
      </c>
      <c r="G195" s="95" t="s">
        <v>5421</v>
      </c>
      <c r="H195" s="167"/>
      <c r="I195" s="167"/>
      <c r="J195" s="167"/>
      <c r="K195" s="167"/>
      <c r="L195" s="167"/>
      <c r="M195" s="167"/>
      <c r="N195" s="167"/>
      <c r="O195" s="167"/>
      <c r="P195" s="167"/>
      <c r="Q195" s="167"/>
      <c r="R195" s="167"/>
      <c r="S195" s="167"/>
    </row>
    <row r="196">
      <c r="A196" s="162">
        <v>45763.0</v>
      </c>
      <c r="B196" s="163">
        <v>6227.0</v>
      </c>
      <c r="C196" s="164">
        <v>692043.0</v>
      </c>
      <c r="D196" s="165" t="s">
        <v>224</v>
      </c>
      <c r="E196" s="165">
        <v>150.0</v>
      </c>
      <c r="F196" s="63">
        <v>1.0</v>
      </c>
      <c r="G196" s="88" t="s">
        <v>5391</v>
      </c>
      <c r="H196" s="167"/>
      <c r="I196" s="167"/>
      <c r="J196" s="167"/>
      <c r="K196" s="167"/>
      <c r="L196" s="167"/>
      <c r="M196" s="167"/>
      <c r="N196" s="167"/>
      <c r="O196" s="167"/>
      <c r="P196" s="167"/>
      <c r="Q196" s="167"/>
      <c r="R196" s="167"/>
      <c r="S196" s="167"/>
    </row>
    <row r="197">
      <c r="A197" s="168">
        <v>45763.0</v>
      </c>
      <c r="B197" s="169">
        <v>6227.0</v>
      </c>
      <c r="C197" s="170">
        <v>692043.0</v>
      </c>
      <c r="D197" s="171" t="s">
        <v>224</v>
      </c>
      <c r="E197" s="171">
        <v>150.0</v>
      </c>
      <c r="F197" s="69">
        <v>1.0</v>
      </c>
      <c r="G197" s="95" t="s">
        <v>5393</v>
      </c>
      <c r="H197" s="167"/>
      <c r="I197" s="167"/>
      <c r="J197" s="167"/>
      <c r="K197" s="167"/>
      <c r="L197" s="167"/>
      <c r="M197" s="167"/>
      <c r="N197" s="167"/>
      <c r="O197" s="167"/>
      <c r="P197" s="167"/>
      <c r="Q197" s="167"/>
      <c r="R197" s="167"/>
      <c r="S197" s="167"/>
    </row>
    <row r="198">
      <c r="A198" s="162">
        <v>45763.0</v>
      </c>
      <c r="B198" s="163">
        <v>6227.0</v>
      </c>
      <c r="C198" s="164">
        <v>692043.0</v>
      </c>
      <c r="D198" s="165" t="s">
        <v>224</v>
      </c>
      <c r="E198" s="165">
        <v>150.0</v>
      </c>
      <c r="F198" s="63">
        <v>1.0</v>
      </c>
      <c r="G198" s="88" t="s">
        <v>5392</v>
      </c>
      <c r="H198" s="167"/>
      <c r="I198" s="167"/>
      <c r="J198" s="167"/>
      <c r="K198" s="167"/>
      <c r="L198" s="167"/>
      <c r="M198" s="167"/>
      <c r="N198" s="167"/>
      <c r="O198" s="167"/>
      <c r="P198" s="167"/>
      <c r="Q198" s="167"/>
      <c r="R198" s="167"/>
      <c r="S198" s="167"/>
    </row>
    <row r="199">
      <c r="A199" s="168">
        <v>45763.0</v>
      </c>
      <c r="B199" s="169">
        <v>6227.0</v>
      </c>
      <c r="C199" s="170">
        <v>692043.0</v>
      </c>
      <c r="D199" s="171" t="s">
        <v>224</v>
      </c>
      <c r="E199" s="171">
        <v>150.0</v>
      </c>
      <c r="F199" s="69">
        <v>1.0</v>
      </c>
      <c r="G199" s="95" t="s">
        <v>5394</v>
      </c>
      <c r="H199" s="167"/>
      <c r="I199" s="167"/>
      <c r="J199" s="167"/>
      <c r="K199" s="167"/>
      <c r="L199" s="167"/>
      <c r="M199" s="167"/>
      <c r="N199" s="167"/>
      <c r="O199" s="167"/>
      <c r="P199" s="167"/>
      <c r="Q199" s="167"/>
      <c r="R199" s="167"/>
      <c r="S199" s="167"/>
    </row>
    <row r="200">
      <c r="A200" s="162">
        <v>45763.0</v>
      </c>
      <c r="B200" s="163">
        <v>6227.0</v>
      </c>
      <c r="C200" s="164">
        <v>692043.0</v>
      </c>
      <c r="D200" s="165" t="s">
        <v>224</v>
      </c>
      <c r="E200" s="165">
        <v>150.0</v>
      </c>
      <c r="F200" s="63">
        <v>1.0</v>
      </c>
      <c r="G200" s="88" t="s">
        <v>5395</v>
      </c>
      <c r="H200" s="167"/>
      <c r="I200" s="167"/>
      <c r="J200" s="167"/>
      <c r="K200" s="167"/>
      <c r="L200" s="167"/>
      <c r="M200" s="167"/>
      <c r="N200" s="167"/>
      <c r="O200" s="167"/>
      <c r="P200" s="167"/>
      <c r="Q200" s="167"/>
      <c r="R200" s="167"/>
      <c r="S200" s="167"/>
    </row>
    <row r="201">
      <c r="A201" s="168">
        <v>45763.0</v>
      </c>
      <c r="B201" s="169">
        <v>5544.0</v>
      </c>
      <c r="C201" s="170">
        <v>682778.0</v>
      </c>
      <c r="D201" s="171" t="s">
        <v>1378</v>
      </c>
      <c r="E201" s="171">
        <v>150.0</v>
      </c>
      <c r="F201" s="69">
        <v>13.0</v>
      </c>
      <c r="G201" s="95" t="s">
        <v>5375</v>
      </c>
      <c r="H201" s="167"/>
      <c r="I201" s="167"/>
      <c r="J201" s="167"/>
      <c r="K201" s="167"/>
      <c r="L201" s="167"/>
      <c r="M201" s="167"/>
      <c r="N201" s="167"/>
      <c r="O201" s="167"/>
      <c r="P201" s="167"/>
      <c r="Q201" s="167"/>
      <c r="R201" s="167"/>
      <c r="S201" s="167"/>
    </row>
    <row r="202">
      <c r="A202" s="162">
        <v>45763.0</v>
      </c>
      <c r="B202" s="163">
        <v>6247.0</v>
      </c>
      <c r="C202" s="164">
        <v>692043.0</v>
      </c>
      <c r="D202" s="165" t="s">
        <v>224</v>
      </c>
      <c r="E202" s="165">
        <v>150.0</v>
      </c>
      <c r="F202" s="63">
        <v>1.0</v>
      </c>
      <c r="G202" s="88" t="s">
        <v>5621</v>
      </c>
      <c r="H202" s="167"/>
      <c r="I202" s="167"/>
      <c r="J202" s="167"/>
      <c r="K202" s="167"/>
      <c r="L202" s="167"/>
      <c r="M202" s="167"/>
      <c r="N202" s="167"/>
      <c r="O202" s="167"/>
      <c r="P202" s="167"/>
      <c r="Q202" s="167"/>
      <c r="R202" s="167"/>
      <c r="S202" s="167"/>
    </row>
    <row r="203">
      <c r="A203" s="168">
        <v>45763.0</v>
      </c>
      <c r="B203" s="169">
        <v>6238.0</v>
      </c>
      <c r="C203" s="170">
        <v>692043.0</v>
      </c>
      <c r="D203" s="171" t="s">
        <v>224</v>
      </c>
      <c r="E203" s="171">
        <v>205.0</v>
      </c>
      <c r="F203" s="69">
        <v>1.0</v>
      </c>
      <c r="G203" s="95" t="s">
        <v>5414</v>
      </c>
      <c r="H203" s="167"/>
      <c r="I203" s="167"/>
      <c r="J203" s="167"/>
      <c r="K203" s="167"/>
      <c r="L203" s="167"/>
      <c r="M203" s="167"/>
      <c r="N203" s="167"/>
      <c r="O203" s="167"/>
      <c r="P203" s="167"/>
      <c r="Q203" s="167"/>
      <c r="R203" s="167"/>
      <c r="S203" s="167"/>
    </row>
    <row r="204">
      <c r="A204" s="162">
        <v>45763.0</v>
      </c>
      <c r="B204" s="163">
        <v>6238.0</v>
      </c>
      <c r="C204" s="164">
        <v>692043.0</v>
      </c>
      <c r="D204" s="165" t="s">
        <v>224</v>
      </c>
      <c r="E204" s="165">
        <v>150.0</v>
      </c>
      <c r="F204" s="63">
        <v>1.0</v>
      </c>
      <c r="G204" s="88" t="s">
        <v>5405</v>
      </c>
      <c r="H204" s="167"/>
      <c r="I204" s="167"/>
      <c r="J204" s="167"/>
      <c r="K204" s="167"/>
      <c r="L204" s="167"/>
      <c r="M204" s="167"/>
      <c r="N204" s="167"/>
      <c r="O204" s="167"/>
      <c r="P204" s="167"/>
      <c r="Q204" s="167"/>
      <c r="R204" s="167"/>
      <c r="S204" s="167"/>
    </row>
    <row r="205">
      <c r="A205" s="168">
        <v>45763.0</v>
      </c>
      <c r="B205" s="169">
        <v>6238.0</v>
      </c>
      <c r="C205" s="170">
        <v>692043.0</v>
      </c>
      <c r="D205" s="171" t="s">
        <v>224</v>
      </c>
      <c r="E205" s="171">
        <v>150.0</v>
      </c>
      <c r="F205" s="69">
        <v>1.0</v>
      </c>
      <c r="G205" s="95" t="s">
        <v>5622</v>
      </c>
      <c r="H205" s="167"/>
      <c r="I205" s="167"/>
      <c r="J205" s="167"/>
      <c r="K205" s="167"/>
      <c r="L205" s="167"/>
      <c r="M205" s="167"/>
      <c r="N205" s="167"/>
      <c r="O205" s="167"/>
      <c r="P205" s="167"/>
      <c r="Q205" s="167"/>
      <c r="R205" s="167"/>
      <c r="S205" s="167"/>
    </row>
    <row r="206">
      <c r="A206" s="162">
        <v>45763.0</v>
      </c>
      <c r="B206" s="163">
        <v>6238.0</v>
      </c>
      <c r="C206" s="164">
        <v>692043.0</v>
      </c>
      <c r="D206" s="165" t="s">
        <v>224</v>
      </c>
      <c r="E206" s="165">
        <v>93.0</v>
      </c>
      <c r="F206" s="63">
        <v>1.0</v>
      </c>
      <c r="G206" s="88" t="s">
        <v>5623</v>
      </c>
      <c r="H206" s="167"/>
      <c r="I206" s="167"/>
      <c r="J206" s="167"/>
      <c r="K206" s="167"/>
      <c r="L206" s="167"/>
      <c r="M206" s="167"/>
      <c r="N206" s="167"/>
      <c r="O206" s="167"/>
      <c r="P206" s="167"/>
      <c r="Q206" s="167"/>
      <c r="R206" s="167"/>
      <c r="S206" s="167"/>
    </row>
    <row r="207">
      <c r="A207" s="168">
        <v>45763.0</v>
      </c>
      <c r="B207" s="169">
        <v>6238.0</v>
      </c>
      <c r="C207" s="170">
        <v>692043.0</v>
      </c>
      <c r="D207" s="171" t="s">
        <v>224</v>
      </c>
      <c r="E207" s="171">
        <v>150.0</v>
      </c>
      <c r="F207" s="69">
        <v>1.0</v>
      </c>
      <c r="G207" s="95" t="s">
        <v>5624</v>
      </c>
      <c r="H207" s="167"/>
      <c r="I207" s="167"/>
      <c r="J207" s="167"/>
      <c r="K207" s="167"/>
      <c r="L207" s="167"/>
      <c r="M207" s="167"/>
      <c r="N207" s="167"/>
      <c r="O207" s="167"/>
      <c r="P207" s="167"/>
      <c r="Q207" s="167"/>
      <c r="R207" s="167"/>
      <c r="S207" s="167"/>
    </row>
    <row r="208">
      <c r="A208" s="162">
        <v>45763.0</v>
      </c>
      <c r="B208" s="163">
        <v>6228.0</v>
      </c>
      <c r="C208" s="164">
        <v>692043.0</v>
      </c>
      <c r="D208" s="165" t="s">
        <v>224</v>
      </c>
      <c r="E208" s="165">
        <v>150.0</v>
      </c>
      <c r="F208" s="63">
        <v>1.0</v>
      </c>
      <c r="G208" s="88" t="s">
        <v>5416</v>
      </c>
      <c r="H208" s="167"/>
      <c r="I208" s="167"/>
      <c r="J208" s="167"/>
      <c r="K208" s="167"/>
      <c r="L208" s="167"/>
      <c r="M208" s="167"/>
      <c r="N208" s="167"/>
      <c r="O208" s="167"/>
      <c r="P208" s="167"/>
      <c r="Q208" s="167"/>
      <c r="R208" s="167"/>
      <c r="S208" s="167"/>
    </row>
    <row r="209">
      <c r="A209" s="168">
        <v>45763.0</v>
      </c>
      <c r="B209" s="169">
        <v>6228.0</v>
      </c>
      <c r="C209" s="170">
        <v>692043.0</v>
      </c>
      <c r="D209" s="171" t="s">
        <v>224</v>
      </c>
      <c r="E209" s="171">
        <v>150.0</v>
      </c>
      <c r="F209" s="69">
        <v>1.0</v>
      </c>
      <c r="G209" s="95" t="s">
        <v>5625</v>
      </c>
      <c r="H209" s="167"/>
      <c r="I209" s="167"/>
      <c r="J209" s="167"/>
      <c r="K209" s="167"/>
      <c r="L209" s="167"/>
      <c r="M209" s="167"/>
      <c r="N209" s="167"/>
      <c r="O209" s="167"/>
      <c r="P209" s="167"/>
      <c r="Q209" s="167"/>
      <c r="R209" s="167"/>
      <c r="S209" s="167"/>
    </row>
    <row r="210">
      <c r="A210" s="162">
        <v>45763.0</v>
      </c>
      <c r="B210" s="163">
        <v>6228.0</v>
      </c>
      <c r="C210" s="164">
        <v>692043.0</v>
      </c>
      <c r="D210" s="165" t="s">
        <v>224</v>
      </c>
      <c r="E210" s="165">
        <v>150.0</v>
      </c>
      <c r="F210" s="63">
        <v>1.0</v>
      </c>
      <c r="G210" s="88" t="s">
        <v>5313</v>
      </c>
      <c r="H210" s="167"/>
      <c r="I210" s="167"/>
      <c r="J210" s="167"/>
      <c r="K210" s="167"/>
      <c r="L210" s="167"/>
      <c r="M210" s="167"/>
      <c r="N210" s="167"/>
      <c r="O210" s="167"/>
      <c r="P210" s="167"/>
      <c r="Q210" s="167"/>
      <c r="R210" s="167"/>
      <c r="S210" s="167"/>
    </row>
    <row r="211">
      <c r="A211" s="168">
        <v>45763.0</v>
      </c>
      <c r="B211" s="169">
        <v>6228.0</v>
      </c>
      <c r="C211" s="170">
        <v>692043.0</v>
      </c>
      <c r="D211" s="171" t="s">
        <v>224</v>
      </c>
      <c r="E211" s="171">
        <v>150.0</v>
      </c>
      <c r="F211" s="69">
        <v>1.0</v>
      </c>
      <c r="G211" s="95" t="s">
        <v>5418</v>
      </c>
      <c r="H211" s="167"/>
      <c r="I211" s="167"/>
      <c r="J211" s="167"/>
      <c r="K211" s="167"/>
      <c r="L211" s="167"/>
      <c r="M211" s="167"/>
      <c r="N211" s="167"/>
      <c r="O211" s="167"/>
      <c r="P211" s="167"/>
      <c r="Q211" s="167"/>
      <c r="R211" s="167"/>
      <c r="S211" s="167"/>
    </row>
    <row r="212">
      <c r="A212" s="162">
        <v>45769.0</v>
      </c>
      <c r="B212" s="163">
        <v>10625.0</v>
      </c>
      <c r="C212" s="164">
        <v>692265.0</v>
      </c>
      <c r="D212" s="165" t="s">
        <v>5314</v>
      </c>
      <c r="E212" s="165">
        <v>45.0</v>
      </c>
      <c r="F212" s="63">
        <v>12.0</v>
      </c>
      <c r="G212" s="88" t="s">
        <v>5374</v>
      </c>
      <c r="H212" s="167"/>
      <c r="I212" s="167"/>
      <c r="J212" s="167"/>
      <c r="K212" s="167"/>
      <c r="L212" s="167"/>
      <c r="M212" s="167"/>
      <c r="N212" s="167"/>
      <c r="O212" s="167"/>
      <c r="P212" s="167"/>
      <c r="Q212" s="167"/>
      <c r="R212" s="167"/>
      <c r="S212" s="167"/>
    </row>
    <row r="213">
      <c r="A213" s="168">
        <v>45769.0</v>
      </c>
      <c r="B213" s="169">
        <v>18450.0</v>
      </c>
      <c r="C213" s="170">
        <v>605678.0</v>
      </c>
      <c r="D213" s="171" t="s">
        <v>376</v>
      </c>
      <c r="E213" s="171">
        <v>30.0</v>
      </c>
      <c r="F213" s="69">
        <v>8.0</v>
      </c>
      <c r="G213" s="95" t="s">
        <v>5375</v>
      </c>
      <c r="H213" s="167"/>
      <c r="I213" s="167"/>
      <c r="J213" s="167"/>
      <c r="K213" s="167"/>
      <c r="L213" s="167"/>
      <c r="M213" s="167"/>
      <c r="N213" s="167"/>
      <c r="O213" s="167"/>
      <c r="P213" s="167"/>
      <c r="Q213" s="167"/>
      <c r="R213" s="167"/>
      <c r="S213" s="167"/>
    </row>
    <row r="214">
      <c r="A214" s="162">
        <v>45770.0</v>
      </c>
      <c r="B214" s="163">
        <v>5573.0</v>
      </c>
      <c r="C214" s="164">
        <v>682778.0</v>
      </c>
      <c r="D214" s="165" t="s">
        <v>1378</v>
      </c>
      <c r="E214" s="165">
        <v>150.0</v>
      </c>
      <c r="F214" s="63">
        <v>0.0</v>
      </c>
      <c r="G214" s="88" t="s">
        <v>5374</v>
      </c>
      <c r="H214" s="167"/>
      <c r="I214" s="167"/>
      <c r="J214" s="167"/>
      <c r="K214" s="167"/>
      <c r="L214" s="167"/>
      <c r="M214" s="167"/>
      <c r="N214" s="167"/>
      <c r="O214" s="167"/>
      <c r="P214" s="167"/>
      <c r="Q214" s="167"/>
      <c r="R214" s="167"/>
      <c r="S214" s="167"/>
    </row>
    <row r="215">
      <c r="A215" s="168">
        <v>45770.0</v>
      </c>
      <c r="B215" s="169" t="s">
        <v>5626</v>
      </c>
      <c r="C215" s="170">
        <v>600659.0</v>
      </c>
      <c r="D215" s="171" t="s">
        <v>5377</v>
      </c>
      <c r="E215" s="171">
        <v>62.0</v>
      </c>
      <c r="F215" s="69">
        <v>0.0</v>
      </c>
      <c r="G215" s="95" t="s">
        <v>5378</v>
      </c>
      <c r="H215" s="167"/>
      <c r="I215" s="167"/>
      <c r="J215" s="167"/>
      <c r="K215" s="167"/>
      <c r="L215" s="167"/>
      <c r="M215" s="167"/>
      <c r="N215" s="167"/>
      <c r="O215" s="167"/>
      <c r="P215" s="167"/>
      <c r="Q215" s="167"/>
      <c r="R215" s="167"/>
      <c r="S215" s="167"/>
    </row>
    <row r="216">
      <c r="A216" s="162">
        <v>45771.0</v>
      </c>
      <c r="B216" s="163" t="s">
        <v>5627</v>
      </c>
      <c r="C216" s="164">
        <v>600659.0</v>
      </c>
      <c r="D216" s="165" t="s">
        <v>5377</v>
      </c>
      <c r="E216" s="165">
        <v>17.0</v>
      </c>
      <c r="F216" s="63">
        <v>0.0</v>
      </c>
      <c r="G216" s="88" t="s">
        <v>5386</v>
      </c>
      <c r="H216" s="167"/>
      <c r="I216" s="167"/>
      <c r="J216" s="167"/>
      <c r="K216" s="167"/>
      <c r="L216" s="167"/>
      <c r="M216" s="167"/>
      <c r="N216" s="167"/>
      <c r="O216" s="167"/>
      <c r="P216" s="167"/>
      <c r="Q216" s="167"/>
      <c r="R216" s="167"/>
      <c r="S216" s="167"/>
    </row>
    <row r="217">
      <c r="A217" s="168">
        <v>45771.0</v>
      </c>
      <c r="B217" s="169">
        <v>6305.0</v>
      </c>
      <c r="C217" s="170" t="s">
        <v>5403</v>
      </c>
      <c r="D217" s="171" t="s">
        <v>218</v>
      </c>
      <c r="E217" s="171">
        <v>200.0</v>
      </c>
      <c r="F217" s="69">
        <v>0.0</v>
      </c>
      <c r="G217" s="95" t="s">
        <v>5617</v>
      </c>
      <c r="H217" s="167"/>
      <c r="I217" s="167"/>
      <c r="J217" s="167"/>
      <c r="K217" s="167"/>
      <c r="L217" s="167"/>
      <c r="M217" s="167"/>
      <c r="N217" s="167"/>
      <c r="O217" s="167"/>
      <c r="P217" s="167"/>
      <c r="Q217" s="167"/>
      <c r="R217" s="167"/>
      <c r="S217" s="167"/>
    </row>
    <row r="218">
      <c r="A218" s="162">
        <v>45771.0</v>
      </c>
      <c r="B218" s="163">
        <v>6305.0</v>
      </c>
      <c r="C218" s="164" t="s">
        <v>5403</v>
      </c>
      <c r="D218" s="165" t="s">
        <v>218</v>
      </c>
      <c r="E218" s="165">
        <v>200.0</v>
      </c>
      <c r="F218" s="63">
        <v>0.0</v>
      </c>
      <c r="G218" s="88" t="s">
        <v>5374</v>
      </c>
      <c r="H218" s="167"/>
      <c r="I218" s="167"/>
      <c r="J218" s="167"/>
      <c r="K218" s="167"/>
      <c r="L218" s="167"/>
      <c r="M218" s="167"/>
      <c r="N218" s="167"/>
      <c r="O218" s="167"/>
      <c r="P218" s="167"/>
      <c r="Q218" s="167"/>
      <c r="R218" s="167"/>
      <c r="S218" s="167"/>
    </row>
    <row r="219">
      <c r="A219" s="168">
        <v>45771.0</v>
      </c>
      <c r="B219" s="169">
        <v>6305.0</v>
      </c>
      <c r="C219" s="170" t="s">
        <v>5403</v>
      </c>
      <c r="D219" s="171" t="s">
        <v>218</v>
      </c>
      <c r="E219" s="171">
        <v>200.0</v>
      </c>
      <c r="F219" s="69">
        <v>0.0</v>
      </c>
      <c r="G219" s="95" t="s">
        <v>5375</v>
      </c>
      <c r="H219" s="167"/>
      <c r="I219" s="167"/>
      <c r="J219" s="167"/>
      <c r="K219" s="167"/>
      <c r="L219" s="167"/>
      <c r="M219" s="167"/>
      <c r="N219" s="167"/>
      <c r="O219" s="167"/>
      <c r="P219" s="167"/>
      <c r="Q219" s="167"/>
      <c r="R219" s="167"/>
      <c r="S219" s="167"/>
    </row>
    <row r="220">
      <c r="A220" s="162">
        <v>45772.0</v>
      </c>
      <c r="B220" s="163">
        <v>6306.0</v>
      </c>
      <c r="C220" s="164" t="s">
        <v>5403</v>
      </c>
      <c r="D220" s="165" t="s">
        <v>218</v>
      </c>
      <c r="E220" s="165">
        <v>200.0</v>
      </c>
      <c r="F220" s="63">
        <v>1.0</v>
      </c>
      <c r="G220" s="88" t="s">
        <v>5617</v>
      </c>
      <c r="H220" s="167"/>
      <c r="I220" s="167"/>
      <c r="J220" s="167"/>
      <c r="K220" s="167"/>
      <c r="L220" s="167"/>
      <c r="M220" s="167"/>
      <c r="N220" s="167"/>
      <c r="O220" s="167"/>
      <c r="P220" s="167"/>
      <c r="Q220" s="167"/>
      <c r="R220" s="167"/>
      <c r="S220" s="167"/>
    </row>
    <row r="221">
      <c r="A221" s="168">
        <v>45772.0</v>
      </c>
      <c r="B221" s="169">
        <v>6306.0</v>
      </c>
      <c r="C221" s="170" t="s">
        <v>5403</v>
      </c>
      <c r="D221" s="171" t="s">
        <v>218</v>
      </c>
      <c r="E221" s="171">
        <v>200.0</v>
      </c>
      <c r="F221" s="69">
        <v>1.0</v>
      </c>
      <c r="G221" s="95" t="s">
        <v>5374</v>
      </c>
      <c r="H221" s="167"/>
      <c r="I221" s="167"/>
      <c r="J221" s="167"/>
      <c r="K221" s="167"/>
      <c r="L221" s="167"/>
      <c r="M221" s="167"/>
      <c r="N221" s="167"/>
      <c r="O221" s="167"/>
      <c r="P221" s="167"/>
      <c r="Q221" s="167"/>
      <c r="R221" s="167"/>
      <c r="S221" s="167"/>
    </row>
    <row r="222">
      <c r="A222" s="162">
        <v>45772.0</v>
      </c>
      <c r="B222" s="163">
        <v>6306.0</v>
      </c>
      <c r="C222" s="164" t="s">
        <v>5403</v>
      </c>
      <c r="D222" s="165" t="s">
        <v>218</v>
      </c>
      <c r="E222" s="165">
        <v>200.0</v>
      </c>
      <c r="F222" s="63">
        <v>1.0</v>
      </c>
      <c r="G222" s="88" t="s">
        <v>5621</v>
      </c>
      <c r="H222" s="167"/>
      <c r="I222" s="167"/>
      <c r="J222" s="167"/>
      <c r="K222" s="167"/>
      <c r="L222" s="167"/>
      <c r="M222" s="167"/>
      <c r="N222" s="167"/>
      <c r="O222" s="167"/>
      <c r="P222" s="167"/>
      <c r="Q222" s="167"/>
      <c r="R222" s="167"/>
      <c r="S222" s="167"/>
    </row>
    <row r="223">
      <c r="A223" s="168">
        <v>45772.0</v>
      </c>
      <c r="B223" s="169">
        <v>6306.0</v>
      </c>
      <c r="C223" s="170" t="s">
        <v>5403</v>
      </c>
      <c r="D223" s="171" t="s">
        <v>218</v>
      </c>
      <c r="E223" s="171">
        <v>200.0</v>
      </c>
      <c r="F223" s="69">
        <v>1.0</v>
      </c>
      <c r="G223" s="95" t="s">
        <v>5414</v>
      </c>
      <c r="H223" s="167"/>
      <c r="I223" s="167"/>
      <c r="J223" s="167"/>
      <c r="K223" s="167"/>
      <c r="L223" s="167"/>
      <c r="M223" s="167"/>
      <c r="N223" s="167"/>
      <c r="O223" s="167"/>
      <c r="P223" s="167"/>
      <c r="Q223" s="167"/>
      <c r="R223" s="167"/>
      <c r="S223" s="167"/>
    </row>
    <row r="224">
      <c r="A224" s="162">
        <v>45772.0</v>
      </c>
      <c r="B224" s="163">
        <v>6306.0</v>
      </c>
      <c r="C224" s="164" t="s">
        <v>5403</v>
      </c>
      <c r="D224" s="165" t="s">
        <v>218</v>
      </c>
      <c r="E224" s="165">
        <v>200.0</v>
      </c>
      <c r="F224" s="63">
        <v>1.0</v>
      </c>
      <c r="G224" s="88" t="s">
        <v>5405</v>
      </c>
      <c r="H224" s="167"/>
      <c r="I224" s="167"/>
      <c r="J224" s="167"/>
      <c r="K224" s="167"/>
      <c r="L224" s="167"/>
      <c r="M224" s="167"/>
      <c r="N224" s="167"/>
      <c r="O224" s="167"/>
      <c r="P224" s="167"/>
      <c r="Q224" s="167"/>
      <c r="R224" s="167"/>
      <c r="S224" s="167"/>
    </row>
    <row r="225">
      <c r="A225" s="168">
        <v>45772.0</v>
      </c>
      <c r="B225" s="169">
        <v>6306.0</v>
      </c>
      <c r="C225" s="170" t="s">
        <v>5403</v>
      </c>
      <c r="D225" s="171" t="s">
        <v>218</v>
      </c>
      <c r="E225" s="171">
        <v>200.0</v>
      </c>
      <c r="F225" s="69">
        <v>1.0</v>
      </c>
      <c r="G225" s="95" t="s">
        <v>5622</v>
      </c>
      <c r="H225" s="167"/>
      <c r="I225" s="167"/>
      <c r="J225" s="167"/>
      <c r="K225" s="167"/>
      <c r="L225" s="167"/>
      <c r="M225" s="167"/>
      <c r="N225" s="167"/>
      <c r="O225" s="167"/>
      <c r="P225" s="167"/>
      <c r="Q225" s="167"/>
      <c r="R225" s="167"/>
      <c r="S225" s="167"/>
    </row>
    <row r="226">
      <c r="A226" s="162">
        <v>45772.0</v>
      </c>
      <c r="B226" s="163">
        <v>6306.0</v>
      </c>
      <c r="C226" s="164" t="s">
        <v>5403</v>
      </c>
      <c r="D226" s="165" t="s">
        <v>218</v>
      </c>
      <c r="E226" s="165">
        <v>200.0</v>
      </c>
      <c r="F226" s="63">
        <v>1.0</v>
      </c>
      <c r="G226" s="88" t="s">
        <v>5623</v>
      </c>
      <c r="H226" s="167"/>
      <c r="I226" s="167"/>
      <c r="J226" s="167"/>
      <c r="K226" s="167"/>
      <c r="L226" s="167"/>
      <c r="M226" s="167"/>
      <c r="N226" s="167"/>
      <c r="O226" s="167"/>
      <c r="P226" s="167"/>
      <c r="Q226" s="167"/>
      <c r="R226" s="167"/>
      <c r="S226" s="167"/>
    </row>
    <row r="227">
      <c r="A227" s="168">
        <v>45772.0</v>
      </c>
      <c r="B227" s="169">
        <v>6306.0</v>
      </c>
      <c r="C227" s="170" t="s">
        <v>5403</v>
      </c>
      <c r="D227" s="171" t="s">
        <v>218</v>
      </c>
      <c r="E227" s="171">
        <v>200.0</v>
      </c>
      <c r="F227" s="69">
        <v>1.0</v>
      </c>
      <c r="G227" s="95" t="s">
        <v>5624</v>
      </c>
      <c r="H227" s="167"/>
      <c r="I227" s="167"/>
      <c r="J227" s="167"/>
      <c r="K227" s="167"/>
      <c r="L227" s="167"/>
      <c r="M227" s="167"/>
      <c r="N227" s="167"/>
      <c r="O227" s="167"/>
      <c r="P227" s="167"/>
      <c r="Q227" s="167"/>
      <c r="R227" s="167"/>
      <c r="S227" s="167"/>
    </row>
    <row r="228">
      <c r="A228" s="162">
        <v>45772.0</v>
      </c>
      <c r="B228" s="163">
        <v>6306.0</v>
      </c>
      <c r="C228" s="164" t="s">
        <v>5403</v>
      </c>
      <c r="D228" s="165" t="s">
        <v>218</v>
      </c>
      <c r="E228" s="165">
        <v>200.0</v>
      </c>
      <c r="F228" s="63">
        <v>1.0</v>
      </c>
      <c r="G228" s="88" t="s">
        <v>5416</v>
      </c>
      <c r="H228" s="167"/>
      <c r="I228" s="167"/>
      <c r="J228" s="167"/>
      <c r="K228" s="167"/>
      <c r="L228" s="167"/>
      <c r="M228" s="167"/>
      <c r="N228" s="167"/>
      <c r="O228" s="167"/>
      <c r="P228" s="167"/>
      <c r="Q228" s="167"/>
      <c r="R228" s="167"/>
      <c r="S228" s="167"/>
    </row>
    <row r="229">
      <c r="A229" s="168">
        <v>45772.0</v>
      </c>
      <c r="B229" s="169">
        <v>6306.0</v>
      </c>
      <c r="C229" s="170" t="s">
        <v>5403</v>
      </c>
      <c r="D229" s="171" t="s">
        <v>218</v>
      </c>
      <c r="E229" s="171">
        <v>200.0</v>
      </c>
      <c r="F229" s="69">
        <v>1.0</v>
      </c>
      <c r="G229" s="95" t="s">
        <v>5625</v>
      </c>
      <c r="H229" s="167"/>
      <c r="I229" s="167"/>
      <c r="J229" s="167"/>
      <c r="K229" s="167"/>
      <c r="L229" s="167"/>
      <c r="M229" s="167"/>
      <c r="N229" s="167"/>
      <c r="O229" s="167"/>
      <c r="P229" s="167"/>
      <c r="Q229" s="167"/>
      <c r="R229" s="167"/>
      <c r="S229" s="167"/>
    </row>
    <row r="230">
      <c r="A230" s="162">
        <v>45772.0</v>
      </c>
      <c r="B230" s="163">
        <v>6306.0</v>
      </c>
      <c r="C230" s="164" t="s">
        <v>5403</v>
      </c>
      <c r="D230" s="165" t="s">
        <v>218</v>
      </c>
      <c r="E230" s="165">
        <v>200.0</v>
      </c>
      <c r="F230" s="63">
        <v>1.0</v>
      </c>
      <c r="G230" s="88" t="s">
        <v>5628</v>
      </c>
      <c r="H230" s="167"/>
      <c r="I230" s="167"/>
      <c r="J230" s="167"/>
      <c r="K230" s="167"/>
      <c r="L230" s="167"/>
      <c r="M230" s="167"/>
      <c r="N230" s="167"/>
      <c r="O230" s="167"/>
      <c r="P230" s="167"/>
      <c r="Q230" s="167"/>
      <c r="R230" s="167"/>
      <c r="S230" s="167"/>
    </row>
    <row r="231">
      <c r="A231" s="168">
        <v>45775.0</v>
      </c>
      <c r="B231" s="169">
        <v>6316.0</v>
      </c>
      <c r="C231" s="170" t="s">
        <v>5403</v>
      </c>
      <c r="D231" s="171" t="s">
        <v>218</v>
      </c>
      <c r="E231" s="171">
        <v>200.0</v>
      </c>
      <c r="F231" s="69">
        <v>1.0</v>
      </c>
      <c r="G231" s="95" t="s">
        <v>5374</v>
      </c>
      <c r="H231" s="167"/>
      <c r="I231" s="167"/>
      <c r="J231" s="167"/>
      <c r="K231" s="167"/>
      <c r="L231" s="167"/>
      <c r="M231" s="167"/>
      <c r="N231" s="167"/>
      <c r="O231" s="167"/>
      <c r="P231" s="167"/>
      <c r="Q231" s="167"/>
      <c r="R231" s="167"/>
      <c r="S231" s="167"/>
    </row>
    <row r="232">
      <c r="A232" s="162">
        <v>45775.0</v>
      </c>
      <c r="B232" s="163">
        <v>6316.0</v>
      </c>
      <c r="C232" s="164" t="s">
        <v>5403</v>
      </c>
      <c r="D232" s="165" t="s">
        <v>218</v>
      </c>
      <c r="E232" s="165">
        <v>200.0</v>
      </c>
      <c r="F232" s="63">
        <v>1.0</v>
      </c>
      <c r="G232" s="88" t="s">
        <v>5375</v>
      </c>
      <c r="H232" s="167"/>
      <c r="I232" s="167"/>
      <c r="J232" s="167"/>
      <c r="K232" s="167"/>
      <c r="L232" s="167"/>
      <c r="M232" s="167"/>
      <c r="N232" s="167"/>
      <c r="O232" s="167"/>
      <c r="P232" s="167"/>
      <c r="Q232" s="167"/>
      <c r="R232" s="167"/>
      <c r="S232" s="167"/>
    </row>
    <row r="233">
      <c r="A233" s="168">
        <v>45775.0</v>
      </c>
      <c r="B233" s="169">
        <v>6316.0</v>
      </c>
      <c r="C233" s="170" t="s">
        <v>5403</v>
      </c>
      <c r="D233" s="171" t="s">
        <v>218</v>
      </c>
      <c r="E233" s="171">
        <v>200.0</v>
      </c>
      <c r="F233" s="69">
        <v>1.0</v>
      </c>
      <c r="G233" s="95" t="s">
        <v>5621</v>
      </c>
      <c r="H233" s="167"/>
      <c r="I233" s="167"/>
      <c r="J233" s="167"/>
      <c r="K233" s="167"/>
      <c r="L233" s="167"/>
      <c r="M233" s="167"/>
      <c r="N233" s="167"/>
      <c r="O233" s="167"/>
      <c r="P233" s="167"/>
      <c r="Q233" s="167"/>
      <c r="R233" s="167"/>
      <c r="S233" s="167"/>
    </row>
    <row r="234">
      <c r="A234" s="162">
        <v>45775.0</v>
      </c>
      <c r="B234" s="163">
        <v>6316.0</v>
      </c>
      <c r="C234" s="164" t="s">
        <v>5403</v>
      </c>
      <c r="D234" s="165" t="s">
        <v>218</v>
      </c>
      <c r="E234" s="165">
        <v>200.0</v>
      </c>
      <c r="F234" s="63">
        <v>1.0</v>
      </c>
      <c r="G234" s="88" t="s">
        <v>5414</v>
      </c>
      <c r="H234" s="167"/>
      <c r="I234" s="167"/>
      <c r="J234" s="167"/>
      <c r="K234" s="167"/>
      <c r="L234" s="167"/>
      <c r="M234" s="167"/>
      <c r="N234" s="167"/>
      <c r="O234" s="167"/>
      <c r="P234" s="167"/>
      <c r="Q234" s="167"/>
      <c r="R234" s="167"/>
      <c r="S234" s="167"/>
    </row>
    <row r="235">
      <c r="A235" s="168">
        <v>45775.0</v>
      </c>
      <c r="B235" s="169">
        <v>6316.0</v>
      </c>
      <c r="C235" s="170" t="s">
        <v>5403</v>
      </c>
      <c r="D235" s="171" t="s">
        <v>218</v>
      </c>
      <c r="E235" s="171">
        <v>200.0</v>
      </c>
      <c r="F235" s="69">
        <v>1.0</v>
      </c>
      <c r="G235" s="95" t="s">
        <v>5405</v>
      </c>
      <c r="H235" s="167"/>
      <c r="I235" s="167"/>
      <c r="J235" s="167"/>
      <c r="K235" s="167"/>
      <c r="L235" s="167"/>
      <c r="M235" s="167"/>
      <c r="N235" s="167"/>
      <c r="O235" s="167"/>
      <c r="P235" s="167"/>
      <c r="Q235" s="167"/>
      <c r="R235" s="167"/>
      <c r="S235" s="167"/>
    </row>
    <row r="236">
      <c r="A236" s="162">
        <v>45775.0</v>
      </c>
      <c r="B236" s="163">
        <v>6316.0</v>
      </c>
      <c r="C236" s="164" t="s">
        <v>5403</v>
      </c>
      <c r="D236" s="165" t="s">
        <v>218</v>
      </c>
      <c r="E236" s="165">
        <v>215.0</v>
      </c>
      <c r="F236" s="63">
        <v>1.0</v>
      </c>
      <c r="G236" s="88" t="s">
        <v>5415</v>
      </c>
      <c r="H236" s="167"/>
      <c r="I236" s="167"/>
      <c r="J236" s="167"/>
      <c r="K236" s="167"/>
      <c r="L236" s="167"/>
      <c r="M236" s="167"/>
      <c r="N236" s="167"/>
      <c r="O236" s="167"/>
      <c r="P236" s="167"/>
      <c r="Q236" s="167"/>
      <c r="R236" s="167"/>
      <c r="S236" s="167"/>
    </row>
    <row r="237">
      <c r="A237" s="168">
        <v>45776.0</v>
      </c>
      <c r="B237" s="169">
        <v>10645.0</v>
      </c>
      <c r="C237" s="170">
        <v>692265.0</v>
      </c>
      <c r="D237" s="171" t="s">
        <v>5314</v>
      </c>
      <c r="E237" s="171">
        <v>45.0</v>
      </c>
      <c r="F237" s="69">
        <v>0.0</v>
      </c>
      <c r="G237" s="95" t="s">
        <v>5390</v>
      </c>
      <c r="H237" s="167"/>
      <c r="I237" s="167"/>
      <c r="J237" s="167"/>
      <c r="K237" s="167"/>
      <c r="L237" s="167"/>
      <c r="M237" s="167"/>
      <c r="N237" s="167"/>
      <c r="O237" s="167"/>
      <c r="P237" s="167"/>
      <c r="Q237" s="167"/>
      <c r="R237" s="167"/>
      <c r="S237" s="167"/>
    </row>
    <row r="238">
      <c r="A238" s="162">
        <v>45776.0</v>
      </c>
      <c r="B238" s="163">
        <v>5591.0</v>
      </c>
      <c r="C238" s="164">
        <v>682778.0</v>
      </c>
      <c r="D238" s="165" t="s">
        <v>1378</v>
      </c>
      <c r="E238" s="165">
        <v>160.0</v>
      </c>
      <c r="F238" s="63">
        <v>0.0</v>
      </c>
      <c r="G238" s="88" t="s">
        <v>5629</v>
      </c>
      <c r="H238" s="167"/>
      <c r="I238" s="167"/>
      <c r="J238" s="167"/>
      <c r="K238" s="167"/>
      <c r="L238" s="167"/>
      <c r="M238" s="167"/>
      <c r="N238" s="167"/>
      <c r="O238" s="167"/>
      <c r="P238" s="167"/>
      <c r="Q238" s="167"/>
      <c r="R238" s="167"/>
      <c r="S238" s="167"/>
    </row>
    <row r="239">
      <c r="A239" s="168">
        <v>45779.0</v>
      </c>
      <c r="B239" s="169">
        <v>5606.0</v>
      </c>
      <c r="C239" s="170">
        <v>682778.0</v>
      </c>
      <c r="D239" s="171" t="s">
        <v>1378</v>
      </c>
      <c r="E239" s="171">
        <v>200.0</v>
      </c>
      <c r="F239" s="69">
        <v>0.0</v>
      </c>
      <c r="G239" s="95" t="s">
        <v>5341</v>
      </c>
      <c r="H239" s="167"/>
      <c r="I239" s="167"/>
      <c r="J239" s="167"/>
      <c r="K239" s="167"/>
      <c r="L239" s="167"/>
      <c r="M239" s="167"/>
      <c r="N239" s="167"/>
      <c r="O239" s="167"/>
      <c r="P239" s="167"/>
      <c r="Q239" s="167"/>
      <c r="R239" s="167"/>
      <c r="S239" s="167"/>
    </row>
    <row r="240">
      <c r="A240" s="162">
        <v>45779.0</v>
      </c>
      <c r="B240" s="163">
        <v>18490.0</v>
      </c>
      <c r="C240" s="164">
        <v>605678.0</v>
      </c>
      <c r="D240" s="165" t="s">
        <v>376</v>
      </c>
      <c r="E240" s="165">
        <v>50.0</v>
      </c>
      <c r="F240" s="63">
        <v>0.0</v>
      </c>
      <c r="G240" s="88" t="s">
        <v>5420</v>
      </c>
      <c r="H240" s="167"/>
      <c r="I240" s="167"/>
      <c r="J240" s="167"/>
      <c r="K240" s="167"/>
      <c r="L240" s="167"/>
      <c r="M240" s="167"/>
      <c r="N240" s="167"/>
      <c r="O240" s="167"/>
      <c r="P240" s="167"/>
      <c r="Q240" s="167"/>
      <c r="R240" s="167"/>
      <c r="S240" s="167"/>
    </row>
    <row r="241">
      <c r="A241" s="168">
        <v>45783.0</v>
      </c>
      <c r="B241" s="169" t="s">
        <v>5630</v>
      </c>
      <c r="C241" s="170">
        <v>600550.0</v>
      </c>
      <c r="D241" s="171" t="s">
        <v>5380</v>
      </c>
      <c r="E241" s="171">
        <v>85.0</v>
      </c>
      <c r="F241" s="69">
        <v>0.0</v>
      </c>
      <c r="G241" s="95" t="s">
        <v>5381</v>
      </c>
      <c r="H241" s="167"/>
      <c r="I241" s="167"/>
      <c r="J241" s="167"/>
      <c r="K241" s="167"/>
      <c r="L241" s="167"/>
      <c r="M241" s="167"/>
      <c r="N241" s="167"/>
      <c r="O241" s="167"/>
      <c r="P241" s="167"/>
      <c r="Q241" s="167"/>
      <c r="R241" s="167"/>
      <c r="S241" s="167"/>
    </row>
    <row r="242">
      <c r="A242" s="162">
        <v>45783.0</v>
      </c>
      <c r="B242" s="163">
        <v>5611.0</v>
      </c>
      <c r="C242" s="164">
        <v>682778.0</v>
      </c>
      <c r="D242" s="165" t="s">
        <v>1378</v>
      </c>
      <c r="E242" s="165">
        <v>240.0</v>
      </c>
      <c r="F242" s="63">
        <v>0.0</v>
      </c>
      <c r="G242" s="88" t="s">
        <v>5364</v>
      </c>
      <c r="H242" s="167"/>
      <c r="I242" s="167"/>
      <c r="J242" s="167"/>
      <c r="K242" s="167"/>
      <c r="L242" s="167"/>
      <c r="M242" s="167"/>
      <c r="N242" s="167"/>
      <c r="O242" s="167"/>
      <c r="P242" s="167"/>
      <c r="Q242" s="167"/>
      <c r="R242" s="167"/>
      <c r="S242" s="167"/>
    </row>
    <row r="243">
      <c r="A243" s="168">
        <v>45783.0</v>
      </c>
      <c r="B243" s="169">
        <v>6357.0</v>
      </c>
      <c r="C243" s="170" t="s">
        <v>5403</v>
      </c>
      <c r="D243" s="171" t="s">
        <v>218</v>
      </c>
      <c r="E243" s="171">
        <v>225.0</v>
      </c>
      <c r="F243" s="69">
        <v>1.0</v>
      </c>
      <c r="G243" s="95" t="s">
        <v>5391</v>
      </c>
      <c r="H243" s="167"/>
      <c r="I243" s="167"/>
      <c r="J243" s="167"/>
      <c r="K243" s="167"/>
      <c r="L243" s="167"/>
      <c r="M243" s="167"/>
      <c r="N243" s="167"/>
      <c r="O243" s="167"/>
      <c r="P243" s="167"/>
      <c r="Q243" s="167"/>
      <c r="R243" s="167"/>
      <c r="S243" s="167"/>
    </row>
    <row r="244">
      <c r="A244" s="162">
        <v>45783.0</v>
      </c>
      <c r="B244" s="163">
        <v>6357.0</v>
      </c>
      <c r="C244" s="164" t="s">
        <v>5403</v>
      </c>
      <c r="D244" s="165" t="s">
        <v>218</v>
      </c>
      <c r="E244" s="165">
        <v>225.0</v>
      </c>
      <c r="F244" s="63">
        <v>1.0</v>
      </c>
      <c r="G244" s="88" t="s">
        <v>5392</v>
      </c>
      <c r="H244" s="167"/>
      <c r="I244" s="167"/>
      <c r="J244" s="167"/>
      <c r="K244" s="167"/>
      <c r="L244" s="167"/>
      <c r="M244" s="167"/>
      <c r="N244" s="167"/>
      <c r="O244" s="167"/>
      <c r="P244" s="167"/>
      <c r="Q244" s="167"/>
      <c r="R244" s="167"/>
      <c r="S244" s="167"/>
    </row>
    <row r="245">
      <c r="A245" s="168">
        <v>45783.0</v>
      </c>
      <c r="B245" s="169">
        <v>6357.0</v>
      </c>
      <c r="C245" s="170" t="s">
        <v>5403</v>
      </c>
      <c r="D245" s="171" t="s">
        <v>218</v>
      </c>
      <c r="E245" s="171">
        <v>200.0</v>
      </c>
      <c r="F245" s="69">
        <v>1.0</v>
      </c>
      <c r="G245" s="95" t="s">
        <v>5393</v>
      </c>
      <c r="H245" s="167"/>
      <c r="I245" s="167"/>
      <c r="J245" s="167"/>
      <c r="K245" s="167"/>
      <c r="L245" s="167"/>
      <c r="M245" s="167"/>
      <c r="N245" s="167"/>
      <c r="O245" s="167"/>
      <c r="P245" s="167"/>
      <c r="Q245" s="167"/>
      <c r="R245" s="167"/>
      <c r="S245" s="167"/>
    </row>
    <row r="246">
      <c r="A246" s="162">
        <v>45783.0</v>
      </c>
      <c r="B246" s="163">
        <v>6357.0</v>
      </c>
      <c r="C246" s="164" t="s">
        <v>5403</v>
      </c>
      <c r="D246" s="165" t="s">
        <v>218</v>
      </c>
      <c r="E246" s="165">
        <v>200.0</v>
      </c>
      <c r="F246" s="63">
        <v>1.0</v>
      </c>
      <c r="G246" s="88" t="s">
        <v>5394</v>
      </c>
      <c r="H246" s="167"/>
      <c r="I246" s="167"/>
      <c r="J246" s="167"/>
      <c r="K246" s="167"/>
      <c r="L246" s="167"/>
      <c r="M246" s="167"/>
      <c r="N246" s="167"/>
      <c r="O246" s="167"/>
      <c r="P246" s="167"/>
      <c r="Q246" s="167"/>
      <c r="R246" s="167"/>
      <c r="S246" s="167"/>
    </row>
    <row r="247">
      <c r="A247" s="168">
        <v>45783.0</v>
      </c>
      <c r="B247" s="169">
        <v>6357.0</v>
      </c>
      <c r="C247" s="170" t="s">
        <v>5403</v>
      </c>
      <c r="D247" s="171" t="s">
        <v>218</v>
      </c>
      <c r="E247" s="171">
        <v>200.0</v>
      </c>
      <c r="F247" s="69">
        <v>1.0</v>
      </c>
      <c r="G247" s="95" t="s">
        <v>5395</v>
      </c>
      <c r="H247" s="167"/>
      <c r="I247" s="167"/>
      <c r="J247" s="167"/>
      <c r="K247" s="167"/>
      <c r="L247" s="167"/>
      <c r="M247" s="167"/>
      <c r="N247" s="167"/>
      <c r="O247" s="167"/>
      <c r="P247" s="167"/>
      <c r="Q247" s="167"/>
      <c r="R247" s="167"/>
      <c r="S247" s="167"/>
    </row>
    <row r="248">
      <c r="A248" s="162">
        <v>45783.0</v>
      </c>
      <c r="B248" s="163">
        <v>6357.0</v>
      </c>
      <c r="C248" s="164" t="s">
        <v>5403</v>
      </c>
      <c r="D248" s="165" t="s">
        <v>218</v>
      </c>
      <c r="E248" s="165">
        <v>200.0</v>
      </c>
      <c r="F248" s="63">
        <v>1.0</v>
      </c>
      <c r="G248" s="88" t="s">
        <v>5396</v>
      </c>
      <c r="H248" s="167"/>
      <c r="I248" s="167"/>
      <c r="J248" s="167"/>
      <c r="K248" s="167"/>
      <c r="L248" s="167"/>
      <c r="M248" s="167"/>
      <c r="N248" s="167"/>
      <c r="O248" s="167"/>
      <c r="P248" s="167"/>
      <c r="Q248" s="167"/>
      <c r="R248" s="167"/>
      <c r="S248" s="167"/>
    </row>
    <row r="249">
      <c r="A249" s="168">
        <v>45783.0</v>
      </c>
      <c r="B249" s="169">
        <v>6357.0</v>
      </c>
      <c r="C249" s="170" t="s">
        <v>5403</v>
      </c>
      <c r="D249" s="171" t="s">
        <v>218</v>
      </c>
      <c r="E249" s="171">
        <v>200.0</v>
      </c>
      <c r="F249" s="69">
        <v>1.0</v>
      </c>
      <c r="G249" s="95" t="s">
        <v>5398</v>
      </c>
      <c r="H249" s="167"/>
      <c r="I249" s="167"/>
      <c r="J249" s="167"/>
      <c r="K249" s="167"/>
      <c r="L249" s="167"/>
      <c r="M249" s="167"/>
      <c r="N249" s="167"/>
      <c r="O249" s="167"/>
      <c r="P249" s="167"/>
      <c r="Q249" s="167"/>
      <c r="R249" s="167"/>
      <c r="S249" s="167"/>
    </row>
    <row r="250">
      <c r="A250" s="162">
        <v>45783.0</v>
      </c>
      <c r="B250" s="163">
        <v>6357.0</v>
      </c>
      <c r="C250" s="164" t="s">
        <v>5403</v>
      </c>
      <c r="D250" s="165" t="s">
        <v>218</v>
      </c>
      <c r="E250" s="165">
        <v>200.0</v>
      </c>
      <c r="F250" s="63">
        <v>1.0</v>
      </c>
      <c r="G250" s="88" t="s">
        <v>5397</v>
      </c>
      <c r="H250" s="167"/>
      <c r="I250" s="167"/>
      <c r="J250" s="167"/>
      <c r="K250" s="167"/>
      <c r="L250" s="167"/>
      <c r="M250" s="167"/>
      <c r="N250" s="167"/>
      <c r="O250" s="167"/>
      <c r="P250" s="167"/>
      <c r="Q250" s="167"/>
      <c r="R250" s="167"/>
      <c r="S250" s="167"/>
    </row>
    <row r="251">
      <c r="A251" s="168">
        <v>45783.0</v>
      </c>
      <c r="B251" s="169">
        <v>6357.0</v>
      </c>
      <c r="C251" s="170" t="s">
        <v>5403</v>
      </c>
      <c r="D251" s="171" t="s">
        <v>218</v>
      </c>
      <c r="E251" s="171">
        <v>200.0</v>
      </c>
      <c r="F251" s="69">
        <v>1.0</v>
      </c>
      <c r="G251" s="95" t="s">
        <v>5402</v>
      </c>
      <c r="H251" s="167"/>
      <c r="I251" s="167"/>
      <c r="J251" s="167"/>
      <c r="K251" s="167"/>
      <c r="L251" s="167"/>
      <c r="M251" s="167"/>
      <c r="N251" s="167"/>
      <c r="O251" s="167"/>
      <c r="P251" s="167"/>
      <c r="Q251" s="167"/>
      <c r="R251" s="167"/>
      <c r="S251" s="167"/>
    </row>
    <row r="252">
      <c r="A252" s="162">
        <v>45783.0</v>
      </c>
      <c r="B252" s="163">
        <v>6357.0</v>
      </c>
      <c r="C252" s="164" t="s">
        <v>5403</v>
      </c>
      <c r="D252" s="165" t="s">
        <v>218</v>
      </c>
      <c r="E252" s="165">
        <v>200.0</v>
      </c>
      <c r="F252" s="63">
        <v>1.0</v>
      </c>
      <c r="G252" s="88" t="s">
        <v>5399</v>
      </c>
      <c r="H252" s="167"/>
      <c r="I252" s="167"/>
      <c r="J252" s="167"/>
      <c r="K252" s="167"/>
      <c r="L252" s="167"/>
      <c r="M252" s="167"/>
      <c r="N252" s="167"/>
      <c r="O252" s="167"/>
      <c r="P252" s="167"/>
      <c r="Q252" s="167"/>
      <c r="R252" s="167"/>
      <c r="S252" s="167"/>
    </row>
    <row r="253">
      <c r="A253" s="168">
        <v>45783.0</v>
      </c>
      <c r="B253" s="169">
        <v>6357.0</v>
      </c>
      <c r="C253" s="170" t="s">
        <v>5403</v>
      </c>
      <c r="D253" s="171" t="s">
        <v>218</v>
      </c>
      <c r="E253" s="171">
        <v>200.0</v>
      </c>
      <c r="F253" s="69">
        <v>1.0</v>
      </c>
      <c r="G253" s="95" t="s">
        <v>5400</v>
      </c>
      <c r="H253" s="167"/>
      <c r="I253" s="167"/>
      <c r="J253" s="167"/>
      <c r="K253" s="167"/>
      <c r="L253" s="167"/>
      <c r="M253" s="167"/>
      <c r="N253" s="167"/>
      <c r="O253" s="167"/>
      <c r="P253" s="167"/>
      <c r="Q253" s="167"/>
      <c r="R253" s="167"/>
      <c r="S253" s="167"/>
    </row>
    <row r="254">
      <c r="A254" s="162">
        <v>45783.0</v>
      </c>
      <c r="B254" s="163">
        <v>6357.0</v>
      </c>
      <c r="C254" s="164" t="s">
        <v>5403</v>
      </c>
      <c r="D254" s="165" t="s">
        <v>218</v>
      </c>
      <c r="E254" s="165">
        <v>200.0</v>
      </c>
      <c r="F254" s="63">
        <v>1.0</v>
      </c>
      <c r="G254" s="88" t="s">
        <v>5401</v>
      </c>
      <c r="H254" s="167"/>
      <c r="I254" s="167"/>
      <c r="J254" s="167"/>
      <c r="K254" s="167"/>
      <c r="L254" s="167"/>
      <c r="M254" s="167"/>
      <c r="N254" s="167"/>
      <c r="O254" s="167"/>
      <c r="P254" s="167"/>
      <c r="Q254" s="167"/>
      <c r="R254" s="167"/>
      <c r="S254" s="167"/>
    </row>
    <row r="255">
      <c r="A255" s="168">
        <v>45783.0</v>
      </c>
      <c r="B255" s="169">
        <v>6358.0</v>
      </c>
      <c r="C255" s="170" t="s">
        <v>5403</v>
      </c>
      <c r="D255" s="171" t="s">
        <v>218</v>
      </c>
      <c r="E255" s="171">
        <v>200.0</v>
      </c>
      <c r="F255" s="69">
        <v>1.0</v>
      </c>
      <c r="G255" s="95" t="s">
        <v>5404</v>
      </c>
      <c r="H255" s="167"/>
      <c r="I255" s="167"/>
      <c r="J255" s="167"/>
      <c r="K255" s="167"/>
      <c r="L255" s="167"/>
      <c r="M255" s="167"/>
      <c r="N255" s="167"/>
      <c r="O255" s="167"/>
      <c r="P255" s="167"/>
      <c r="Q255" s="167"/>
      <c r="R255" s="167"/>
      <c r="S255" s="167"/>
    </row>
    <row r="256">
      <c r="A256" s="162">
        <v>45783.0</v>
      </c>
      <c r="B256" s="163">
        <v>6358.0</v>
      </c>
      <c r="C256" s="164" t="s">
        <v>5403</v>
      </c>
      <c r="D256" s="165" t="s">
        <v>218</v>
      </c>
      <c r="E256" s="165">
        <v>200.0</v>
      </c>
      <c r="F256" s="63">
        <v>1.0</v>
      </c>
      <c r="G256" s="88" t="s">
        <v>5417</v>
      </c>
      <c r="H256" s="167"/>
      <c r="I256" s="167"/>
      <c r="J256" s="167"/>
      <c r="K256" s="167"/>
      <c r="L256" s="167"/>
      <c r="M256" s="167"/>
      <c r="N256" s="167"/>
      <c r="O256" s="167"/>
      <c r="P256" s="167"/>
      <c r="Q256" s="167"/>
      <c r="R256" s="167"/>
      <c r="S256" s="167"/>
    </row>
    <row r="257">
      <c r="A257" s="168">
        <v>45783.0</v>
      </c>
      <c r="B257" s="169">
        <v>6358.0</v>
      </c>
      <c r="C257" s="170" t="s">
        <v>5403</v>
      </c>
      <c r="D257" s="171" t="s">
        <v>218</v>
      </c>
      <c r="E257" s="171">
        <v>200.0</v>
      </c>
      <c r="F257" s="69">
        <v>1.0</v>
      </c>
      <c r="G257" s="95" t="s">
        <v>5615</v>
      </c>
      <c r="H257" s="167"/>
      <c r="I257" s="167"/>
      <c r="J257" s="167"/>
      <c r="K257" s="167"/>
      <c r="L257" s="167"/>
      <c r="M257" s="167"/>
      <c r="N257" s="167"/>
      <c r="O257" s="167"/>
      <c r="P257" s="167"/>
      <c r="Q257" s="167"/>
      <c r="R257" s="167"/>
      <c r="S257" s="167"/>
    </row>
    <row r="258">
      <c r="A258" s="162">
        <v>45786.0</v>
      </c>
      <c r="B258" s="163" t="s">
        <v>5631</v>
      </c>
      <c r="C258" s="164">
        <v>600512.0</v>
      </c>
      <c r="D258" s="165" t="s">
        <v>5388</v>
      </c>
      <c r="E258" s="165">
        <v>42.0</v>
      </c>
      <c r="F258" s="63">
        <v>0.0</v>
      </c>
      <c r="G258" s="88" t="s">
        <v>5379</v>
      </c>
      <c r="H258" s="167"/>
      <c r="I258" s="167"/>
      <c r="J258" s="167"/>
      <c r="K258" s="167"/>
      <c r="L258" s="167"/>
      <c r="M258" s="167"/>
      <c r="N258" s="167"/>
      <c r="O258" s="167"/>
      <c r="P258" s="167"/>
      <c r="Q258" s="167"/>
      <c r="R258" s="167"/>
      <c r="S258" s="167"/>
    </row>
    <row r="259">
      <c r="A259" s="168">
        <v>45786.0</v>
      </c>
      <c r="B259" s="169" t="s">
        <v>5631</v>
      </c>
      <c r="C259" s="170">
        <v>600512.0</v>
      </c>
      <c r="D259" s="171" t="s">
        <v>5388</v>
      </c>
      <c r="E259" s="171">
        <v>18.0</v>
      </c>
      <c r="F259" s="69">
        <v>0.0</v>
      </c>
      <c r="G259" s="95" t="s">
        <v>5579</v>
      </c>
      <c r="H259" s="167"/>
      <c r="I259" s="167"/>
      <c r="J259" s="167"/>
      <c r="K259" s="167"/>
      <c r="L259" s="167"/>
      <c r="M259" s="167"/>
      <c r="N259" s="167"/>
      <c r="O259" s="167"/>
      <c r="P259" s="167"/>
      <c r="Q259" s="167"/>
      <c r="R259" s="167"/>
      <c r="S259" s="167"/>
    </row>
    <row r="260">
      <c r="A260" s="162">
        <v>45791.0</v>
      </c>
      <c r="B260" s="163">
        <v>6389.0</v>
      </c>
      <c r="C260" s="164" t="s">
        <v>5403</v>
      </c>
      <c r="D260" s="165" t="s">
        <v>218</v>
      </c>
      <c r="E260" s="165">
        <v>200.0</v>
      </c>
      <c r="F260" s="63">
        <v>0.0</v>
      </c>
      <c r="G260" s="88" t="s">
        <v>5392</v>
      </c>
      <c r="H260" s="167"/>
      <c r="I260" s="167"/>
      <c r="J260" s="167"/>
      <c r="K260" s="167"/>
      <c r="L260" s="167"/>
      <c r="M260" s="167"/>
      <c r="N260" s="167"/>
      <c r="O260" s="167"/>
      <c r="P260" s="167"/>
      <c r="Q260" s="167"/>
      <c r="R260" s="167"/>
      <c r="S260" s="167"/>
    </row>
    <row r="261">
      <c r="A261" s="168">
        <v>45791.0</v>
      </c>
      <c r="B261" s="169">
        <v>6389.0</v>
      </c>
      <c r="C261" s="170" t="s">
        <v>5403</v>
      </c>
      <c r="D261" s="171" t="s">
        <v>218</v>
      </c>
      <c r="E261" s="171">
        <v>200.0</v>
      </c>
      <c r="F261" s="69">
        <v>0.0</v>
      </c>
      <c r="G261" s="95" t="s">
        <v>5393</v>
      </c>
      <c r="H261" s="167"/>
      <c r="I261" s="167"/>
      <c r="J261" s="167"/>
      <c r="K261" s="167"/>
      <c r="L261" s="167"/>
      <c r="M261" s="167"/>
      <c r="N261" s="167"/>
      <c r="O261" s="167"/>
      <c r="P261" s="167"/>
      <c r="Q261" s="167"/>
      <c r="R261" s="167"/>
      <c r="S261" s="167"/>
    </row>
    <row r="262">
      <c r="A262" s="162">
        <v>45791.0</v>
      </c>
      <c r="B262" s="163">
        <v>6389.0</v>
      </c>
      <c r="C262" s="164" t="s">
        <v>5403</v>
      </c>
      <c r="D262" s="165" t="s">
        <v>218</v>
      </c>
      <c r="E262" s="165">
        <v>200.0</v>
      </c>
      <c r="F262" s="63">
        <v>0.0</v>
      </c>
      <c r="G262" s="88" t="s">
        <v>5395</v>
      </c>
      <c r="H262" s="167"/>
      <c r="I262" s="167"/>
      <c r="J262" s="167"/>
      <c r="K262" s="167"/>
      <c r="L262" s="167"/>
      <c r="M262" s="167"/>
      <c r="N262" s="167"/>
      <c r="O262" s="167"/>
      <c r="P262" s="167"/>
      <c r="Q262" s="167"/>
      <c r="R262" s="167"/>
      <c r="S262" s="167"/>
    </row>
    <row r="263">
      <c r="A263" s="168">
        <v>45791.0</v>
      </c>
      <c r="B263" s="169">
        <v>6389.0</v>
      </c>
      <c r="C263" s="170" t="s">
        <v>5403</v>
      </c>
      <c r="D263" s="171" t="s">
        <v>218</v>
      </c>
      <c r="E263" s="171">
        <v>200.0</v>
      </c>
      <c r="F263" s="69">
        <v>0.0</v>
      </c>
      <c r="G263" s="95" t="s">
        <v>5394</v>
      </c>
      <c r="H263" s="167"/>
      <c r="I263" s="167"/>
      <c r="J263" s="167"/>
      <c r="K263" s="167"/>
      <c r="L263" s="167"/>
      <c r="M263" s="167"/>
      <c r="N263" s="167"/>
      <c r="O263" s="167"/>
      <c r="P263" s="167"/>
      <c r="Q263" s="167"/>
      <c r="R263" s="167"/>
      <c r="S263" s="167"/>
    </row>
    <row r="264">
      <c r="A264" s="162">
        <v>45791.0</v>
      </c>
      <c r="B264" s="163">
        <v>6393.0</v>
      </c>
      <c r="C264" s="164" t="s">
        <v>5403</v>
      </c>
      <c r="D264" s="165" t="s">
        <v>218</v>
      </c>
      <c r="E264" s="165">
        <v>200.0</v>
      </c>
      <c r="F264" s="63">
        <v>0.0</v>
      </c>
      <c r="G264" s="88" t="s">
        <v>5396</v>
      </c>
      <c r="H264" s="167"/>
      <c r="I264" s="167"/>
      <c r="J264" s="167"/>
      <c r="K264" s="167"/>
      <c r="L264" s="167"/>
      <c r="M264" s="167"/>
      <c r="N264" s="167"/>
      <c r="O264" s="167"/>
      <c r="P264" s="167"/>
      <c r="Q264" s="167"/>
      <c r="R264" s="167"/>
      <c r="S264" s="167"/>
    </row>
    <row r="265">
      <c r="A265" s="168">
        <v>45791.0</v>
      </c>
      <c r="B265" s="169">
        <v>6393.0</v>
      </c>
      <c r="C265" s="170" t="s">
        <v>5403</v>
      </c>
      <c r="D265" s="171" t="s">
        <v>218</v>
      </c>
      <c r="E265" s="171">
        <v>200.0</v>
      </c>
      <c r="F265" s="69">
        <v>0.0</v>
      </c>
      <c r="G265" s="95" t="s">
        <v>5397</v>
      </c>
      <c r="H265" s="167"/>
      <c r="I265" s="167"/>
      <c r="J265" s="167"/>
      <c r="K265" s="167"/>
      <c r="L265" s="167"/>
      <c r="M265" s="167"/>
      <c r="N265" s="167"/>
      <c r="O265" s="167"/>
      <c r="P265" s="167"/>
      <c r="Q265" s="167"/>
      <c r="R265" s="167"/>
      <c r="S265" s="167"/>
    </row>
    <row r="266">
      <c r="A266" s="162">
        <v>45791.0</v>
      </c>
      <c r="B266" s="163">
        <v>6393.0</v>
      </c>
      <c r="C266" s="164" t="s">
        <v>5403</v>
      </c>
      <c r="D266" s="165" t="s">
        <v>218</v>
      </c>
      <c r="E266" s="165">
        <v>200.0</v>
      </c>
      <c r="F266" s="63">
        <v>0.0</v>
      </c>
      <c r="G266" s="88" t="s">
        <v>5398</v>
      </c>
      <c r="H266" s="167"/>
      <c r="I266" s="167"/>
      <c r="J266" s="167"/>
      <c r="K266" s="167"/>
      <c r="L266" s="167"/>
      <c r="M266" s="167"/>
      <c r="N266" s="167"/>
      <c r="O266" s="167"/>
      <c r="P266" s="167"/>
      <c r="Q266" s="167"/>
      <c r="R266" s="167"/>
      <c r="S266" s="167"/>
    </row>
    <row r="267">
      <c r="A267" s="168">
        <v>45791.0</v>
      </c>
      <c r="B267" s="169">
        <v>6393.0</v>
      </c>
      <c r="C267" s="170" t="s">
        <v>5403</v>
      </c>
      <c r="D267" s="171" t="s">
        <v>218</v>
      </c>
      <c r="E267" s="171">
        <v>200.0</v>
      </c>
      <c r="F267" s="69">
        <v>0.0</v>
      </c>
      <c r="G267" s="95" t="s">
        <v>5402</v>
      </c>
      <c r="H267" s="167"/>
      <c r="I267" s="167"/>
      <c r="J267" s="167"/>
      <c r="K267" s="167"/>
      <c r="L267" s="167"/>
      <c r="M267" s="167"/>
      <c r="N267" s="167"/>
      <c r="O267" s="167"/>
      <c r="P267" s="167"/>
      <c r="Q267" s="167"/>
      <c r="R267" s="167"/>
      <c r="S267" s="167"/>
    </row>
    <row r="268">
      <c r="A268" s="162">
        <v>45791.0</v>
      </c>
      <c r="B268" s="163">
        <v>6393.0</v>
      </c>
      <c r="C268" s="164" t="s">
        <v>5403</v>
      </c>
      <c r="D268" s="165" t="s">
        <v>218</v>
      </c>
      <c r="E268" s="165">
        <v>200.0</v>
      </c>
      <c r="F268" s="63">
        <v>0.0</v>
      </c>
      <c r="G268" s="88" t="s">
        <v>5399</v>
      </c>
      <c r="H268" s="167"/>
      <c r="I268" s="167"/>
      <c r="J268" s="167"/>
      <c r="K268" s="167"/>
      <c r="L268" s="167"/>
      <c r="M268" s="167"/>
      <c r="N268" s="167"/>
      <c r="O268" s="167"/>
      <c r="P268" s="167"/>
      <c r="Q268" s="167"/>
      <c r="R268" s="167"/>
      <c r="S268" s="167"/>
    </row>
    <row r="269">
      <c r="A269" s="168">
        <v>45791.0</v>
      </c>
      <c r="B269" s="169">
        <v>6393.0</v>
      </c>
      <c r="C269" s="170" t="s">
        <v>5403</v>
      </c>
      <c r="D269" s="171" t="s">
        <v>218</v>
      </c>
      <c r="E269" s="171">
        <v>200.0</v>
      </c>
      <c r="F269" s="69">
        <v>0.0</v>
      </c>
      <c r="G269" s="95" t="s">
        <v>5400</v>
      </c>
      <c r="H269" s="167"/>
      <c r="I269" s="167"/>
      <c r="J269" s="167"/>
      <c r="K269" s="167"/>
      <c r="L269" s="167"/>
      <c r="M269" s="167"/>
      <c r="N269" s="167"/>
      <c r="O269" s="167"/>
      <c r="P269" s="167"/>
      <c r="Q269" s="167"/>
      <c r="R269" s="167"/>
      <c r="S269" s="167"/>
    </row>
    <row r="270">
      <c r="A270" s="162">
        <v>45791.0</v>
      </c>
      <c r="B270" s="163">
        <v>6393.0</v>
      </c>
      <c r="C270" s="164" t="s">
        <v>5403</v>
      </c>
      <c r="D270" s="165" t="s">
        <v>218</v>
      </c>
      <c r="E270" s="165">
        <v>200.0</v>
      </c>
      <c r="F270" s="63">
        <v>0.0</v>
      </c>
      <c r="G270" s="88" t="s">
        <v>5401</v>
      </c>
      <c r="H270" s="167"/>
      <c r="I270" s="167"/>
      <c r="J270" s="167"/>
      <c r="K270" s="167"/>
      <c r="L270" s="167"/>
      <c r="M270" s="167"/>
      <c r="N270" s="167"/>
      <c r="O270" s="167"/>
      <c r="P270" s="167"/>
      <c r="Q270" s="167"/>
      <c r="R270" s="167"/>
      <c r="S270" s="167"/>
    </row>
    <row r="271">
      <c r="A271" s="168">
        <v>45791.0</v>
      </c>
      <c r="B271" s="169">
        <v>6393.0</v>
      </c>
      <c r="C271" s="170" t="s">
        <v>5403</v>
      </c>
      <c r="D271" s="171" t="s">
        <v>218</v>
      </c>
      <c r="E271" s="171">
        <v>200.0</v>
      </c>
      <c r="F271" s="69">
        <v>0.0</v>
      </c>
      <c r="G271" s="95" t="s">
        <v>5404</v>
      </c>
      <c r="H271" s="167"/>
      <c r="I271" s="167"/>
      <c r="J271" s="167"/>
      <c r="K271" s="167"/>
      <c r="L271" s="167"/>
      <c r="M271" s="167"/>
      <c r="N271" s="167"/>
      <c r="O271" s="167"/>
      <c r="P271" s="167"/>
      <c r="Q271" s="167"/>
      <c r="R271" s="167"/>
      <c r="S271" s="167"/>
    </row>
    <row r="272">
      <c r="A272" s="162">
        <v>45791.0</v>
      </c>
      <c r="B272" s="163">
        <v>6393.0</v>
      </c>
      <c r="C272" s="164" t="s">
        <v>5403</v>
      </c>
      <c r="D272" s="165" t="s">
        <v>218</v>
      </c>
      <c r="E272" s="165">
        <v>200.0</v>
      </c>
      <c r="F272" s="63">
        <v>0.0</v>
      </c>
      <c r="G272" s="88" t="s">
        <v>5632</v>
      </c>
      <c r="H272" s="167"/>
      <c r="I272" s="167"/>
      <c r="J272" s="167"/>
      <c r="K272" s="167"/>
      <c r="L272" s="167"/>
      <c r="M272" s="167"/>
      <c r="N272" s="167"/>
      <c r="O272" s="167"/>
      <c r="P272" s="167"/>
      <c r="Q272" s="167"/>
      <c r="R272" s="167"/>
      <c r="S272" s="167"/>
    </row>
    <row r="273">
      <c r="A273" s="168">
        <v>45791.0</v>
      </c>
      <c r="B273" s="169">
        <v>6393.0</v>
      </c>
      <c r="C273" s="170" t="s">
        <v>5403</v>
      </c>
      <c r="D273" s="171" t="s">
        <v>218</v>
      </c>
      <c r="E273" s="171">
        <v>200.0</v>
      </c>
      <c r="F273" s="69">
        <v>0.0</v>
      </c>
      <c r="G273" s="95" t="s">
        <v>5405</v>
      </c>
      <c r="H273" s="167"/>
      <c r="I273" s="167"/>
      <c r="J273" s="167"/>
      <c r="K273" s="167"/>
      <c r="L273" s="167"/>
      <c r="M273" s="167"/>
      <c r="N273" s="167"/>
      <c r="O273" s="167"/>
      <c r="P273" s="167"/>
      <c r="Q273" s="167"/>
      <c r="R273" s="167"/>
      <c r="S273" s="167"/>
    </row>
    <row r="274">
      <c r="A274" s="162">
        <v>45791.0</v>
      </c>
      <c r="B274" s="163">
        <v>6393.0</v>
      </c>
      <c r="C274" s="164" t="s">
        <v>5403</v>
      </c>
      <c r="D274" s="165" t="s">
        <v>218</v>
      </c>
      <c r="E274" s="165">
        <v>200.0</v>
      </c>
      <c r="F274" s="63">
        <v>0.0</v>
      </c>
      <c r="G274" s="88" t="s">
        <v>5623</v>
      </c>
      <c r="H274" s="167"/>
      <c r="I274" s="167"/>
      <c r="J274" s="167"/>
      <c r="K274" s="167"/>
      <c r="L274" s="167"/>
      <c r="M274" s="167"/>
      <c r="N274" s="167"/>
      <c r="O274" s="167"/>
      <c r="P274" s="167"/>
      <c r="Q274" s="167"/>
      <c r="R274" s="167"/>
      <c r="S274" s="167"/>
    </row>
    <row r="275">
      <c r="A275" s="168">
        <v>45791.0</v>
      </c>
      <c r="B275" s="169">
        <v>6393.0</v>
      </c>
      <c r="C275" s="170" t="s">
        <v>5403</v>
      </c>
      <c r="D275" s="171" t="s">
        <v>218</v>
      </c>
      <c r="E275" s="171">
        <v>100.0</v>
      </c>
      <c r="F275" s="69">
        <v>0.0</v>
      </c>
      <c r="G275" s="95" t="s">
        <v>5624</v>
      </c>
      <c r="H275" s="167"/>
      <c r="I275" s="167"/>
      <c r="J275" s="167"/>
      <c r="K275" s="167"/>
      <c r="L275" s="167"/>
      <c r="M275" s="167"/>
      <c r="N275" s="167"/>
      <c r="O275" s="167"/>
      <c r="P275" s="167"/>
      <c r="Q275" s="167"/>
      <c r="R275" s="167"/>
      <c r="S275" s="167"/>
    </row>
    <row r="276">
      <c r="A276" s="162">
        <v>45791.0</v>
      </c>
      <c r="B276" s="163" t="s">
        <v>5633</v>
      </c>
      <c r="C276" s="164">
        <v>600550.0</v>
      </c>
      <c r="D276" s="165" t="s">
        <v>5380</v>
      </c>
      <c r="E276" s="165">
        <v>148.0</v>
      </c>
      <c r="F276" s="63">
        <v>0.0</v>
      </c>
      <c r="G276" s="88" t="s">
        <v>5416</v>
      </c>
      <c r="H276" s="167"/>
      <c r="I276" s="167"/>
      <c r="J276" s="167"/>
      <c r="K276" s="167"/>
      <c r="L276" s="167"/>
      <c r="M276" s="167"/>
      <c r="N276" s="167"/>
      <c r="O276" s="167"/>
      <c r="P276" s="167"/>
      <c r="Q276" s="167"/>
      <c r="R276" s="167"/>
      <c r="S276" s="167"/>
    </row>
    <row r="277">
      <c r="A277" s="168">
        <v>45791.0</v>
      </c>
      <c r="B277" s="169">
        <v>6390.0</v>
      </c>
      <c r="C277" s="170" t="s">
        <v>5403</v>
      </c>
      <c r="D277" s="171" t="s">
        <v>218</v>
      </c>
      <c r="E277" s="171">
        <v>200.0</v>
      </c>
      <c r="F277" s="69">
        <v>0.0</v>
      </c>
      <c r="G277" s="95" t="s">
        <v>5416</v>
      </c>
      <c r="H277" s="167"/>
      <c r="I277" s="167"/>
      <c r="J277" s="167"/>
      <c r="K277" s="167"/>
      <c r="L277" s="167"/>
      <c r="M277" s="167"/>
      <c r="N277" s="167"/>
      <c r="O277" s="167"/>
      <c r="P277" s="167"/>
      <c r="Q277" s="167"/>
      <c r="R277" s="167"/>
      <c r="S277" s="167"/>
    </row>
    <row r="278">
      <c r="A278" s="162">
        <v>45791.0</v>
      </c>
      <c r="B278" s="163">
        <v>6390.0</v>
      </c>
      <c r="C278" s="164" t="s">
        <v>5403</v>
      </c>
      <c r="D278" s="165" t="s">
        <v>218</v>
      </c>
      <c r="E278" s="165">
        <v>200.0</v>
      </c>
      <c r="F278" s="63">
        <v>0.0</v>
      </c>
      <c r="G278" s="88" t="s">
        <v>5628</v>
      </c>
      <c r="H278" s="167"/>
      <c r="I278" s="167"/>
      <c r="J278" s="167"/>
      <c r="K278" s="167"/>
      <c r="L278" s="167"/>
      <c r="M278" s="167"/>
      <c r="N278" s="167"/>
      <c r="O278" s="167"/>
      <c r="P278" s="167"/>
      <c r="Q278" s="167"/>
      <c r="R278" s="167"/>
      <c r="S278" s="167"/>
    </row>
    <row r="279">
      <c r="A279" s="168">
        <v>45791.0</v>
      </c>
      <c r="B279" s="169">
        <v>6390.0</v>
      </c>
      <c r="C279" s="170" t="s">
        <v>5403</v>
      </c>
      <c r="D279" s="171" t="s">
        <v>218</v>
      </c>
      <c r="E279" s="171">
        <v>200.0</v>
      </c>
      <c r="F279" s="69">
        <v>0.0</v>
      </c>
      <c r="G279" s="95" t="s">
        <v>5625</v>
      </c>
      <c r="H279" s="167"/>
      <c r="I279" s="167"/>
      <c r="J279" s="167"/>
      <c r="K279" s="167"/>
      <c r="L279" s="167"/>
      <c r="M279" s="167"/>
      <c r="N279" s="167"/>
      <c r="O279" s="167"/>
      <c r="P279" s="167"/>
      <c r="Q279" s="167"/>
      <c r="R279" s="167"/>
      <c r="S279" s="167"/>
    </row>
    <row r="280">
      <c r="A280" s="162">
        <v>45791.0</v>
      </c>
      <c r="B280" s="163">
        <v>6390.0</v>
      </c>
      <c r="C280" s="164" t="s">
        <v>5403</v>
      </c>
      <c r="D280" s="165" t="s">
        <v>218</v>
      </c>
      <c r="E280" s="165">
        <v>200.0</v>
      </c>
      <c r="F280" s="63">
        <v>0.0</v>
      </c>
      <c r="G280" s="88" t="s">
        <v>5629</v>
      </c>
      <c r="H280" s="167"/>
      <c r="I280" s="167"/>
      <c r="J280" s="167"/>
      <c r="K280" s="167"/>
      <c r="L280" s="167"/>
      <c r="M280" s="167"/>
      <c r="N280" s="167"/>
      <c r="O280" s="167"/>
      <c r="P280" s="167"/>
      <c r="Q280" s="167"/>
      <c r="R280" s="167"/>
      <c r="S280" s="167"/>
    </row>
    <row r="281">
      <c r="A281" s="168">
        <v>45791.0</v>
      </c>
      <c r="B281" s="169">
        <v>6390.0</v>
      </c>
      <c r="C281" s="170" t="s">
        <v>5403</v>
      </c>
      <c r="D281" s="171" t="s">
        <v>218</v>
      </c>
      <c r="E281" s="171">
        <v>200.0</v>
      </c>
      <c r="F281" s="69">
        <v>0.0</v>
      </c>
      <c r="G281" s="95" t="s">
        <v>5415</v>
      </c>
      <c r="H281" s="167"/>
      <c r="I281" s="167"/>
      <c r="J281" s="167"/>
      <c r="K281" s="167"/>
      <c r="L281" s="167"/>
      <c r="M281" s="167"/>
      <c r="N281" s="167"/>
      <c r="O281" s="167"/>
      <c r="P281" s="167"/>
      <c r="Q281" s="167"/>
      <c r="R281" s="167"/>
      <c r="S281" s="167"/>
    </row>
    <row r="282">
      <c r="A282" s="162">
        <v>45791.0</v>
      </c>
      <c r="B282" s="163">
        <v>6390.0</v>
      </c>
      <c r="C282" s="164" t="s">
        <v>5403</v>
      </c>
      <c r="D282" s="165" t="s">
        <v>218</v>
      </c>
      <c r="E282" s="165">
        <v>200.0</v>
      </c>
      <c r="F282" s="63">
        <v>0.0</v>
      </c>
      <c r="G282" s="88" t="s">
        <v>5634</v>
      </c>
      <c r="H282" s="167"/>
      <c r="I282" s="167"/>
      <c r="J282" s="167"/>
      <c r="K282" s="167"/>
      <c r="L282" s="167"/>
      <c r="M282" s="167"/>
      <c r="N282" s="167"/>
      <c r="O282" s="167"/>
      <c r="P282" s="167"/>
      <c r="Q282" s="167"/>
      <c r="R282" s="167"/>
      <c r="S282" s="167"/>
    </row>
    <row r="283">
      <c r="A283" s="168">
        <v>45791.0</v>
      </c>
      <c r="B283" s="169">
        <v>6390.0</v>
      </c>
      <c r="C283" s="170" t="s">
        <v>5403</v>
      </c>
      <c r="D283" s="171" t="s">
        <v>218</v>
      </c>
      <c r="E283" s="171">
        <v>200.0</v>
      </c>
      <c r="F283" s="69">
        <v>0.0</v>
      </c>
      <c r="G283" s="95" t="s">
        <v>5419</v>
      </c>
      <c r="H283" s="167"/>
      <c r="I283" s="167"/>
      <c r="J283" s="167"/>
      <c r="K283" s="167"/>
      <c r="L283" s="167"/>
      <c r="M283" s="167"/>
      <c r="N283" s="167"/>
      <c r="O283" s="167"/>
      <c r="P283" s="167"/>
      <c r="Q283" s="167"/>
      <c r="R283" s="167"/>
      <c r="S283" s="167"/>
    </row>
    <row r="284">
      <c r="A284" s="162">
        <v>45791.0</v>
      </c>
      <c r="B284" s="163">
        <v>6390.0</v>
      </c>
      <c r="C284" s="164" t="s">
        <v>5403</v>
      </c>
      <c r="D284" s="165" t="s">
        <v>218</v>
      </c>
      <c r="E284" s="165">
        <v>200.0</v>
      </c>
      <c r="F284" s="63">
        <v>0.0</v>
      </c>
      <c r="G284" s="88" t="s">
        <v>5313</v>
      </c>
      <c r="H284" s="167"/>
      <c r="I284" s="167"/>
      <c r="J284" s="167"/>
      <c r="K284" s="167"/>
      <c r="L284" s="167"/>
      <c r="M284" s="167"/>
      <c r="N284" s="167"/>
      <c r="O284" s="167"/>
      <c r="P284" s="167"/>
      <c r="Q284" s="167"/>
      <c r="R284" s="167"/>
      <c r="S284" s="167"/>
    </row>
    <row r="285">
      <c r="A285" s="168">
        <v>45791.0</v>
      </c>
      <c r="B285" s="169">
        <v>6390.0</v>
      </c>
      <c r="C285" s="170" t="s">
        <v>5403</v>
      </c>
      <c r="D285" s="171" t="s">
        <v>218</v>
      </c>
      <c r="E285" s="171">
        <v>200.0</v>
      </c>
      <c r="F285" s="69">
        <v>0.0</v>
      </c>
      <c r="G285" s="95" t="s">
        <v>5418</v>
      </c>
      <c r="H285" s="167"/>
      <c r="I285" s="167"/>
      <c r="J285" s="167"/>
      <c r="K285" s="167"/>
      <c r="L285" s="167"/>
      <c r="M285" s="167"/>
      <c r="N285" s="167"/>
      <c r="O285" s="167"/>
      <c r="P285" s="167"/>
      <c r="Q285" s="167"/>
      <c r="R285" s="167"/>
      <c r="S285" s="167"/>
    </row>
    <row r="286">
      <c r="A286" s="162">
        <v>45791.0</v>
      </c>
      <c r="B286" s="163">
        <v>6390.0</v>
      </c>
      <c r="C286" s="164" t="s">
        <v>5403</v>
      </c>
      <c r="D286" s="165" t="s">
        <v>218</v>
      </c>
      <c r="E286" s="165">
        <v>200.0</v>
      </c>
      <c r="F286" s="63">
        <v>0.0</v>
      </c>
      <c r="G286" s="88" t="s">
        <v>5417</v>
      </c>
      <c r="H286" s="167"/>
      <c r="I286" s="167"/>
      <c r="J286" s="167"/>
      <c r="K286" s="167"/>
      <c r="L286" s="167"/>
      <c r="M286" s="167"/>
      <c r="N286" s="167"/>
      <c r="O286" s="167"/>
      <c r="P286" s="167"/>
      <c r="Q286" s="167"/>
      <c r="R286" s="167"/>
      <c r="S286" s="167"/>
    </row>
    <row r="287">
      <c r="A287" s="168">
        <v>45792.0</v>
      </c>
      <c r="B287" s="169">
        <v>27861.0</v>
      </c>
      <c r="C287" s="170">
        <v>600697.0</v>
      </c>
      <c r="D287" s="171" t="s">
        <v>5367</v>
      </c>
      <c r="E287" s="171">
        <v>30.0</v>
      </c>
      <c r="F287" s="69">
        <v>0.0</v>
      </c>
      <c r="G287" s="95" t="s">
        <v>5419</v>
      </c>
      <c r="H287" s="167"/>
      <c r="I287" s="167"/>
      <c r="J287" s="167"/>
      <c r="K287" s="167"/>
      <c r="L287" s="167"/>
      <c r="M287" s="167"/>
      <c r="N287" s="167"/>
      <c r="O287" s="167"/>
      <c r="P287" s="167"/>
      <c r="Q287" s="167"/>
      <c r="R287" s="167"/>
      <c r="S287" s="167"/>
    </row>
    <row r="288">
      <c r="A288" s="162">
        <v>45796.0</v>
      </c>
      <c r="B288" s="163">
        <v>0.0</v>
      </c>
      <c r="C288" s="164">
        <v>682778.0</v>
      </c>
      <c r="D288" s="165" t="s">
        <v>1378</v>
      </c>
      <c r="E288" s="165">
        <v>73.0</v>
      </c>
      <c r="F288" s="63">
        <v>0.0</v>
      </c>
      <c r="G288" s="88" t="s">
        <v>5315</v>
      </c>
      <c r="H288" s="167"/>
      <c r="I288" s="167"/>
      <c r="J288" s="167"/>
      <c r="K288" s="167"/>
      <c r="L288" s="167"/>
      <c r="M288" s="167"/>
      <c r="N288" s="167"/>
      <c r="O288" s="167"/>
      <c r="P288" s="167"/>
      <c r="Q288" s="167"/>
      <c r="R288" s="167"/>
      <c r="S288" s="167"/>
    </row>
    <row r="289">
      <c r="A289" s="168">
        <v>45799.0</v>
      </c>
      <c r="B289" s="169">
        <v>589.0</v>
      </c>
      <c r="C289" s="170">
        <v>682778.0</v>
      </c>
      <c r="D289" s="171" t="s">
        <v>1378</v>
      </c>
      <c r="E289" s="171">
        <v>240.0</v>
      </c>
      <c r="F289" s="69">
        <v>0.0</v>
      </c>
      <c r="G289" s="95" t="s">
        <v>5420</v>
      </c>
      <c r="H289" s="167"/>
      <c r="I289" s="167"/>
      <c r="J289" s="167"/>
      <c r="K289" s="167"/>
      <c r="L289" s="167"/>
      <c r="M289" s="167"/>
      <c r="N289" s="167"/>
      <c r="O289" s="167"/>
      <c r="P289" s="167"/>
      <c r="Q289" s="167"/>
      <c r="R289" s="167"/>
      <c r="S289" s="167"/>
    </row>
    <row r="290">
      <c r="A290" s="162">
        <v>45799.0</v>
      </c>
      <c r="B290" s="163">
        <v>590.0</v>
      </c>
      <c r="C290" s="164">
        <v>682778.0</v>
      </c>
      <c r="D290" s="165" t="s">
        <v>1378</v>
      </c>
      <c r="E290" s="165">
        <v>20.0</v>
      </c>
      <c r="F290" s="63">
        <v>0.0</v>
      </c>
      <c r="G290" s="88" t="s">
        <v>5421</v>
      </c>
      <c r="H290" s="167"/>
      <c r="I290" s="167"/>
      <c r="J290" s="167"/>
      <c r="K290" s="167"/>
      <c r="L290" s="167"/>
      <c r="M290" s="167"/>
      <c r="N290" s="167"/>
      <c r="O290" s="167"/>
      <c r="P290" s="167"/>
      <c r="Q290" s="167"/>
      <c r="R290" s="167"/>
      <c r="S290" s="167"/>
    </row>
    <row r="291">
      <c r="A291" s="168">
        <v>45799.0</v>
      </c>
      <c r="B291" s="169">
        <v>10689.0</v>
      </c>
      <c r="C291" s="170">
        <v>692265.0</v>
      </c>
      <c r="D291" s="171" t="s">
        <v>5314</v>
      </c>
      <c r="E291" s="171">
        <v>32.0</v>
      </c>
      <c r="F291" s="69">
        <v>0.0</v>
      </c>
      <c r="G291" s="95" t="s">
        <v>5307</v>
      </c>
      <c r="H291" s="167"/>
      <c r="I291" s="167"/>
      <c r="J291" s="167"/>
      <c r="K291" s="167"/>
      <c r="L291" s="167"/>
      <c r="M291" s="167"/>
      <c r="N291" s="167"/>
      <c r="O291" s="167"/>
      <c r="P291" s="167"/>
      <c r="Q291" s="167"/>
      <c r="R291" s="167"/>
      <c r="S291" s="167"/>
    </row>
    <row r="292">
      <c r="A292" s="162">
        <v>45805.0</v>
      </c>
      <c r="B292" s="163">
        <v>10399.0</v>
      </c>
      <c r="C292" s="164">
        <v>605678.0</v>
      </c>
      <c r="D292" s="165" t="s">
        <v>376</v>
      </c>
      <c r="E292" s="165">
        <v>50.0</v>
      </c>
      <c r="F292" s="63">
        <v>0.0</v>
      </c>
      <c r="G292" s="88" t="s">
        <v>5307</v>
      </c>
      <c r="H292" s="167"/>
      <c r="I292" s="167"/>
      <c r="J292" s="167"/>
      <c r="K292" s="167"/>
      <c r="L292" s="167"/>
      <c r="M292" s="167"/>
      <c r="N292" s="167"/>
      <c r="O292" s="167"/>
      <c r="P292" s="167"/>
      <c r="Q292" s="167"/>
      <c r="R292" s="167"/>
      <c r="S292" s="167"/>
    </row>
    <row r="293">
      <c r="A293" s="168">
        <v>45805.0</v>
      </c>
      <c r="B293" s="169">
        <v>10398.0</v>
      </c>
      <c r="C293" s="170">
        <v>692265.0</v>
      </c>
      <c r="D293" s="171" t="s">
        <v>5314</v>
      </c>
      <c r="E293" s="171">
        <v>8.0</v>
      </c>
      <c r="F293" s="69">
        <v>0.0</v>
      </c>
      <c r="G293" s="95" t="s">
        <v>5635</v>
      </c>
      <c r="H293" s="167"/>
      <c r="I293" s="167"/>
      <c r="J293" s="167"/>
      <c r="K293" s="167"/>
      <c r="L293" s="167"/>
      <c r="M293" s="167"/>
      <c r="N293" s="167"/>
      <c r="O293" s="167"/>
      <c r="P293" s="167"/>
      <c r="Q293" s="167"/>
      <c r="R293" s="167"/>
      <c r="S293" s="167"/>
    </row>
    <row r="294">
      <c r="A294" s="162">
        <v>45806.0</v>
      </c>
      <c r="B294" s="163">
        <v>10707.0</v>
      </c>
      <c r="C294" s="164">
        <v>605678.0</v>
      </c>
      <c r="D294" s="165" t="s">
        <v>5314</v>
      </c>
      <c r="E294" s="165">
        <v>38.0</v>
      </c>
      <c r="F294" s="63">
        <v>0.0</v>
      </c>
      <c r="G294" s="88" t="s">
        <v>5420</v>
      </c>
      <c r="H294" s="167"/>
      <c r="I294" s="167"/>
      <c r="J294" s="167"/>
      <c r="K294" s="167"/>
      <c r="L294" s="167"/>
      <c r="M294" s="167"/>
      <c r="N294" s="167"/>
      <c r="O294" s="167"/>
      <c r="P294" s="167"/>
      <c r="Q294" s="167"/>
      <c r="R294" s="167"/>
      <c r="S294" s="167"/>
    </row>
    <row r="295">
      <c r="A295" s="168">
        <v>45813.0</v>
      </c>
      <c r="B295" s="169">
        <v>5359.0</v>
      </c>
      <c r="C295" s="170">
        <v>600536.0</v>
      </c>
      <c r="D295" s="171" t="s">
        <v>5425</v>
      </c>
      <c r="E295" s="171">
        <v>300.0</v>
      </c>
      <c r="F295" s="69">
        <v>1.0</v>
      </c>
      <c r="G295" s="95" t="s">
        <v>5364</v>
      </c>
      <c r="H295" s="167"/>
      <c r="I295" s="167"/>
      <c r="J295" s="167"/>
      <c r="K295" s="167"/>
      <c r="L295" s="167"/>
      <c r="M295" s="167"/>
      <c r="N295" s="167"/>
      <c r="O295" s="167"/>
      <c r="P295" s="167"/>
      <c r="Q295" s="167"/>
      <c r="R295" s="167"/>
      <c r="S295" s="167"/>
    </row>
    <row r="296">
      <c r="A296" s="162">
        <v>45813.0</v>
      </c>
      <c r="B296" s="163">
        <v>5359.0</v>
      </c>
      <c r="C296" s="164">
        <v>600673.0</v>
      </c>
      <c r="D296" s="165" t="s">
        <v>5430</v>
      </c>
      <c r="E296" s="165">
        <v>300.0</v>
      </c>
      <c r="F296" s="63">
        <v>1.0</v>
      </c>
      <c r="G296" s="166" t="s">
        <v>5636</v>
      </c>
      <c r="H296" s="167"/>
      <c r="I296" s="167"/>
      <c r="J296" s="167"/>
      <c r="K296" s="167"/>
      <c r="L296" s="167"/>
      <c r="M296" s="167"/>
      <c r="N296" s="167"/>
      <c r="O296" s="167"/>
      <c r="P296" s="167"/>
      <c r="Q296" s="167"/>
      <c r="R296" s="167"/>
      <c r="S296" s="167"/>
    </row>
    <row r="297">
      <c r="A297" s="168">
        <v>45813.0</v>
      </c>
      <c r="B297" s="169">
        <v>10464.0</v>
      </c>
      <c r="C297" s="170">
        <v>692265.0</v>
      </c>
      <c r="D297" s="171" t="s">
        <v>5314</v>
      </c>
      <c r="E297" s="171">
        <v>50.0</v>
      </c>
      <c r="F297" s="69">
        <v>0.0</v>
      </c>
      <c r="G297" s="95" t="s">
        <v>5389</v>
      </c>
      <c r="H297" s="167"/>
      <c r="I297" s="167"/>
      <c r="J297" s="167"/>
      <c r="K297" s="167"/>
      <c r="L297" s="167"/>
      <c r="M297" s="167"/>
      <c r="N297" s="167"/>
      <c r="O297" s="167"/>
      <c r="P297" s="167"/>
      <c r="Q297" s="167"/>
      <c r="R297" s="167"/>
      <c r="S297" s="167"/>
    </row>
    <row r="298">
      <c r="A298" s="162">
        <v>45813.0</v>
      </c>
      <c r="B298" s="163">
        <v>638.0</v>
      </c>
      <c r="C298" s="164">
        <v>682778.0</v>
      </c>
      <c r="D298" s="165" t="s">
        <v>1378</v>
      </c>
      <c r="E298" s="165">
        <v>240.0</v>
      </c>
      <c r="F298" s="63">
        <v>0.0</v>
      </c>
      <c r="G298" s="88" t="s">
        <v>5382</v>
      </c>
      <c r="H298" s="167"/>
      <c r="I298" s="167"/>
      <c r="J298" s="167"/>
      <c r="K298" s="167"/>
      <c r="L298" s="167"/>
      <c r="M298" s="167"/>
      <c r="N298" s="167"/>
      <c r="O298" s="167"/>
      <c r="P298" s="167"/>
      <c r="Q298" s="167"/>
      <c r="R298" s="167"/>
      <c r="S298" s="167"/>
    </row>
    <row r="299">
      <c r="A299" s="168">
        <v>45813.0</v>
      </c>
      <c r="B299" s="169">
        <v>259773.0</v>
      </c>
      <c r="C299" s="170">
        <v>657325.0</v>
      </c>
      <c r="D299" s="171" t="s">
        <v>5427</v>
      </c>
      <c r="E299" s="171">
        <v>180.0</v>
      </c>
      <c r="F299" s="69">
        <v>1.0</v>
      </c>
      <c r="G299" s="95" t="s">
        <v>5327</v>
      </c>
      <c r="H299" s="167"/>
      <c r="I299" s="167"/>
      <c r="J299" s="167"/>
      <c r="K299" s="167"/>
      <c r="L299" s="167"/>
      <c r="M299" s="167"/>
      <c r="N299" s="167"/>
      <c r="O299" s="167"/>
      <c r="P299" s="167"/>
      <c r="Q299" s="167"/>
      <c r="R299" s="167"/>
      <c r="S299" s="167"/>
    </row>
    <row r="300">
      <c r="A300" s="162">
        <v>45817.0</v>
      </c>
      <c r="B300" s="163">
        <v>6526.0</v>
      </c>
      <c r="C300" s="164" t="s">
        <v>5403</v>
      </c>
      <c r="D300" s="165" t="s">
        <v>218</v>
      </c>
      <c r="E300" s="165">
        <v>200.0</v>
      </c>
      <c r="F300" s="63">
        <v>0.0</v>
      </c>
      <c r="G300" s="88" t="s">
        <v>5341</v>
      </c>
      <c r="H300" s="167"/>
      <c r="I300" s="167"/>
      <c r="J300" s="167"/>
      <c r="K300" s="167"/>
      <c r="L300" s="167"/>
      <c r="M300" s="167"/>
      <c r="N300" s="167"/>
      <c r="O300" s="167"/>
      <c r="P300" s="167"/>
      <c r="Q300" s="167"/>
      <c r="R300" s="167"/>
      <c r="S300" s="167"/>
    </row>
    <row r="301">
      <c r="A301" s="168">
        <v>45817.0</v>
      </c>
      <c r="B301" s="169">
        <v>6526.0</v>
      </c>
      <c r="C301" s="170" t="s">
        <v>5403</v>
      </c>
      <c r="D301" s="171" t="s">
        <v>218</v>
      </c>
      <c r="E301" s="171">
        <v>200.0</v>
      </c>
      <c r="F301" s="69">
        <v>0.0</v>
      </c>
      <c r="G301" s="95" t="s">
        <v>5421</v>
      </c>
      <c r="H301" s="167"/>
      <c r="I301" s="167"/>
      <c r="J301" s="167"/>
      <c r="K301" s="167"/>
      <c r="L301" s="167"/>
      <c r="M301" s="167"/>
      <c r="N301" s="167"/>
      <c r="O301" s="167"/>
      <c r="P301" s="167"/>
      <c r="Q301" s="167"/>
      <c r="R301" s="167"/>
      <c r="S301" s="167"/>
    </row>
    <row r="302">
      <c r="A302" s="162">
        <v>45817.0</v>
      </c>
      <c r="B302" s="163">
        <v>6526.0</v>
      </c>
      <c r="C302" s="164" t="s">
        <v>5403</v>
      </c>
      <c r="D302" s="165" t="s">
        <v>218</v>
      </c>
      <c r="E302" s="165">
        <v>200.0</v>
      </c>
      <c r="F302" s="63">
        <v>0.0</v>
      </c>
      <c r="G302" s="88" t="s">
        <v>5420</v>
      </c>
      <c r="H302" s="167"/>
      <c r="I302" s="167"/>
      <c r="J302" s="167"/>
      <c r="K302" s="167"/>
      <c r="L302" s="167"/>
      <c r="M302" s="167"/>
      <c r="N302" s="167"/>
      <c r="O302" s="167"/>
      <c r="P302" s="167"/>
      <c r="Q302" s="167"/>
      <c r="R302" s="167"/>
      <c r="S302" s="167"/>
    </row>
    <row r="303">
      <c r="A303" s="168">
        <v>45817.0</v>
      </c>
      <c r="B303" s="169">
        <v>6526.0</v>
      </c>
      <c r="C303" s="170" t="s">
        <v>5403</v>
      </c>
      <c r="D303" s="171" t="s">
        <v>218</v>
      </c>
      <c r="E303" s="171">
        <v>200.0</v>
      </c>
      <c r="F303" s="69">
        <v>0.0</v>
      </c>
      <c r="G303" s="95" t="s">
        <v>5391</v>
      </c>
      <c r="H303" s="167"/>
      <c r="I303" s="167"/>
      <c r="J303" s="167"/>
      <c r="K303" s="167"/>
      <c r="L303" s="167"/>
      <c r="M303" s="167"/>
      <c r="N303" s="167"/>
      <c r="O303" s="167"/>
      <c r="P303" s="167"/>
      <c r="Q303" s="167"/>
      <c r="R303" s="167"/>
      <c r="S303" s="167"/>
    </row>
    <row r="304">
      <c r="A304" s="162">
        <v>45817.0</v>
      </c>
      <c r="B304" s="163">
        <v>6526.0</v>
      </c>
      <c r="C304" s="164" t="s">
        <v>5403</v>
      </c>
      <c r="D304" s="165" t="s">
        <v>218</v>
      </c>
      <c r="E304" s="165">
        <v>200.0</v>
      </c>
      <c r="F304" s="63">
        <v>0.0</v>
      </c>
      <c r="G304" s="88" t="s">
        <v>5392</v>
      </c>
      <c r="H304" s="167"/>
      <c r="I304" s="167"/>
      <c r="J304" s="167"/>
      <c r="K304" s="167"/>
      <c r="L304" s="167"/>
      <c r="M304" s="167"/>
      <c r="N304" s="167"/>
      <c r="O304" s="167"/>
      <c r="P304" s="167"/>
      <c r="Q304" s="167"/>
      <c r="R304" s="167"/>
      <c r="S304" s="167"/>
    </row>
    <row r="305">
      <c r="A305" s="168">
        <v>45817.0</v>
      </c>
      <c r="B305" s="169">
        <v>6526.0</v>
      </c>
      <c r="C305" s="170" t="s">
        <v>5403</v>
      </c>
      <c r="D305" s="171" t="s">
        <v>218</v>
      </c>
      <c r="E305" s="171">
        <v>200.0</v>
      </c>
      <c r="F305" s="69">
        <v>0.0</v>
      </c>
      <c r="G305" s="95" t="s">
        <v>5393</v>
      </c>
      <c r="H305" s="167"/>
      <c r="I305" s="167"/>
      <c r="J305" s="167"/>
      <c r="K305" s="167"/>
      <c r="L305" s="167"/>
      <c r="M305" s="167"/>
      <c r="N305" s="167"/>
      <c r="O305" s="167"/>
      <c r="P305" s="167"/>
      <c r="Q305" s="167"/>
      <c r="R305" s="167"/>
      <c r="S305" s="167"/>
    </row>
    <row r="306">
      <c r="A306" s="162">
        <v>45817.0</v>
      </c>
      <c r="B306" s="163">
        <v>6526.0</v>
      </c>
      <c r="C306" s="164" t="s">
        <v>5403</v>
      </c>
      <c r="D306" s="165" t="s">
        <v>218</v>
      </c>
      <c r="E306" s="165">
        <v>200.0</v>
      </c>
      <c r="F306" s="63">
        <v>0.0</v>
      </c>
      <c r="G306" s="88" t="s">
        <v>5394</v>
      </c>
      <c r="H306" s="167"/>
      <c r="I306" s="167"/>
      <c r="J306" s="167"/>
      <c r="K306" s="167"/>
      <c r="L306" s="167"/>
      <c r="M306" s="167"/>
      <c r="N306" s="167"/>
      <c r="O306" s="167"/>
      <c r="P306" s="167"/>
      <c r="Q306" s="167"/>
      <c r="R306" s="167"/>
      <c r="S306" s="167"/>
    </row>
    <row r="307">
      <c r="A307" s="168">
        <v>45817.0</v>
      </c>
      <c r="B307" s="169">
        <v>6526.0</v>
      </c>
      <c r="C307" s="170" t="s">
        <v>5403</v>
      </c>
      <c r="D307" s="171" t="s">
        <v>218</v>
      </c>
      <c r="E307" s="171">
        <v>200.0</v>
      </c>
      <c r="F307" s="69">
        <v>0.0</v>
      </c>
      <c r="G307" s="95" t="s">
        <v>5637</v>
      </c>
      <c r="H307" s="167"/>
      <c r="I307" s="167"/>
      <c r="J307" s="167"/>
      <c r="K307" s="167"/>
      <c r="L307" s="167"/>
      <c r="M307" s="167"/>
      <c r="N307" s="167"/>
      <c r="O307" s="167"/>
      <c r="P307" s="167"/>
      <c r="Q307" s="167"/>
      <c r="R307" s="167"/>
      <c r="S307" s="167"/>
    </row>
    <row r="308">
      <c r="A308" s="162">
        <v>45817.0</v>
      </c>
      <c r="B308" s="163">
        <v>6526.0</v>
      </c>
      <c r="C308" s="164" t="s">
        <v>5403</v>
      </c>
      <c r="D308" s="165" t="s">
        <v>218</v>
      </c>
      <c r="E308" s="165">
        <v>200.0</v>
      </c>
      <c r="F308" s="63">
        <v>0.0</v>
      </c>
      <c r="G308" s="88" t="s">
        <v>5343</v>
      </c>
      <c r="H308" s="167"/>
      <c r="I308" s="167"/>
      <c r="J308" s="167"/>
      <c r="K308" s="167"/>
      <c r="L308" s="167"/>
      <c r="M308" s="167"/>
      <c r="N308" s="167"/>
      <c r="O308" s="167"/>
      <c r="P308" s="167"/>
      <c r="Q308" s="167"/>
      <c r="R308" s="167"/>
      <c r="S308" s="167"/>
    </row>
    <row r="309">
      <c r="A309" s="168">
        <v>45817.0</v>
      </c>
      <c r="B309" s="169">
        <v>6526.0</v>
      </c>
      <c r="C309" s="170" t="s">
        <v>5403</v>
      </c>
      <c r="D309" s="171" t="s">
        <v>218</v>
      </c>
      <c r="E309" s="171">
        <v>200.0</v>
      </c>
      <c r="F309" s="69">
        <v>0.0</v>
      </c>
      <c r="G309" s="95" t="s">
        <v>5402</v>
      </c>
      <c r="H309" s="167"/>
      <c r="I309" s="167"/>
      <c r="J309" s="167"/>
      <c r="K309" s="167"/>
      <c r="L309" s="167"/>
      <c r="M309" s="167"/>
      <c r="N309" s="167"/>
      <c r="O309" s="167"/>
      <c r="P309" s="167"/>
      <c r="Q309" s="167"/>
      <c r="R309" s="167"/>
      <c r="S309" s="167"/>
    </row>
    <row r="310">
      <c r="A310" s="162">
        <v>45814.0</v>
      </c>
      <c r="B310" s="163">
        <v>5708.0</v>
      </c>
      <c r="C310" s="164">
        <v>682778.0</v>
      </c>
      <c r="D310" s="165" t="s">
        <v>1378</v>
      </c>
      <c r="E310" s="165">
        <v>240.0</v>
      </c>
      <c r="F310" s="63">
        <v>0.0</v>
      </c>
      <c r="G310" s="166" t="s">
        <v>5638</v>
      </c>
      <c r="H310" s="167"/>
      <c r="I310" s="167"/>
      <c r="J310" s="167"/>
      <c r="K310" s="167"/>
      <c r="L310" s="167"/>
      <c r="M310" s="167"/>
      <c r="N310" s="167"/>
      <c r="O310" s="167"/>
      <c r="P310" s="167"/>
      <c r="Q310" s="167"/>
      <c r="R310" s="167"/>
      <c r="S310" s="167"/>
    </row>
    <row r="311">
      <c r="A311" s="168">
        <v>45817.0</v>
      </c>
      <c r="B311" s="169">
        <v>10513.0</v>
      </c>
      <c r="C311" s="170">
        <v>692265.0</v>
      </c>
      <c r="D311" s="171" t="s">
        <v>5314</v>
      </c>
      <c r="E311" s="171">
        <v>50.0</v>
      </c>
      <c r="F311" s="69">
        <v>0.0</v>
      </c>
      <c r="G311" s="95" t="s">
        <v>5364</v>
      </c>
      <c r="H311" s="167"/>
      <c r="I311" s="167"/>
      <c r="J311" s="167"/>
      <c r="K311" s="167"/>
      <c r="L311" s="167"/>
      <c r="M311" s="167"/>
      <c r="N311" s="167"/>
      <c r="O311" s="167"/>
      <c r="P311" s="167"/>
      <c r="Q311" s="167"/>
      <c r="R311" s="167"/>
      <c r="S311" s="167"/>
    </row>
    <row r="312">
      <c r="A312" s="162">
        <v>45817.0</v>
      </c>
      <c r="B312" s="163">
        <v>10514.0</v>
      </c>
      <c r="C312" s="164">
        <v>605678.0</v>
      </c>
      <c r="D312" s="165" t="s">
        <v>376</v>
      </c>
      <c r="E312" s="165">
        <v>50.0</v>
      </c>
      <c r="F312" s="63">
        <v>0.0</v>
      </c>
      <c r="G312" s="88" t="s">
        <v>5432</v>
      </c>
      <c r="H312" s="167"/>
      <c r="I312" s="167"/>
      <c r="J312" s="167"/>
      <c r="K312" s="167"/>
      <c r="L312" s="167"/>
      <c r="M312" s="167"/>
      <c r="N312" s="167"/>
      <c r="O312" s="167"/>
      <c r="P312" s="167"/>
      <c r="Q312" s="167"/>
      <c r="R312" s="167"/>
      <c r="S312" s="167"/>
    </row>
    <row r="313">
      <c r="A313" s="168">
        <v>45817.0</v>
      </c>
      <c r="B313" s="169">
        <v>6532.0</v>
      </c>
      <c r="C313" s="170" t="s">
        <v>5403</v>
      </c>
      <c r="D313" s="171" t="s">
        <v>218</v>
      </c>
      <c r="E313" s="171">
        <v>200.0</v>
      </c>
      <c r="F313" s="69">
        <v>0.0</v>
      </c>
      <c r="G313" s="95" t="s">
        <v>5399</v>
      </c>
      <c r="H313" s="167"/>
      <c r="I313" s="167"/>
      <c r="J313" s="167"/>
      <c r="K313" s="167"/>
      <c r="L313" s="167"/>
      <c r="M313" s="167"/>
      <c r="N313" s="167"/>
      <c r="O313" s="167"/>
      <c r="P313" s="167"/>
      <c r="Q313" s="167"/>
      <c r="R313" s="167"/>
      <c r="S313" s="167"/>
    </row>
    <row r="314">
      <c r="A314" s="162">
        <v>45817.0</v>
      </c>
      <c r="B314" s="163">
        <v>6532.0</v>
      </c>
      <c r="C314" s="164" t="s">
        <v>5403</v>
      </c>
      <c r="D314" s="165" t="s">
        <v>218</v>
      </c>
      <c r="E314" s="165">
        <v>200.0</v>
      </c>
      <c r="F314" s="63">
        <v>0.0</v>
      </c>
      <c r="G314" s="88" t="s">
        <v>5400</v>
      </c>
      <c r="H314" s="167"/>
      <c r="I314" s="167"/>
      <c r="J314" s="167"/>
      <c r="K314" s="167"/>
      <c r="L314" s="167"/>
      <c r="M314" s="167"/>
      <c r="N314" s="167"/>
      <c r="O314" s="167"/>
      <c r="P314" s="167"/>
      <c r="Q314" s="167"/>
      <c r="R314" s="167"/>
      <c r="S314" s="167"/>
    </row>
    <row r="315">
      <c r="A315" s="168">
        <v>45817.0</v>
      </c>
      <c r="B315" s="169">
        <v>6532.0</v>
      </c>
      <c r="C315" s="170" t="s">
        <v>5403</v>
      </c>
      <c r="D315" s="171" t="s">
        <v>218</v>
      </c>
      <c r="E315" s="171">
        <v>200.0</v>
      </c>
      <c r="F315" s="69">
        <v>0.0</v>
      </c>
      <c r="G315" s="95" t="s">
        <v>5401</v>
      </c>
      <c r="H315" s="167"/>
      <c r="I315" s="167"/>
      <c r="J315" s="167"/>
      <c r="K315" s="167"/>
      <c r="L315" s="167"/>
      <c r="M315" s="167"/>
      <c r="N315" s="167"/>
      <c r="O315" s="167"/>
      <c r="P315" s="167"/>
      <c r="Q315" s="167"/>
      <c r="R315" s="167"/>
      <c r="S315" s="167"/>
    </row>
    <row r="316">
      <c r="A316" s="162">
        <v>45817.0</v>
      </c>
      <c r="B316" s="163">
        <v>6532.0</v>
      </c>
      <c r="C316" s="164" t="s">
        <v>5403</v>
      </c>
      <c r="D316" s="165" t="s">
        <v>218</v>
      </c>
      <c r="E316" s="165">
        <v>200.0</v>
      </c>
      <c r="F316" s="63">
        <v>0.0</v>
      </c>
      <c r="G316" s="88" t="s">
        <v>5404</v>
      </c>
      <c r="H316" s="167"/>
      <c r="I316" s="167"/>
      <c r="J316" s="167"/>
      <c r="K316" s="167"/>
      <c r="L316" s="167"/>
      <c r="M316" s="167"/>
      <c r="N316" s="167"/>
      <c r="O316" s="167"/>
      <c r="P316" s="167"/>
      <c r="Q316" s="167"/>
      <c r="R316" s="167"/>
      <c r="S316" s="167"/>
    </row>
    <row r="317">
      <c r="A317" s="168">
        <v>45817.0</v>
      </c>
      <c r="B317" s="169">
        <v>6532.0</v>
      </c>
      <c r="C317" s="170" t="s">
        <v>5403</v>
      </c>
      <c r="D317" s="171" t="s">
        <v>218</v>
      </c>
      <c r="E317" s="171">
        <v>200.0</v>
      </c>
      <c r="F317" s="69">
        <v>0.0</v>
      </c>
      <c r="G317" s="95" t="s">
        <v>5632</v>
      </c>
      <c r="H317" s="167"/>
      <c r="I317" s="167"/>
      <c r="J317" s="167"/>
      <c r="K317" s="167"/>
      <c r="L317" s="167"/>
      <c r="M317" s="167"/>
      <c r="N317" s="167"/>
      <c r="O317" s="167"/>
      <c r="P317" s="167"/>
      <c r="Q317" s="167"/>
      <c r="R317" s="167"/>
      <c r="S317" s="167"/>
    </row>
    <row r="318">
      <c r="A318" s="162">
        <v>45817.0</v>
      </c>
      <c r="B318" s="163">
        <v>6532.0</v>
      </c>
      <c r="C318" s="164" t="s">
        <v>5403</v>
      </c>
      <c r="D318" s="165" t="s">
        <v>218</v>
      </c>
      <c r="E318" s="165">
        <v>200.0</v>
      </c>
      <c r="F318" s="63">
        <v>0.0</v>
      </c>
      <c r="G318" s="88" t="s">
        <v>5339</v>
      </c>
      <c r="H318" s="167"/>
      <c r="I318" s="167"/>
      <c r="J318" s="167"/>
      <c r="K318" s="167"/>
      <c r="L318" s="167"/>
      <c r="M318" s="167"/>
      <c r="N318" s="167"/>
      <c r="O318" s="167"/>
      <c r="P318" s="167"/>
      <c r="Q318" s="167"/>
      <c r="R318" s="167"/>
      <c r="S318" s="167"/>
    </row>
    <row r="319">
      <c r="A319" s="168">
        <v>45817.0</v>
      </c>
      <c r="B319" s="169">
        <v>6532.0</v>
      </c>
      <c r="C319" s="170" t="s">
        <v>5403</v>
      </c>
      <c r="D319" s="171" t="s">
        <v>218</v>
      </c>
      <c r="E319" s="171">
        <v>200.0</v>
      </c>
      <c r="F319" s="69">
        <v>0.0</v>
      </c>
      <c r="G319" s="95" t="s">
        <v>5337</v>
      </c>
      <c r="H319" s="167"/>
      <c r="I319" s="167"/>
      <c r="J319" s="167"/>
      <c r="K319" s="167"/>
      <c r="L319" s="167"/>
      <c r="M319" s="167"/>
      <c r="N319" s="167"/>
      <c r="O319" s="167"/>
      <c r="P319" s="167"/>
      <c r="Q319" s="167"/>
      <c r="R319" s="167"/>
      <c r="S319" s="167"/>
    </row>
    <row r="320">
      <c r="A320" s="162">
        <v>45817.0</v>
      </c>
      <c r="B320" s="163">
        <v>6532.0</v>
      </c>
      <c r="C320" s="164" t="s">
        <v>5403</v>
      </c>
      <c r="D320" s="165" t="s">
        <v>218</v>
      </c>
      <c r="E320" s="165">
        <v>200.0</v>
      </c>
      <c r="F320" s="63">
        <v>0.0</v>
      </c>
      <c r="G320" s="88" t="s">
        <v>5336</v>
      </c>
      <c r="H320" s="167"/>
      <c r="I320" s="167"/>
      <c r="J320" s="167"/>
      <c r="K320" s="167"/>
      <c r="L320" s="167"/>
      <c r="M320" s="167"/>
      <c r="N320" s="167"/>
      <c r="O320" s="167"/>
      <c r="P320" s="167"/>
      <c r="Q320" s="167"/>
      <c r="R320" s="167"/>
      <c r="S320" s="167"/>
    </row>
    <row r="321">
      <c r="A321" s="168">
        <v>45817.0</v>
      </c>
      <c r="B321" s="169">
        <v>6532.0</v>
      </c>
      <c r="C321" s="170" t="s">
        <v>5403</v>
      </c>
      <c r="D321" s="171" t="s">
        <v>218</v>
      </c>
      <c r="E321" s="171">
        <v>200.0</v>
      </c>
      <c r="F321" s="69">
        <v>0.0</v>
      </c>
      <c r="G321" s="95" t="s">
        <v>5607</v>
      </c>
      <c r="H321" s="167"/>
      <c r="I321" s="167"/>
      <c r="J321" s="167"/>
      <c r="K321" s="167"/>
      <c r="L321" s="167"/>
      <c r="M321" s="167"/>
      <c r="N321" s="167"/>
      <c r="O321" s="167"/>
      <c r="P321" s="167"/>
      <c r="Q321" s="167"/>
      <c r="R321" s="167"/>
      <c r="S321" s="167"/>
    </row>
    <row r="322">
      <c r="A322" s="162">
        <v>45817.0</v>
      </c>
      <c r="B322" s="163">
        <v>6532.0</v>
      </c>
      <c r="C322" s="164" t="s">
        <v>5403</v>
      </c>
      <c r="D322" s="165" t="s">
        <v>218</v>
      </c>
      <c r="E322" s="165">
        <v>200.0</v>
      </c>
      <c r="F322" s="63">
        <v>0.0</v>
      </c>
      <c r="G322" s="88" t="s">
        <v>5617</v>
      </c>
      <c r="H322" s="167"/>
      <c r="I322" s="167"/>
      <c r="J322" s="167"/>
      <c r="K322" s="167"/>
      <c r="L322" s="167"/>
      <c r="M322" s="167"/>
      <c r="N322" s="167"/>
      <c r="O322" s="167"/>
      <c r="P322" s="167"/>
      <c r="Q322" s="167"/>
      <c r="R322" s="167"/>
      <c r="S322" s="167"/>
    </row>
    <row r="323">
      <c r="A323" s="168">
        <v>45817.0</v>
      </c>
      <c r="B323" s="169">
        <v>6532.0</v>
      </c>
      <c r="C323" s="170" t="s">
        <v>5403</v>
      </c>
      <c r="D323" s="171" t="s">
        <v>218</v>
      </c>
      <c r="E323" s="171">
        <v>200.0</v>
      </c>
      <c r="F323" s="69">
        <v>0.0</v>
      </c>
      <c r="G323" s="95" t="s">
        <v>5639</v>
      </c>
      <c r="H323" s="167"/>
      <c r="I323" s="167"/>
      <c r="J323" s="167"/>
      <c r="K323" s="167"/>
      <c r="L323" s="167"/>
      <c r="M323" s="167"/>
      <c r="N323" s="167"/>
      <c r="O323" s="167"/>
      <c r="P323" s="167"/>
      <c r="Q323" s="167"/>
      <c r="R323" s="167"/>
      <c r="S323" s="167"/>
    </row>
    <row r="324">
      <c r="A324" s="162">
        <v>45817.0</v>
      </c>
      <c r="B324" s="163">
        <v>6532.0</v>
      </c>
      <c r="C324" s="164" t="s">
        <v>5403</v>
      </c>
      <c r="D324" s="165" t="s">
        <v>218</v>
      </c>
      <c r="E324" s="165">
        <v>150.0</v>
      </c>
      <c r="F324" s="63">
        <v>0.0</v>
      </c>
      <c r="G324" s="88" t="s">
        <v>5365</v>
      </c>
      <c r="H324" s="167"/>
      <c r="I324" s="167"/>
      <c r="J324" s="167"/>
      <c r="K324" s="167"/>
      <c r="L324" s="167"/>
      <c r="M324" s="167"/>
      <c r="N324" s="167"/>
      <c r="O324" s="167"/>
      <c r="P324" s="167"/>
      <c r="Q324" s="167"/>
      <c r="R324" s="167"/>
      <c r="S324" s="167"/>
    </row>
    <row r="325">
      <c r="A325" s="168">
        <v>45820.0</v>
      </c>
      <c r="B325" s="169">
        <v>6556.0</v>
      </c>
      <c r="C325" s="170" t="s">
        <v>5369</v>
      </c>
      <c r="D325" s="171" t="s">
        <v>206</v>
      </c>
      <c r="E325" s="171">
        <v>350.0</v>
      </c>
      <c r="F325" s="69">
        <v>0.0</v>
      </c>
      <c r="G325" s="95" t="s">
        <v>5327</v>
      </c>
      <c r="H325" s="167"/>
      <c r="I325" s="167"/>
      <c r="J325" s="167"/>
      <c r="K325" s="167"/>
      <c r="L325" s="167"/>
      <c r="M325" s="167"/>
      <c r="N325" s="167"/>
      <c r="O325" s="167"/>
      <c r="P325" s="167"/>
      <c r="Q325" s="167"/>
      <c r="R325" s="167"/>
      <c r="S325" s="167"/>
    </row>
    <row r="326">
      <c r="A326" s="162">
        <v>45820.0</v>
      </c>
      <c r="B326" s="163">
        <v>6556.0</v>
      </c>
      <c r="C326" s="164" t="s">
        <v>5369</v>
      </c>
      <c r="D326" s="165" t="s">
        <v>206</v>
      </c>
      <c r="E326" s="165">
        <v>350.0</v>
      </c>
      <c r="F326" s="63">
        <v>0.0</v>
      </c>
      <c r="G326" s="88" t="s">
        <v>5332</v>
      </c>
      <c r="H326" s="167"/>
      <c r="I326" s="167"/>
      <c r="J326" s="167"/>
      <c r="K326" s="167"/>
      <c r="L326" s="167"/>
      <c r="M326" s="167"/>
      <c r="N326" s="167"/>
      <c r="O326" s="167"/>
      <c r="P326" s="167"/>
      <c r="Q326" s="167"/>
      <c r="R326" s="167"/>
      <c r="S326" s="167"/>
    </row>
    <row r="327">
      <c r="A327" s="168">
        <v>45820.0</v>
      </c>
      <c r="B327" s="169">
        <v>6556.0</v>
      </c>
      <c r="C327" s="170" t="s">
        <v>5369</v>
      </c>
      <c r="D327" s="171" t="s">
        <v>206</v>
      </c>
      <c r="E327" s="171">
        <v>350.0</v>
      </c>
      <c r="F327" s="69">
        <v>0.0</v>
      </c>
      <c r="G327" s="95" t="s">
        <v>5370</v>
      </c>
      <c r="H327" s="167"/>
      <c r="I327" s="167"/>
      <c r="J327" s="167"/>
      <c r="K327" s="167"/>
      <c r="L327" s="167"/>
      <c r="M327" s="167"/>
      <c r="N327" s="167"/>
      <c r="O327" s="167"/>
      <c r="P327" s="167"/>
      <c r="Q327" s="167"/>
      <c r="R327" s="167"/>
      <c r="S327" s="167"/>
    </row>
    <row r="328">
      <c r="A328" s="162">
        <v>45820.0</v>
      </c>
      <c r="B328" s="163">
        <v>6556.0</v>
      </c>
      <c r="C328" s="164" t="s">
        <v>5369</v>
      </c>
      <c r="D328" s="165" t="s">
        <v>206</v>
      </c>
      <c r="E328" s="165">
        <v>350.0</v>
      </c>
      <c r="F328" s="63">
        <v>0.0</v>
      </c>
      <c r="G328" s="88" t="s">
        <v>5371</v>
      </c>
      <c r="H328" s="167"/>
      <c r="I328" s="167"/>
      <c r="J328" s="167"/>
      <c r="K328" s="167"/>
      <c r="L328" s="167"/>
      <c r="M328" s="167"/>
      <c r="N328" s="167"/>
      <c r="O328" s="167"/>
      <c r="P328" s="167"/>
      <c r="Q328" s="167"/>
      <c r="R328" s="167"/>
      <c r="S328" s="167"/>
    </row>
    <row r="329">
      <c r="A329" s="168">
        <v>45820.0</v>
      </c>
      <c r="B329" s="169">
        <v>6556.0</v>
      </c>
      <c r="C329" s="170" t="s">
        <v>5369</v>
      </c>
      <c r="D329" s="171" t="s">
        <v>206</v>
      </c>
      <c r="E329" s="171">
        <v>350.0</v>
      </c>
      <c r="F329" s="69">
        <v>0.0</v>
      </c>
      <c r="G329" s="95" t="s">
        <v>5372</v>
      </c>
      <c r="H329" s="167"/>
      <c r="I329" s="167"/>
      <c r="J329" s="167"/>
      <c r="K329" s="167"/>
      <c r="L329" s="167"/>
      <c r="M329" s="167"/>
      <c r="N329" s="167"/>
      <c r="O329" s="167"/>
      <c r="P329" s="167"/>
      <c r="Q329" s="167"/>
      <c r="R329" s="167"/>
      <c r="S329" s="167"/>
    </row>
    <row r="330">
      <c r="A330" s="162">
        <v>45820.0</v>
      </c>
      <c r="B330" s="163">
        <v>6556.0</v>
      </c>
      <c r="C330" s="164" t="s">
        <v>5369</v>
      </c>
      <c r="D330" s="165" t="s">
        <v>206</v>
      </c>
      <c r="E330" s="165">
        <v>350.0</v>
      </c>
      <c r="F330" s="63">
        <v>0.0</v>
      </c>
      <c r="G330" s="88" t="s">
        <v>5412</v>
      </c>
      <c r="H330" s="167"/>
      <c r="I330" s="167"/>
      <c r="J330" s="167"/>
      <c r="K330" s="167"/>
      <c r="L330" s="167"/>
      <c r="M330" s="167"/>
      <c r="N330" s="167"/>
      <c r="O330" s="167"/>
      <c r="P330" s="167"/>
      <c r="Q330" s="167"/>
      <c r="R330" s="167"/>
      <c r="S330" s="167"/>
    </row>
    <row r="331">
      <c r="A331" s="168">
        <v>45821.0</v>
      </c>
      <c r="B331" s="169">
        <v>6544.0</v>
      </c>
      <c r="C331" s="170" t="s">
        <v>5408</v>
      </c>
      <c r="D331" s="171" t="s">
        <v>212</v>
      </c>
      <c r="E331" s="171">
        <v>225.0</v>
      </c>
      <c r="F331" s="69">
        <v>0.0</v>
      </c>
      <c r="G331" s="95" t="s">
        <v>5307</v>
      </c>
      <c r="H331" s="167"/>
      <c r="I331" s="167"/>
      <c r="J331" s="167"/>
      <c r="K331" s="167"/>
      <c r="L331" s="167"/>
      <c r="M331" s="167"/>
      <c r="N331" s="167"/>
      <c r="O331" s="167"/>
      <c r="P331" s="167"/>
      <c r="Q331" s="167"/>
      <c r="R331" s="167"/>
      <c r="S331" s="167"/>
    </row>
    <row r="332">
      <c r="A332" s="162">
        <v>45821.0</v>
      </c>
      <c r="B332" s="163">
        <v>6544.0</v>
      </c>
      <c r="C332" s="164" t="s">
        <v>5408</v>
      </c>
      <c r="D332" s="165" t="s">
        <v>212</v>
      </c>
      <c r="E332" s="165">
        <v>225.0</v>
      </c>
      <c r="F332" s="63">
        <v>0.0</v>
      </c>
      <c r="G332" s="88" t="s">
        <v>5432</v>
      </c>
      <c r="H332" s="167"/>
      <c r="I332" s="167"/>
      <c r="J332" s="167"/>
      <c r="K332" s="167"/>
      <c r="L332" s="167"/>
      <c r="M332" s="167"/>
      <c r="N332" s="167"/>
      <c r="O332" s="167"/>
      <c r="P332" s="167"/>
      <c r="Q332" s="167"/>
      <c r="R332" s="167"/>
      <c r="S332" s="167"/>
    </row>
    <row r="333">
      <c r="A333" s="168">
        <v>45821.0</v>
      </c>
      <c r="B333" s="169">
        <v>6544.0</v>
      </c>
      <c r="C333" s="170" t="s">
        <v>5408</v>
      </c>
      <c r="D333" s="171" t="s">
        <v>212</v>
      </c>
      <c r="E333" s="171">
        <v>225.0</v>
      </c>
      <c r="F333" s="69">
        <v>0.0</v>
      </c>
      <c r="G333" s="95" t="s">
        <v>5618</v>
      </c>
      <c r="H333" s="167"/>
      <c r="I333" s="167"/>
      <c r="J333" s="167"/>
      <c r="K333" s="167"/>
      <c r="L333" s="167"/>
      <c r="M333" s="167"/>
      <c r="N333" s="167"/>
      <c r="O333" s="167"/>
      <c r="P333" s="167"/>
      <c r="Q333" s="167"/>
      <c r="R333" s="167"/>
      <c r="S333" s="167"/>
    </row>
    <row r="334">
      <c r="A334" s="162">
        <v>45821.0</v>
      </c>
      <c r="B334" s="163">
        <v>6544.0</v>
      </c>
      <c r="C334" s="164" t="s">
        <v>5408</v>
      </c>
      <c r="D334" s="165" t="s">
        <v>212</v>
      </c>
      <c r="E334" s="165">
        <v>225.0</v>
      </c>
      <c r="F334" s="63">
        <v>0.0</v>
      </c>
      <c r="G334" s="88" t="s">
        <v>5619</v>
      </c>
      <c r="H334" s="167"/>
      <c r="I334" s="167"/>
      <c r="J334" s="167"/>
      <c r="K334" s="167"/>
      <c r="L334" s="167"/>
      <c r="M334" s="167"/>
      <c r="N334" s="167"/>
      <c r="O334" s="167"/>
      <c r="P334" s="167"/>
      <c r="Q334" s="167"/>
      <c r="R334" s="167"/>
      <c r="S334" s="167"/>
    </row>
    <row r="335">
      <c r="A335" s="168">
        <v>45821.0</v>
      </c>
      <c r="B335" s="169">
        <v>6544.0</v>
      </c>
      <c r="C335" s="170" t="s">
        <v>5408</v>
      </c>
      <c r="D335" s="171" t="s">
        <v>212</v>
      </c>
      <c r="E335" s="171">
        <v>225.0</v>
      </c>
      <c r="F335" s="69">
        <v>0.0</v>
      </c>
      <c r="G335" s="95" t="s">
        <v>5620</v>
      </c>
      <c r="H335" s="167"/>
      <c r="I335" s="167"/>
      <c r="J335" s="167"/>
      <c r="K335" s="167"/>
      <c r="L335" s="167"/>
      <c r="M335" s="167"/>
      <c r="N335" s="167"/>
      <c r="O335" s="167"/>
      <c r="P335" s="167"/>
      <c r="Q335" s="167"/>
      <c r="R335" s="167"/>
      <c r="S335" s="167"/>
    </row>
    <row r="336">
      <c r="A336" s="162">
        <v>45821.0</v>
      </c>
      <c r="B336" s="163">
        <v>6544.0</v>
      </c>
      <c r="C336" s="164" t="s">
        <v>5408</v>
      </c>
      <c r="D336" s="165" t="s">
        <v>212</v>
      </c>
      <c r="E336" s="165">
        <v>225.0</v>
      </c>
      <c r="F336" s="63">
        <v>0.0</v>
      </c>
      <c r="G336" s="88" t="s">
        <v>5374</v>
      </c>
      <c r="H336" s="167"/>
      <c r="I336" s="167"/>
      <c r="J336" s="167"/>
      <c r="K336" s="167"/>
      <c r="L336" s="167"/>
      <c r="M336" s="167"/>
      <c r="N336" s="167"/>
      <c r="O336" s="167"/>
      <c r="P336" s="167"/>
      <c r="Q336" s="167"/>
      <c r="R336" s="167"/>
      <c r="S336" s="167"/>
    </row>
    <row r="337">
      <c r="A337" s="168">
        <v>45821.0</v>
      </c>
      <c r="B337" s="169">
        <v>6544.0</v>
      </c>
      <c r="C337" s="170" t="s">
        <v>5408</v>
      </c>
      <c r="D337" s="171" t="s">
        <v>212</v>
      </c>
      <c r="E337" s="171">
        <v>225.0</v>
      </c>
      <c r="F337" s="69">
        <v>0.0</v>
      </c>
      <c r="G337" s="95" t="s">
        <v>5375</v>
      </c>
      <c r="H337" s="167"/>
      <c r="I337" s="167"/>
      <c r="J337" s="167"/>
      <c r="K337" s="167"/>
      <c r="L337" s="167"/>
      <c r="M337" s="167"/>
      <c r="N337" s="167"/>
      <c r="O337" s="167"/>
      <c r="P337" s="167"/>
      <c r="Q337" s="167"/>
      <c r="R337" s="167"/>
      <c r="S337" s="167"/>
    </row>
    <row r="338">
      <c r="A338" s="162">
        <v>45818.0</v>
      </c>
      <c r="B338" s="163">
        <v>6543.0</v>
      </c>
      <c r="C338" s="164" t="s">
        <v>5369</v>
      </c>
      <c r="D338" s="165" t="s">
        <v>206</v>
      </c>
      <c r="E338" s="165">
        <v>350.0</v>
      </c>
      <c r="F338" s="63">
        <v>0.0</v>
      </c>
      <c r="G338" s="88" t="s">
        <v>5621</v>
      </c>
      <c r="H338" s="167"/>
      <c r="I338" s="167"/>
      <c r="J338" s="167"/>
      <c r="K338" s="167"/>
      <c r="L338" s="167"/>
      <c r="M338" s="167"/>
      <c r="N338" s="167"/>
      <c r="O338" s="167"/>
      <c r="P338" s="167"/>
      <c r="Q338" s="167"/>
      <c r="R338" s="167"/>
      <c r="S338" s="167"/>
    </row>
    <row r="339">
      <c r="A339" s="168">
        <v>45818.0</v>
      </c>
      <c r="B339" s="169">
        <v>6543.0</v>
      </c>
      <c r="C339" s="170" t="s">
        <v>5369</v>
      </c>
      <c r="D339" s="171" t="s">
        <v>206</v>
      </c>
      <c r="E339" s="171">
        <v>350.0</v>
      </c>
      <c r="F339" s="69">
        <v>0.0</v>
      </c>
      <c r="G339" s="95" t="s">
        <v>5414</v>
      </c>
      <c r="H339" s="167"/>
      <c r="I339" s="167"/>
      <c r="J339" s="167"/>
      <c r="K339" s="167"/>
      <c r="L339" s="167"/>
      <c r="M339" s="167"/>
      <c r="N339" s="167"/>
      <c r="O339" s="167"/>
      <c r="P339" s="167"/>
      <c r="Q339" s="167"/>
      <c r="R339" s="167"/>
      <c r="S339" s="167"/>
    </row>
    <row r="340">
      <c r="A340" s="162">
        <v>45818.0</v>
      </c>
      <c r="B340" s="163">
        <v>6543.0</v>
      </c>
      <c r="C340" s="164" t="s">
        <v>5369</v>
      </c>
      <c r="D340" s="165" t="s">
        <v>206</v>
      </c>
      <c r="E340" s="165">
        <v>350.0</v>
      </c>
      <c r="F340" s="63">
        <v>0.0</v>
      </c>
      <c r="G340" s="88" t="s">
        <v>5405</v>
      </c>
      <c r="H340" s="167"/>
      <c r="I340" s="167"/>
      <c r="J340" s="167"/>
      <c r="K340" s="167"/>
      <c r="L340" s="167"/>
      <c r="M340" s="167"/>
      <c r="N340" s="167"/>
      <c r="O340" s="167"/>
      <c r="P340" s="167"/>
      <c r="Q340" s="167"/>
      <c r="R340" s="167"/>
      <c r="S340" s="167"/>
    </row>
    <row r="341">
      <c r="A341" s="168">
        <v>45820.0</v>
      </c>
      <c r="B341" s="169">
        <v>6554.0</v>
      </c>
      <c r="C341" s="170" t="s">
        <v>5453</v>
      </c>
      <c r="D341" s="171" t="s">
        <v>5352</v>
      </c>
      <c r="E341" s="171">
        <v>400.0</v>
      </c>
      <c r="F341" s="69">
        <v>0.0</v>
      </c>
      <c r="G341" s="95" t="s">
        <v>5622</v>
      </c>
      <c r="H341" s="167"/>
      <c r="I341" s="167"/>
      <c r="J341" s="167"/>
      <c r="K341" s="167"/>
      <c r="L341" s="167"/>
      <c r="M341" s="167"/>
      <c r="N341" s="167"/>
      <c r="O341" s="167"/>
      <c r="P341" s="167"/>
      <c r="Q341" s="167"/>
      <c r="R341" s="167"/>
      <c r="S341" s="167"/>
    </row>
    <row r="342">
      <c r="A342" s="162">
        <v>45820.0</v>
      </c>
      <c r="B342" s="163">
        <v>6554.0</v>
      </c>
      <c r="C342" s="164" t="s">
        <v>5453</v>
      </c>
      <c r="D342" s="165" t="s">
        <v>5352</v>
      </c>
      <c r="E342" s="165">
        <v>400.0</v>
      </c>
      <c r="F342" s="63">
        <v>0.0</v>
      </c>
      <c r="G342" s="88" t="s">
        <v>5624</v>
      </c>
      <c r="H342" s="167"/>
      <c r="I342" s="167"/>
      <c r="J342" s="167"/>
      <c r="K342" s="167"/>
      <c r="L342" s="167"/>
      <c r="M342" s="167"/>
      <c r="N342" s="167"/>
      <c r="O342" s="167"/>
      <c r="P342" s="167"/>
      <c r="Q342" s="167"/>
      <c r="R342" s="167"/>
      <c r="S342" s="167"/>
    </row>
    <row r="343">
      <c r="A343" s="168">
        <v>45820.0</v>
      </c>
      <c r="B343" s="169">
        <v>6554.0</v>
      </c>
      <c r="C343" s="170" t="s">
        <v>5453</v>
      </c>
      <c r="D343" s="171" t="s">
        <v>5352</v>
      </c>
      <c r="E343" s="171">
        <v>400.0</v>
      </c>
      <c r="F343" s="69">
        <v>0.0</v>
      </c>
      <c r="G343" s="95" t="s">
        <v>5416</v>
      </c>
      <c r="H343" s="167"/>
      <c r="I343" s="167"/>
      <c r="J343" s="167"/>
      <c r="K343" s="167"/>
      <c r="L343" s="167"/>
      <c r="M343" s="167"/>
      <c r="N343" s="167"/>
      <c r="O343" s="167"/>
      <c r="P343" s="167"/>
      <c r="Q343" s="167"/>
      <c r="R343" s="167"/>
      <c r="S343" s="167"/>
    </row>
    <row r="344">
      <c r="A344" s="162">
        <v>45820.0</v>
      </c>
      <c r="B344" s="163">
        <v>6554.0</v>
      </c>
      <c r="C344" s="164" t="s">
        <v>5453</v>
      </c>
      <c r="D344" s="165" t="s">
        <v>5352</v>
      </c>
      <c r="E344" s="165">
        <v>400.0</v>
      </c>
      <c r="F344" s="63">
        <v>0.0</v>
      </c>
      <c r="G344" s="88" t="s">
        <v>5623</v>
      </c>
      <c r="H344" s="167"/>
      <c r="I344" s="167"/>
      <c r="J344" s="167"/>
      <c r="K344" s="167"/>
      <c r="L344" s="167"/>
      <c r="M344" s="167"/>
      <c r="N344" s="167"/>
      <c r="O344" s="167"/>
      <c r="P344" s="167"/>
      <c r="Q344" s="167"/>
      <c r="R344" s="167"/>
      <c r="S344" s="167"/>
    </row>
    <row r="345">
      <c r="A345" s="168">
        <v>45821.0</v>
      </c>
      <c r="B345" s="169">
        <v>10753.0</v>
      </c>
      <c r="C345" s="170">
        <v>691084.0</v>
      </c>
      <c r="D345" s="171" t="s">
        <v>5496</v>
      </c>
      <c r="E345" s="171">
        <v>68.0</v>
      </c>
      <c r="F345" s="69">
        <v>1.0</v>
      </c>
      <c r="G345" s="95" t="s">
        <v>5640</v>
      </c>
      <c r="H345" s="167"/>
      <c r="I345" s="167"/>
      <c r="J345" s="167"/>
      <c r="K345" s="167"/>
      <c r="L345" s="167"/>
      <c r="M345" s="167"/>
      <c r="N345" s="167"/>
      <c r="O345" s="167"/>
      <c r="P345" s="167"/>
      <c r="Q345" s="167"/>
      <c r="R345" s="167"/>
      <c r="S345" s="167"/>
    </row>
    <row r="346">
      <c r="A346" s="162">
        <v>45820.0</v>
      </c>
      <c r="B346" s="163">
        <v>6555.0</v>
      </c>
      <c r="C346" s="164" t="s">
        <v>5408</v>
      </c>
      <c r="D346" s="165" t="s">
        <v>212</v>
      </c>
      <c r="E346" s="165">
        <v>225.0</v>
      </c>
      <c r="F346" s="63">
        <v>1.0</v>
      </c>
      <c r="G346" s="88" t="s">
        <v>5609</v>
      </c>
      <c r="H346" s="167"/>
      <c r="I346" s="167"/>
      <c r="J346" s="167"/>
      <c r="K346" s="167"/>
      <c r="L346" s="167"/>
      <c r="M346" s="167"/>
      <c r="N346" s="167"/>
      <c r="O346" s="167"/>
      <c r="P346" s="167"/>
      <c r="Q346" s="167"/>
      <c r="R346" s="167"/>
      <c r="S346" s="167"/>
    </row>
    <row r="347">
      <c r="A347" s="168">
        <v>45820.0</v>
      </c>
      <c r="B347" s="169">
        <v>6555.0</v>
      </c>
      <c r="C347" s="170" t="s">
        <v>5408</v>
      </c>
      <c r="D347" s="171" t="s">
        <v>212</v>
      </c>
      <c r="E347" s="171">
        <v>137.0</v>
      </c>
      <c r="F347" s="69">
        <v>1.0</v>
      </c>
      <c r="G347" s="95" t="s">
        <v>5610</v>
      </c>
      <c r="H347" s="167"/>
      <c r="I347" s="167"/>
      <c r="J347" s="167"/>
      <c r="K347" s="167"/>
      <c r="L347" s="167"/>
      <c r="M347" s="167"/>
      <c r="N347" s="167"/>
      <c r="O347" s="167"/>
      <c r="P347" s="167"/>
      <c r="Q347" s="167"/>
      <c r="R347" s="167"/>
      <c r="S347" s="167"/>
    </row>
    <row r="348">
      <c r="A348" s="162">
        <v>45824.0</v>
      </c>
      <c r="B348" s="163">
        <v>10569.0</v>
      </c>
      <c r="C348" s="164">
        <v>605678.0</v>
      </c>
      <c r="D348" s="165" t="s">
        <v>376</v>
      </c>
      <c r="E348" s="165">
        <v>50.0</v>
      </c>
      <c r="F348" s="63">
        <v>0.0</v>
      </c>
      <c r="G348" s="88" t="s">
        <v>5611</v>
      </c>
      <c r="H348" s="167"/>
      <c r="I348" s="167"/>
      <c r="J348" s="167"/>
      <c r="K348" s="167"/>
      <c r="L348" s="167"/>
      <c r="M348" s="167"/>
      <c r="N348" s="167"/>
      <c r="O348" s="167"/>
      <c r="P348" s="167"/>
      <c r="Q348" s="167"/>
      <c r="R348" s="167"/>
      <c r="S348" s="167"/>
    </row>
    <row r="349">
      <c r="A349" s="168">
        <v>45824.0</v>
      </c>
      <c r="B349" s="169">
        <v>10758.0</v>
      </c>
      <c r="C349" s="170">
        <v>691084.0</v>
      </c>
      <c r="D349" s="171" t="s">
        <v>5496</v>
      </c>
      <c r="E349" s="171">
        <v>100.0</v>
      </c>
      <c r="F349" s="69">
        <v>0.0</v>
      </c>
      <c r="G349" s="95" t="s">
        <v>5612</v>
      </c>
      <c r="H349" s="167"/>
      <c r="I349" s="167"/>
      <c r="J349" s="167"/>
      <c r="K349" s="167"/>
      <c r="L349" s="167"/>
      <c r="M349" s="167"/>
      <c r="N349" s="167"/>
      <c r="O349" s="167"/>
      <c r="P349" s="167"/>
      <c r="Q349" s="167"/>
      <c r="R349" s="167"/>
      <c r="S349" s="167"/>
    </row>
    <row r="350">
      <c r="A350" s="162">
        <v>45825.0</v>
      </c>
      <c r="B350" s="163">
        <v>6577.0</v>
      </c>
      <c r="C350" s="164" t="s">
        <v>5423</v>
      </c>
      <c r="D350" s="165" t="s">
        <v>5324</v>
      </c>
      <c r="E350" s="165">
        <v>400.0</v>
      </c>
      <c r="F350" s="63">
        <v>1.0</v>
      </c>
      <c r="G350" s="88" t="s">
        <v>5613</v>
      </c>
      <c r="H350" s="167"/>
      <c r="I350" s="167"/>
      <c r="J350" s="167"/>
      <c r="K350" s="167"/>
      <c r="L350" s="167"/>
      <c r="M350" s="167"/>
      <c r="N350" s="167"/>
      <c r="O350" s="167"/>
      <c r="P350" s="167"/>
      <c r="Q350" s="167"/>
      <c r="R350" s="167"/>
      <c r="S350" s="167"/>
    </row>
    <row r="351">
      <c r="A351" s="168">
        <v>45825.0</v>
      </c>
      <c r="B351" s="169">
        <v>6575.0</v>
      </c>
      <c r="C351" s="170" t="s">
        <v>5453</v>
      </c>
      <c r="D351" s="171" t="s">
        <v>5352</v>
      </c>
      <c r="E351" s="171">
        <v>400.0</v>
      </c>
      <c r="F351" s="69">
        <v>1.0</v>
      </c>
      <c r="G351" s="95" t="s">
        <v>5614</v>
      </c>
      <c r="H351" s="167"/>
      <c r="I351" s="167"/>
      <c r="J351" s="167"/>
      <c r="K351" s="167"/>
      <c r="L351" s="167"/>
      <c r="M351" s="167"/>
      <c r="N351" s="167"/>
      <c r="O351" s="167"/>
      <c r="P351" s="167"/>
      <c r="Q351" s="167"/>
      <c r="R351" s="167"/>
      <c r="S351" s="167"/>
    </row>
    <row r="352">
      <c r="A352" s="162">
        <v>45825.0</v>
      </c>
      <c r="B352" s="163">
        <v>6578.0</v>
      </c>
      <c r="C352" s="164" t="s">
        <v>5461</v>
      </c>
      <c r="D352" s="165" t="s">
        <v>5318</v>
      </c>
      <c r="E352" s="165">
        <v>350.0</v>
      </c>
      <c r="F352" s="63">
        <v>1.0</v>
      </c>
      <c r="G352" s="88" t="s">
        <v>5615</v>
      </c>
      <c r="H352" s="167"/>
      <c r="I352" s="167"/>
      <c r="J352" s="167"/>
      <c r="K352" s="167"/>
      <c r="L352" s="167"/>
      <c r="M352" s="167"/>
      <c r="N352" s="167"/>
      <c r="O352" s="167"/>
      <c r="P352" s="167"/>
      <c r="Q352" s="167"/>
      <c r="R352" s="167"/>
      <c r="S352" s="167"/>
    </row>
    <row r="353">
      <c r="A353" s="168">
        <v>45825.0</v>
      </c>
      <c r="B353" s="169">
        <v>6578.0</v>
      </c>
      <c r="C353" s="170" t="s">
        <v>5461</v>
      </c>
      <c r="D353" s="171" t="s">
        <v>5318</v>
      </c>
      <c r="E353" s="171">
        <v>350.0</v>
      </c>
      <c r="F353" s="69">
        <v>1.0</v>
      </c>
      <c r="G353" s="95" t="s">
        <v>5417</v>
      </c>
      <c r="H353" s="167"/>
      <c r="I353" s="167"/>
      <c r="J353" s="167"/>
      <c r="K353" s="167"/>
      <c r="L353" s="167"/>
      <c r="M353" s="167"/>
      <c r="N353" s="167"/>
      <c r="O353" s="167"/>
      <c r="P353" s="167"/>
      <c r="Q353" s="167"/>
      <c r="R353" s="167"/>
      <c r="S353" s="167"/>
    </row>
    <row r="354">
      <c r="A354" s="162">
        <v>45825.0</v>
      </c>
      <c r="B354" s="163">
        <v>6578.0</v>
      </c>
      <c r="C354" s="164" t="s">
        <v>5461</v>
      </c>
      <c r="D354" s="165" t="s">
        <v>5318</v>
      </c>
      <c r="E354" s="165">
        <v>350.0</v>
      </c>
      <c r="F354" s="63">
        <v>1.0</v>
      </c>
      <c r="G354" s="88" t="s">
        <v>5418</v>
      </c>
      <c r="H354" s="167"/>
      <c r="I354" s="167"/>
      <c r="J354" s="167"/>
      <c r="K354" s="167"/>
      <c r="L354" s="167"/>
      <c r="M354" s="167"/>
      <c r="N354" s="167"/>
      <c r="O354" s="167"/>
      <c r="P354" s="167"/>
      <c r="Q354" s="167"/>
      <c r="R354" s="167"/>
      <c r="S354" s="167"/>
    </row>
    <row r="355">
      <c r="A355" s="168">
        <v>45825.0</v>
      </c>
      <c r="B355" s="169">
        <v>6578.0</v>
      </c>
      <c r="C355" s="170" t="s">
        <v>5461</v>
      </c>
      <c r="D355" s="171" t="s">
        <v>5318</v>
      </c>
      <c r="E355" s="171">
        <v>350.0</v>
      </c>
      <c r="F355" s="69">
        <v>1.0</v>
      </c>
      <c r="G355" s="95" t="s">
        <v>5419</v>
      </c>
      <c r="H355" s="167"/>
      <c r="I355" s="167"/>
      <c r="J355" s="167"/>
      <c r="K355" s="167"/>
      <c r="L355" s="167"/>
      <c r="M355" s="167"/>
      <c r="N355" s="167"/>
      <c r="O355" s="167"/>
      <c r="P355" s="167"/>
      <c r="Q355" s="167"/>
      <c r="R355" s="167"/>
      <c r="S355" s="167"/>
    </row>
    <row r="356">
      <c r="A356" s="162">
        <v>45825.0</v>
      </c>
      <c r="B356" s="163">
        <v>6578.0</v>
      </c>
      <c r="C356" s="164" t="s">
        <v>5461</v>
      </c>
      <c r="D356" s="165" t="s">
        <v>5318</v>
      </c>
      <c r="E356" s="165">
        <v>350.0</v>
      </c>
      <c r="F356" s="63">
        <v>1.0</v>
      </c>
      <c r="G356" s="88" t="s">
        <v>5634</v>
      </c>
      <c r="H356" s="167"/>
      <c r="I356" s="167"/>
      <c r="J356" s="167"/>
      <c r="K356" s="167"/>
      <c r="L356" s="167"/>
      <c r="M356" s="167"/>
      <c r="N356" s="167"/>
      <c r="O356" s="167"/>
      <c r="P356" s="167"/>
      <c r="Q356" s="167"/>
      <c r="R356" s="167"/>
      <c r="S356" s="167"/>
    </row>
    <row r="357">
      <c r="A357" s="168">
        <v>45825.0</v>
      </c>
      <c r="B357" s="169">
        <v>6578.0</v>
      </c>
      <c r="C357" s="170" t="s">
        <v>5461</v>
      </c>
      <c r="D357" s="171" t="s">
        <v>5318</v>
      </c>
      <c r="E357" s="171">
        <v>350.0</v>
      </c>
      <c r="F357" s="69">
        <v>1.0</v>
      </c>
      <c r="G357" s="95" t="s">
        <v>5415</v>
      </c>
      <c r="H357" s="167"/>
      <c r="I357" s="167"/>
      <c r="J357" s="167"/>
      <c r="K357" s="167"/>
      <c r="L357" s="167"/>
      <c r="M357" s="167"/>
      <c r="N357" s="167"/>
      <c r="O357" s="167"/>
      <c r="P357" s="167"/>
      <c r="Q357" s="167"/>
      <c r="R357" s="167"/>
      <c r="S357" s="167"/>
    </row>
    <row r="358">
      <c r="A358" s="175">
        <v>45825.0</v>
      </c>
      <c r="B358" s="176">
        <v>10579.0</v>
      </c>
      <c r="C358" s="177">
        <v>605678.0</v>
      </c>
      <c r="D358" s="178" t="s">
        <v>376</v>
      </c>
      <c r="E358" s="178">
        <v>50.0</v>
      </c>
      <c r="F358" s="136">
        <v>0.0</v>
      </c>
      <c r="G358" s="179" t="s">
        <v>5632</v>
      </c>
      <c r="H358" s="167"/>
      <c r="I358" s="167"/>
      <c r="J358" s="167"/>
      <c r="K358" s="167"/>
      <c r="L358" s="167"/>
      <c r="M358" s="167"/>
      <c r="N358" s="167"/>
      <c r="O358" s="167"/>
      <c r="P358" s="167"/>
      <c r="Q358" s="167"/>
      <c r="R358" s="167"/>
      <c r="S358" s="167"/>
    </row>
  </sheetData>
  <conditionalFormatting sqref="E1">
    <cfRule type="cellIs" dxfId="14" priority="1" operator="lessThanOrEqual">
      <formula>0</formula>
    </cfRule>
  </conditionalFormatting>
  <conditionalFormatting sqref="E1">
    <cfRule type="cellIs" dxfId="15" priority="2" operator="greaterThan">
      <formula>0</formula>
    </cfRule>
  </conditionalFormatting>
  <dataValidations>
    <dataValidation type="custom" allowBlank="1" showDropDown="1" sqref="A2:A358">
      <formula1>OR(NOT(ISERROR(DATEVALUE(A2))), AND(ISNUMBER(A2), LEFT(CELL("format", A2))="D"))</formula1>
    </dataValidation>
    <dataValidation allowBlank="1" showDropDown="1" sqref="G2:G358"/>
  </dataValidations>
  <drawing r:id="rId1"/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0"/>
    <col customWidth="1" min="2" max="2" width="20.5"/>
    <col customWidth="1" min="3" max="3" width="28.13"/>
    <col customWidth="1" min="4" max="4" width="21.5"/>
  </cols>
  <sheetData>
    <row r="1">
      <c r="A1" s="155" t="s">
        <v>5543</v>
      </c>
      <c r="B1" s="156" t="s">
        <v>5544</v>
      </c>
      <c r="C1" s="79" t="s">
        <v>2</v>
      </c>
      <c r="D1" s="180" t="s">
        <v>5545</v>
      </c>
    </row>
  </sheetData>
  <conditionalFormatting sqref="D1">
    <cfRule type="cellIs" dxfId="14" priority="1" operator="lessThanOrEqual">
      <formula>0</formula>
    </cfRule>
  </conditionalFormatting>
  <conditionalFormatting sqref="D1">
    <cfRule type="cellIs" dxfId="15" priority="2" operator="greaterThan">
      <formula>0</formula>
    </cfRule>
  </conditionalFormatting>
  <drawing r:id="rId1"/>
  <tableParts count="1">
    <tablePart r:id="rId3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0"/>
    <col customWidth="1" min="2" max="2" width="14.75"/>
    <col customWidth="1" min="4" max="4" width="14.63"/>
    <col customWidth="1" min="5" max="5" width="9.75"/>
    <col customWidth="1" min="6" max="6" width="38.75"/>
    <col customWidth="1" min="7" max="7" width="18.13"/>
    <col customWidth="1" min="8" max="8" width="22.75"/>
    <col customWidth="1" min="9" max="9" width="13.63"/>
    <col customWidth="1" min="10" max="10" width="16.25"/>
    <col customWidth="1" min="11" max="11" width="16.0"/>
    <col customWidth="1" min="16" max="16" width="15.38"/>
  </cols>
  <sheetData>
    <row r="1" ht="43.5" customHeight="1">
      <c r="A1" s="181" t="s">
        <v>5302</v>
      </c>
      <c r="B1" s="79" t="s">
        <v>5641</v>
      </c>
      <c r="C1" s="79" t="s">
        <v>5642</v>
      </c>
      <c r="D1" s="79" t="s">
        <v>188</v>
      </c>
      <c r="E1" s="79" t="s">
        <v>39</v>
      </c>
      <c r="F1" s="80" t="s">
        <v>2</v>
      </c>
      <c r="G1" s="81" t="s">
        <v>5643</v>
      </c>
      <c r="H1" s="81" t="s">
        <v>5547</v>
      </c>
      <c r="I1" s="182" t="s">
        <v>5644</v>
      </c>
      <c r="J1" s="183" t="s">
        <v>180</v>
      </c>
      <c r="K1" s="184"/>
    </row>
    <row r="2">
      <c r="A2" s="186">
        <v>45737.0</v>
      </c>
      <c r="B2" s="63" t="s">
        <v>5645</v>
      </c>
      <c r="C2" s="63" t="s">
        <v>5646</v>
      </c>
      <c r="D2" s="63">
        <v>692425.0</v>
      </c>
      <c r="E2" s="63">
        <v>692425.0</v>
      </c>
      <c r="F2" s="63" t="s">
        <v>239</v>
      </c>
      <c r="G2" s="63">
        <v>400.0</v>
      </c>
      <c r="H2" s="63" t="s">
        <v>5336</v>
      </c>
      <c r="I2" s="64">
        <v>125.0</v>
      </c>
      <c r="J2" s="88" t="s">
        <v>5647</v>
      </c>
    </row>
    <row r="3">
      <c r="A3" s="188">
        <v>45737.0</v>
      </c>
      <c r="B3" s="69" t="s">
        <v>5645</v>
      </c>
      <c r="C3" s="69" t="s">
        <v>5646</v>
      </c>
      <c r="D3" s="69">
        <v>600567.0</v>
      </c>
      <c r="E3" s="69">
        <v>600567.0</v>
      </c>
      <c r="F3" s="69" t="s">
        <v>5493</v>
      </c>
      <c r="G3" s="69">
        <v>525.0</v>
      </c>
      <c r="H3" s="69" t="s">
        <v>5558</v>
      </c>
      <c r="I3" s="70">
        <v>100.0</v>
      </c>
      <c r="J3" s="95" t="s">
        <v>5647</v>
      </c>
    </row>
    <row r="4">
      <c r="A4" s="186">
        <v>45737.0</v>
      </c>
      <c r="B4" s="63" t="s">
        <v>5645</v>
      </c>
      <c r="C4" s="63" t="s">
        <v>5646</v>
      </c>
      <c r="D4" s="63">
        <v>600567.0</v>
      </c>
      <c r="E4" s="63">
        <v>600567.0</v>
      </c>
      <c r="F4" s="63" t="s">
        <v>5493</v>
      </c>
      <c r="G4" s="63">
        <v>178.0</v>
      </c>
      <c r="H4" s="63" t="s">
        <v>5335</v>
      </c>
      <c r="I4" s="64">
        <v>178.0</v>
      </c>
      <c r="J4" s="88" t="s">
        <v>5647</v>
      </c>
    </row>
    <row r="5">
      <c r="A5" s="188">
        <v>45737.0</v>
      </c>
      <c r="B5" s="69" t="s">
        <v>5645</v>
      </c>
      <c r="C5" s="69" t="s">
        <v>5646</v>
      </c>
      <c r="D5" s="69">
        <v>600673.0</v>
      </c>
      <c r="E5" s="69">
        <v>600673.0</v>
      </c>
      <c r="F5" s="69" t="s">
        <v>5348</v>
      </c>
      <c r="G5" s="69">
        <v>276.0</v>
      </c>
      <c r="H5" s="69" t="s">
        <v>5347</v>
      </c>
      <c r="I5" s="70">
        <v>276.0</v>
      </c>
      <c r="J5" s="95" t="s">
        <v>5647</v>
      </c>
    </row>
    <row r="6">
      <c r="A6" s="186">
        <v>45737.0</v>
      </c>
      <c r="B6" s="63" t="s">
        <v>5645</v>
      </c>
      <c r="C6" s="63" t="s">
        <v>5646</v>
      </c>
      <c r="D6" s="63">
        <v>600673.0</v>
      </c>
      <c r="E6" s="63">
        <v>600673.0</v>
      </c>
      <c r="F6" s="63" t="s">
        <v>5348</v>
      </c>
      <c r="G6" s="63">
        <v>97.0</v>
      </c>
      <c r="H6" s="63" t="s">
        <v>5349</v>
      </c>
      <c r="I6" s="64">
        <v>25.0</v>
      </c>
      <c r="J6" s="88" t="s">
        <v>5647</v>
      </c>
    </row>
    <row r="7">
      <c r="A7" s="188">
        <v>45737.0</v>
      </c>
      <c r="B7" s="69" t="s">
        <v>5645</v>
      </c>
      <c r="C7" s="69" t="s">
        <v>5646</v>
      </c>
      <c r="D7" s="69"/>
      <c r="E7" s="69">
        <v>691992.0</v>
      </c>
      <c r="F7" s="69" t="s">
        <v>2302</v>
      </c>
      <c r="G7" s="69">
        <v>77.0</v>
      </c>
      <c r="H7" s="110" t="s">
        <v>5554</v>
      </c>
      <c r="I7" s="69">
        <v>77.0</v>
      </c>
      <c r="J7" s="95" t="s">
        <v>5647</v>
      </c>
    </row>
    <row r="8">
      <c r="A8" s="186">
        <v>45737.0</v>
      </c>
      <c r="B8" s="63" t="s">
        <v>5645</v>
      </c>
      <c r="C8" s="63" t="s">
        <v>5646</v>
      </c>
      <c r="D8" s="63"/>
      <c r="E8" s="63">
        <v>685151.0</v>
      </c>
      <c r="F8" s="63" t="s">
        <v>559</v>
      </c>
      <c r="G8" s="63">
        <v>176.0</v>
      </c>
      <c r="H8" s="122" t="s">
        <v>5431</v>
      </c>
      <c r="I8" s="63">
        <v>176.0</v>
      </c>
      <c r="J8" s="88" t="s">
        <v>5647</v>
      </c>
    </row>
    <row r="9">
      <c r="A9" s="188">
        <v>45737.0</v>
      </c>
      <c r="B9" s="69" t="s">
        <v>5645</v>
      </c>
      <c r="C9" s="69" t="s">
        <v>5646</v>
      </c>
      <c r="D9" s="69"/>
      <c r="E9" s="69">
        <v>600482.0</v>
      </c>
      <c r="F9" s="69" t="s">
        <v>5455</v>
      </c>
      <c r="G9" s="69">
        <v>91.0</v>
      </c>
      <c r="H9" s="110" t="s">
        <v>5436</v>
      </c>
      <c r="I9" s="69">
        <v>91.0</v>
      </c>
      <c r="J9" s="95" t="s">
        <v>5647</v>
      </c>
    </row>
    <row r="10">
      <c r="A10" s="186">
        <v>45737.0</v>
      </c>
      <c r="B10" s="63" t="s">
        <v>5645</v>
      </c>
      <c r="C10" s="63" t="s">
        <v>5646</v>
      </c>
      <c r="D10" s="63"/>
      <c r="E10" s="63">
        <v>600482.0</v>
      </c>
      <c r="F10" s="63" t="s">
        <v>5455</v>
      </c>
      <c r="G10" s="63">
        <v>80.0</v>
      </c>
      <c r="H10" s="122" t="s">
        <v>5553</v>
      </c>
      <c r="I10" s="63">
        <v>80.0</v>
      </c>
      <c r="J10" s="88" t="s">
        <v>5647</v>
      </c>
    </row>
    <row r="11">
      <c r="A11" s="188">
        <v>45737.0</v>
      </c>
      <c r="B11" s="69" t="s">
        <v>5648</v>
      </c>
      <c r="C11" s="69" t="s">
        <v>5649</v>
      </c>
      <c r="D11" s="69">
        <v>692012.0</v>
      </c>
      <c r="E11" s="69">
        <v>692012.0</v>
      </c>
      <c r="F11" s="69" t="s">
        <v>212</v>
      </c>
      <c r="G11" s="69">
        <v>150.0</v>
      </c>
      <c r="H11" s="69" t="s">
        <v>5322</v>
      </c>
      <c r="I11" s="70">
        <v>150.0</v>
      </c>
      <c r="J11" s="95" t="s">
        <v>5647</v>
      </c>
    </row>
    <row r="12">
      <c r="A12" s="186">
        <v>45737.0</v>
      </c>
      <c r="B12" s="63" t="s">
        <v>5648</v>
      </c>
      <c r="C12" s="63" t="s">
        <v>5649</v>
      </c>
      <c r="D12" s="63">
        <v>692043.0</v>
      </c>
      <c r="E12" s="63">
        <v>692043.0</v>
      </c>
      <c r="F12" s="63" t="s">
        <v>224</v>
      </c>
      <c r="G12" s="63">
        <v>300.0</v>
      </c>
      <c r="H12" s="63" t="s">
        <v>5598</v>
      </c>
      <c r="I12" s="64">
        <v>300.0</v>
      </c>
      <c r="J12" s="88" t="s">
        <v>5647</v>
      </c>
    </row>
    <row r="13">
      <c r="A13" s="188">
        <v>45737.0</v>
      </c>
      <c r="B13" s="69" t="s">
        <v>5648</v>
      </c>
      <c r="C13" s="69" t="s">
        <v>5649</v>
      </c>
      <c r="D13" s="69">
        <v>692036.0</v>
      </c>
      <c r="E13" s="69">
        <v>692036.0</v>
      </c>
      <c r="F13" s="69" t="s">
        <v>206</v>
      </c>
      <c r="G13" s="69">
        <v>350.0</v>
      </c>
      <c r="H13" s="69" t="s">
        <v>5362</v>
      </c>
      <c r="I13" s="70">
        <v>25.0</v>
      </c>
      <c r="J13" s="95" t="s">
        <v>5647</v>
      </c>
    </row>
    <row r="14">
      <c r="A14" s="186">
        <v>45737.0</v>
      </c>
      <c r="B14" s="63" t="s">
        <v>5648</v>
      </c>
      <c r="C14" s="63" t="s">
        <v>5649</v>
      </c>
      <c r="D14" s="63">
        <v>692012.0</v>
      </c>
      <c r="E14" s="63">
        <v>692012.0</v>
      </c>
      <c r="F14" s="63" t="s">
        <v>212</v>
      </c>
      <c r="G14" s="63">
        <v>225.0</v>
      </c>
      <c r="H14" s="63" t="s">
        <v>5567</v>
      </c>
      <c r="I14" s="64">
        <v>25.0</v>
      </c>
      <c r="J14" s="88" t="s">
        <v>5647</v>
      </c>
    </row>
    <row r="15">
      <c r="A15" s="188">
        <v>45737.0</v>
      </c>
      <c r="B15" s="69" t="s">
        <v>5648</v>
      </c>
      <c r="C15" s="69" t="s">
        <v>5649</v>
      </c>
      <c r="D15" s="69">
        <v>692029.0</v>
      </c>
      <c r="E15" s="69">
        <v>692029.0</v>
      </c>
      <c r="F15" s="69" t="s">
        <v>218</v>
      </c>
      <c r="G15" s="69">
        <v>200.0</v>
      </c>
      <c r="H15" s="69" t="s">
        <v>5345</v>
      </c>
      <c r="I15" s="190">
        <v>25.0</v>
      </c>
      <c r="J15" s="95" t="s">
        <v>5647</v>
      </c>
    </row>
    <row r="16">
      <c r="A16" s="186">
        <v>45737.0</v>
      </c>
      <c r="B16" s="63" t="s">
        <v>5648</v>
      </c>
      <c r="C16" s="63" t="s">
        <v>5649</v>
      </c>
      <c r="D16" s="63">
        <v>692029.0</v>
      </c>
      <c r="E16" s="63">
        <v>692029.0</v>
      </c>
      <c r="F16" s="63" t="s">
        <v>218</v>
      </c>
      <c r="G16" s="63">
        <v>200.0</v>
      </c>
      <c r="H16" s="63" t="s">
        <v>5325</v>
      </c>
      <c r="I16" s="190">
        <v>200.0</v>
      </c>
      <c r="J16" s="88" t="s">
        <v>5647</v>
      </c>
    </row>
    <row r="17">
      <c r="A17" s="188">
        <v>45737.0</v>
      </c>
      <c r="B17" s="69" t="s">
        <v>5648</v>
      </c>
      <c r="C17" s="69" t="s">
        <v>5649</v>
      </c>
      <c r="D17" s="69">
        <v>605678.0</v>
      </c>
      <c r="E17" s="69">
        <v>605678.0</v>
      </c>
      <c r="F17" s="69" t="s">
        <v>376</v>
      </c>
      <c r="G17" s="69">
        <v>40.0</v>
      </c>
      <c r="H17" s="69" t="s">
        <v>5366</v>
      </c>
      <c r="I17" s="70">
        <v>40.0</v>
      </c>
      <c r="J17" s="95" t="s">
        <v>5647</v>
      </c>
    </row>
    <row r="18">
      <c r="A18" s="186">
        <v>45737.0</v>
      </c>
      <c r="B18" s="63" t="s">
        <v>5648</v>
      </c>
      <c r="C18" s="63" t="s">
        <v>5649</v>
      </c>
      <c r="D18" s="63">
        <v>605678.0</v>
      </c>
      <c r="E18" s="63">
        <v>682778.0</v>
      </c>
      <c r="F18" s="63" t="s">
        <v>1378</v>
      </c>
      <c r="G18" s="63">
        <v>12.0</v>
      </c>
      <c r="H18" s="63" t="s">
        <v>5391</v>
      </c>
      <c r="I18" s="63">
        <v>12.0</v>
      </c>
      <c r="J18" s="88" t="s">
        <v>5647</v>
      </c>
    </row>
    <row r="19">
      <c r="A19" s="188">
        <v>45737.0</v>
      </c>
      <c r="B19" s="69" t="s">
        <v>5648</v>
      </c>
      <c r="C19" s="69" t="s">
        <v>5649</v>
      </c>
      <c r="D19" s="69">
        <v>605678.0</v>
      </c>
      <c r="E19" s="69">
        <v>682778.0</v>
      </c>
      <c r="F19" s="69" t="s">
        <v>1378</v>
      </c>
      <c r="G19" s="69">
        <v>12.0</v>
      </c>
      <c r="H19" s="69" t="s">
        <v>5392</v>
      </c>
      <c r="I19" s="69">
        <v>12.0</v>
      </c>
      <c r="J19" s="95" t="s">
        <v>5647</v>
      </c>
    </row>
    <row r="20">
      <c r="A20" s="186">
        <v>45737.0</v>
      </c>
      <c r="B20" s="63" t="s">
        <v>5648</v>
      </c>
      <c r="C20" s="63" t="s">
        <v>5649</v>
      </c>
      <c r="D20" s="63">
        <v>605678.0</v>
      </c>
      <c r="E20" s="63">
        <v>682778.0</v>
      </c>
      <c r="F20" s="63" t="s">
        <v>1378</v>
      </c>
      <c r="G20" s="63">
        <v>12.0</v>
      </c>
      <c r="H20" s="63" t="s">
        <v>5393</v>
      </c>
      <c r="I20" s="63">
        <v>12.0</v>
      </c>
      <c r="J20" s="88" t="s">
        <v>5647</v>
      </c>
    </row>
    <row r="21">
      <c r="A21" s="188">
        <v>45737.0</v>
      </c>
      <c r="B21" s="69" t="s">
        <v>5648</v>
      </c>
      <c r="C21" s="69" t="s">
        <v>5649</v>
      </c>
      <c r="D21" s="69">
        <v>605678.0</v>
      </c>
      <c r="E21" s="69">
        <v>682778.0</v>
      </c>
      <c r="F21" s="69" t="s">
        <v>1378</v>
      </c>
      <c r="G21" s="69">
        <v>12.0</v>
      </c>
      <c r="H21" s="69" t="s">
        <v>5394</v>
      </c>
      <c r="I21" s="69">
        <v>12.0</v>
      </c>
      <c r="J21" s="95" t="s">
        <v>5647</v>
      </c>
    </row>
    <row r="22">
      <c r="A22" s="186">
        <v>45737.0</v>
      </c>
      <c r="B22" s="63" t="s">
        <v>5648</v>
      </c>
      <c r="C22" s="63" t="s">
        <v>5649</v>
      </c>
      <c r="D22" s="63">
        <v>605678.0</v>
      </c>
      <c r="E22" s="63">
        <v>682778.0</v>
      </c>
      <c r="F22" s="63" t="s">
        <v>1378</v>
      </c>
      <c r="G22" s="63">
        <v>12.0</v>
      </c>
      <c r="H22" s="63" t="s">
        <v>5395</v>
      </c>
      <c r="I22" s="63">
        <v>12.0</v>
      </c>
      <c r="J22" s="88" t="s">
        <v>5647</v>
      </c>
    </row>
    <row r="23">
      <c r="A23" s="188">
        <v>45737.0</v>
      </c>
      <c r="B23" s="69" t="s">
        <v>5648</v>
      </c>
      <c r="C23" s="69" t="s">
        <v>5649</v>
      </c>
      <c r="D23" s="69"/>
      <c r="E23" s="69">
        <v>674889.0</v>
      </c>
      <c r="F23" s="69" t="s">
        <v>361</v>
      </c>
      <c r="G23" s="69">
        <v>20.0</v>
      </c>
      <c r="H23" s="69" t="s">
        <v>5585</v>
      </c>
      <c r="I23" s="69">
        <v>20.0</v>
      </c>
      <c r="J23" s="95" t="s">
        <v>5647</v>
      </c>
    </row>
    <row r="24">
      <c r="A24" s="186">
        <v>45737.0</v>
      </c>
      <c r="B24" s="63" t="s">
        <v>5648</v>
      </c>
      <c r="C24" s="63" t="s">
        <v>5649</v>
      </c>
      <c r="D24" s="63">
        <v>605678.0</v>
      </c>
      <c r="E24" s="63">
        <v>682778.0</v>
      </c>
      <c r="F24" s="63" t="s">
        <v>1378</v>
      </c>
      <c r="G24" s="63">
        <v>12.0</v>
      </c>
      <c r="H24" s="122" t="s">
        <v>5422</v>
      </c>
      <c r="I24" s="63">
        <v>12.0</v>
      </c>
      <c r="J24" s="88" t="s">
        <v>5647</v>
      </c>
    </row>
    <row r="25">
      <c r="A25" s="188">
        <v>45737.0</v>
      </c>
      <c r="B25" s="69" t="s">
        <v>5648</v>
      </c>
      <c r="C25" s="69" t="s">
        <v>5649</v>
      </c>
      <c r="D25" s="69">
        <v>605678.0</v>
      </c>
      <c r="E25" s="69">
        <v>682778.0</v>
      </c>
      <c r="F25" s="69" t="s">
        <v>1378</v>
      </c>
      <c r="G25" s="69">
        <v>12.0</v>
      </c>
      <c r="H25" s="110" t="s">
        <v>5555</v>
      </c>
      <c r="I25" s="69">
        <v>12.0</v>
      </c>
      <c r="J25" s="95" t="s">
        <v>5647</v>
      </c>
    </row>
    <row r="26">
      <c r="A26" s="186">
        <v>45737.0</v>
      </c>
      <c r="B26" s="63" t="s">
        <v>5648</v>
      </c>
      <c r="C26" s="63" t="s">
        <v>5649</v>
      </c>
      <c r="D26" s="63">
        <v>682778.0</v>
      </c>
      <c r="E26" s="63">
        <v>682778.0</v>
      </c>
      <c r="F26" s="63" t="s">
        <v>1378</v>
      </c>
      <c r="G26" s="63">
        <v>12.0</v>
      </c>
      <c r="H26" s="122" t="s">
        <v>5424</v>
      </c>
      <c r="I26" s="63">
        <v>12.0</v>
      </c>
      <c r="J26" s="88" t="s">
        <v>5647</v>
      </c>
    </row>
    <row r="27">
      <c r="A27" s="188">
        <v>45737.0</v>
      </c>
      <c r="B27" s="69" t="s">
        <v>5648</v>
      </c>
      <c r="C27" s="69" t="s">
        <v>5649</v>
      </c>
      <c r="D27" s="69">
        <v>605678.0</v>
      </c>
      <c r="E27" s="69">
        <v>682778.0</v>
      </c>
      <c r="F27" s="69" t="s">
        <v>1378</v>
      </c>
      <c r="G27" s="69">
        <v>12.0</v>
      </c>
      <c r="H27" s="110" t="s">
        <v>5556</v>
      </c>
      <c r="I27" s="69">
        <v>12.0</v>
      </c>
      <c r="J27" s="95" t="s">
        <v>5647</v>
      </c>
    </row>
    <row r="28">
      <c r="A28" s="186">
        <v>45737.0</v>
      </c>
      <c r="B28" s="63" t="s">
        <v>5648</v>
      </c>
      <c r="C28" s="63" t="s">
        <v>5649</v>
      </c>
      <c r="D28" s="63">
        <v>682778.0</v>
      </c>
      <c r="E28" s="63">
        <v>682778.0</v>
      </c>
      <c r="F28" s="63" t="s">
        <v>1378</v>
      </c>
      <c r="G28" s="63">
        <v>12.0</v>
      </c>
      <c r="H28" s="122" t="s">
        <v>5407</v>
      </c>
      <c r="I28" s="63">
        <v>12.0</v>
      </c>
      <c r="J28" s="88" t="s">
        <v>5647</v>
      </c>
    </row>
    <row r="29">
      <c r="A29" s="188">
        <v>45737.0</v>
      </c>
      <c r="B29" s="69" t="s">
        <v>5648</v>
      </c>
      <c r="C29" s="69" t="s">
        <v>5649</v>
      </c>
      <c r="D29" s="69">
        <v>605678.0</v>
      </c>
      <c r="E29" s="69">
        <v>682778.0</v>
      </c>
      <c r="F29" s="69" t="s">
        <v>1378</v>
      </c>
      <c r="G29" s="69">
        <v>65.0</v>
      </c>
      <c r="H29" s="69" t="s">
        <v>5315</v>
      </c>
      <c r="I29" s="69">
        <v>65.0</v>
      </c>
      <c r="J29" s="95" t="s">
        <v>5647</v>
      </c>
    </row>
    <row r="30">
      <c r="A30" s="186">
        <v>45737.0</v>
      </c>
      <c r="B30" s="63" t="s">
        <v>5648</v>
      </c>
      <c r="C30" s="63" t="s">
        <v>5649</v>
      </c>
      <c r="D30" s="63">
        <v>692043.0</v>
      </c>
      <c r="E30" s="63">
        <v>692043.0</v>
      </c>
      <c r="F30" s="63" t="s">
        <v>224</v>
      </c>
      <c r="G30" s="63">
        <v>225.0</v>
      </c>
      <c r="H30" s="63" t="s">
        <v>5662</v>
      </c>
      <c r="I30" s="63">
        <v>60.0</v>
      </c>
      <c r="J30" s="88" t="s">
        <v>5647</v>
      </c>
    </row>
    <row r="31">
      <c r="A31" s="188">
        <v>45738.0</v>
      </c>
      <c r="B31" s="69" t="s">
        <v>5648</v>
      </c>
      <c r="C31" s="69" t="s">
        <v>5649</v>
      </c>
      <c r="D31" s="69">
        <v>692036.0</v>
      </c>
      <c r="E31" s="69">
        <v>692036.0</v>
      </c>
      <c r="F31" s="69" t="s">
        <v>206</v>
      </c>
      <c r="G31" s="69">
        <v>325.0</v>
      </c>
      <c r="H31" s="69" t="s">
        <v>5362</v>
      </c>
      <c r="I31" s="69">
        <v>300.0</v>
      </c>
      <c r="J31" s="95" t="s">
        <v>5647</v>
      </c>
    </row>
    <row r="32">
      <c r="A32" s="186">
        <v>45738.0</v>
      </c>
      <c r="B32" s="63" t="s">
        <v>5648</v>
      </c>
      <c r="C32" s="63" t="s">
        <v>5649</v>
      </c>
      <c r="D32" s="63">
        <v>692012.0</v>
      </c>
      <c r="E32" s="63">
        <v>692012.0</v>
      </c>
      <c r="F32" s="63" t="s">
        <v>212</v>
      </c>
      <c r="G32" s="63">
        <v>225.0</v>
      </c>
      <c r="H32" s="63" t="s">
        <v>5353</v>
      </c>
      <c r="I32" s="63">
        <v>50.0</v>
      </c>
      <c r="J32" s="88" t="s">
        <v>5647</v>
      </c>
    </row>
    <row r="33">
      <c r="A33" s="188">
        <v>45741.0</v>
      </c>
      <c r="B33" s="69" t="s">
        <v>5648</v>
      </c>
      <c r="C33" s="69" t="s">
        <v>5649</v>
      </c>
      <c r="D33" s="69">
        <v>692012.0</v>
      </c>
      <c r="E33" s="69">
        <v>692012.0</v>
      </c>
      <c r="F33" s="69" t="s">
        <v>212</v>
      </c>
      <c r="G33" s="69">
        <v>225.0</v>
      </c>
      <c r="H33" s="69" t="s">
        <v>5331</v>
      </c>
      <c r="I33" s="69">
        <v>225.0</v>
      </c>
      <c r="J33" s="95" t="s">
        <v>5647</v>
      </c>
    </row>
    <row r="34">
      <c r="A34" s="186">
        <v>45741.0</v>
      </c>
      <c r="B34" s="63" t="s">
        <v>5648</v>
      </c>
      <c r="C34" s="63" t="s">
        <v>5649</v>
      </c>
      <c r="D34" s="63">
        <v>674889.0</v>
      </c>
      <c r="E34" s="63">
        <v>674889.0</v>
      </c>
      <c r="F34" s="63" t="s">
        <v>361</v>
      </c>
      <c r="G34" s="63">
        <v>45.0</v>
      </c>
      <c r="H34" s="63" t="s">
        <v>5315</v>
      </c>
      <c r="I34" s="63">
        <v>20.0</v>
      </c>
      <c r="J34" s="88" t="s">
        <v>5647</v>
      </c>
    </row>
    <row r="35">
      <c r="A35" s="188">
        <v>45741.0</v>
      </c>
      <c r="B35" s="69" t="s">
        <v>5650</v>
      </c>
      <c r="C35" s="69" t="s">
        <v>5649</v>
      </c>
      <c r="D35" s="69">
        <v>692012.0</v>
      </c>
      <c r="E35" s="69">
        <v>692012.0</v>
      </c>
      <c r="F35" s="69" t="s">
        <v>212</v>
      </c>
      <c r="G35" s="69">
        <v>175.0</v>
      </c>
      <c r="H35" s="69" t="s">
        <v>5353</v>
      </c>
      <c r="I35" s="69">
        <v>125.0</v>
      </c>
      <c r="J35" s="95" t="s">
        <v>5647</v>
      </c>
    </row>
    <row r="36">
      <c r="A36" s="186">
        <v>45741.0</v>
      </c>
      <c r="B36" s="63" t="s">
        <v>5650</v>
      </c>
      <c r="C36" s="63" t="s">
        <v>5649</v>
      </c>
      <c r="D36" s="63">
        <v>692029.0</v>
      </c>
      <c r="E36" s="63">
        <v>692029.0</v>
      </c>
      <c r="F36" s="63" t="s">
        <v>218</v>
      </c>
      <c r="G36" s="63">
        <v>200.0</v>
      </c>
      <c r="H36" s="63" t="s">
        <v>5570</v>
      </c>
      <c r="I36" s="191">
        <v>125.0</v>
      </c>
      <c r="J36" s="88" t="s">
        <v>5647</v>
      </c>
    </row>
    <row r="37">
      <c r="A37" s="188">
        <v>45741.0</v>
      </c>
      <c r="B37" s="69" t="s">
        <v>5650</v>
      </c>
      <c r="C37" s="69" t="s">
        <v>5649</v>
      </c>
      <c r="D37" s="69">
        <v>692036.0</v>
      </c>
      <c r="E37" s="69">
        <v>692036.0</v>
      </c>
      <c r="F37" s="69" t="s">
        <v>206</v>
      </c>
      <c r="G37" s="69">
        <v>25.0</v>
      </c>
      <c r="H37" s="69" t="s">
        <v>5362</v>
      </c>
      <c r="I37" s="69">
        <v>25.0</v>
      </c>
      <c r="J37" s="95" t="s">
        <v>5647</v>
      </c>
    </row>
    <row r="38">
      <c r="A38" s="186">
        <v>45741.0</v>
      </c>
      <c r="B38" s="63" t="s">
        <v>5650</v>
      </c>
      <c r="C38" s="63" t="s">
        <v>5649</v>
      </c>
      <c r="D38" s="63">
        <v>692036.0</v>
      </c>
      <c r="E38" s="63">
        <v>692036.0</v>
      </c>
      <c r="F38" s="63" t="s">
        <v>206</v>
      </c>
      <c r="G38" s="63">
        <v>350.0</v>
      </c>
      <c r="H38" s="63" t="s">
        <v>5320</v>
      </c>
      <c r="I38" s="63">
        <v>250.0</v>
      </c>
      <c r="J38" s="88" t="s">
        <v>5647</v>
      </c>
    </row>
    <row r="39">
      <c r="A39" s="188">
        <v>45741.0</v>
      </c>
      <c r="B39" s="69" t="s">
        <v>5650</v>
      </c>
      <c r="C39" s="69" t="s">
        <v>5649</v>
      </c>
      <c r="D39" s="69">
        <v>692043.0</v>
      </c>
      <c r="E39" s="69">
        <v>692043.0</v>
      </c>
      <c r="F39" s="69" t="s">
        <v>224</v>
      </c>
      <c r="G39" s="69">
        <v>165.0</v>
      </c>
      <c r="H39" s="69" t="s">
        <v>5662</v>
      </c>
      <c r="I39" s="69">
        <v>125.0</v>
      </c>
      <c r="J39" s="95" t="s">
        <v>5647</v>
      </c>
    </row>
    <row r="40">
      <c r="A40" s="186">
        <v>45741.0</v>
      </c>
      <c r="B40" s="63" t="s">
        <v>5650</v>
      </c>
      <c r="C40" s="63" t="s">
        <v>5649</v>
      </c>
      <c r="D40" s="63">
        <v>692029.0</v>
      </c>
      <c r="E40" s="63">
        <v>692029.0</v>
      </c>
      <c r="F40" s="63" t="s">
        <v>218</v>
      </c>
      <c r="G40" s="63">
        <v>200.0</v>
      </c>
      <c r="H40" s="63" t="s">
        <v>5570</v>
      </c>
      <c r="I40" s="191">
        <v>200.0</v>
      </c>
      <c r="J40" s="88" t="s">
        <v>5647</v>
      </c>
    </row>
    <row r="41">
      <c r="A41" s="188">
        <v>45741.0</v>
      </c>
      <c r="B41" s="69" t="s">
        <v>5650</v>
      </c>
      <c r="C41" s="69" t="s">
        <v>5649</v>
      </c>
      <c r="D41" s="69">
        <v>692029.0</v>
      </c>
      <c r="E41" s="69">
        <v>692029.0</v>
      </c>
      <c r="F41" s="69" t="s">
        <v>218</v>
      </c>
      <c r="G41" s="69">
        <v>200.0</v>
      </c>
      <c r="H41" s="69" t="s">
        <v>5312</v>
      </c>
      <c r="I41" s="191">
        <v>102.0</v>
      </c>
      <c r="J41" s="95" t="s">
        <v>5647</v>
      </c>
    </row>
    <row r="42">
      <c r="A42" s="186">
        <v>45741.0</v>
      </c>
      <c r="B42" s="63" t="s">
        <v>5650</v>
      </c>
      <c r="C42" s="63" t="s">
        <v>5663</v>
      </c>
      <c r="D42" s="63">
        <v>692265.0</v>
      </c>
      <c r="E42" s="63">
        <v>692265.0</v>
      </c>
      <c r="F42" s="63" t="s">
        <v>5314</v>
      </c>
      <c r="G42" s="63">
        <v>25.0</v>
      </c>
      <c r="H42" s="63" t="s">
        <v>5315</v>
      </c>
      <c r="I42" s="63">
        <v>15.0</v>
      </c>
      <c r="J42" s="88" t="s">
        <v>5647</v>
      </c>
    </row>
    <row r="43">
      <c r="A43" s="188">
        <v>45743.0</v>
      </c>
      <c r="B43" s="69" t="s">
        <v>5651</v>
      </c>
      <c r="C43" s="69" t="s">
        <v>5649</v>
      </c>
      <c r="D43" s="69">
        <v>692036.0</v>
      </c>
      <c r="E43" s="69">
        <v>692036.0</v>
      </c>
      <c r="F43" s="69" t="s">
        <v>206</v>
      </c>
      <c r="G43" s="69">
        <v>100.0</v>
      </c>
      <c r="H43" s="69" t="s">
        <v>5320</v>
      </c>
      <c r="I43" s="69">
        <v>4.0</v>
      </c>
      <c r="J43" s="95" t="s">
        <v>5647</v>
      </c>
    </row>
    <row r="44">
      <c r="A44" s="186">
        <v>45743.0</v>
      </c>
      <c r="B44" s="63" t="s">
        <v>5651</v>
      </c>
      <c r="C44" s="63" t="s">
        <v>5649</v>
      </c>
      <c r="D44" s="63">
        <v>692036.0</v>
      </c>
      <c r="E44" s="63">
        <v>692036.0</v>
      </c>
      <c r="F44" s="63" t="s">
        <v>206</v>
      </c>
      <c r="G44" s="63">
        <v>350.0</v>
      </c>
      <c r="H44" s="63" t="s">
        <v>5562</v>
      </c>
      <c r="I44" s="63">
        <v>12.0</v>
      </c>
      <c r="J44" s="88" t="s">
        <v>5647</v>
      </c>
    </row>
    <row r="45">
      <c r="A45" s="188">
        <v>45743.0</v>
      </c>
      <c r="B45" s="69" t="s">
        <v>5651</v>
      </c>
      <c r="C45" s="69" t="s">
        <v>5649</v>
      </c>
      <c r="D45" s="69">
        <v>605678.0</v>
      </c>
      <c r="E45" s="69">
        <v>605678.0</v>
      </c>
      <c r="F45" s="69" t="s">
        <v>376</v>
      </c>
      <c r="G45" s="69">
        <v>45.0</v>
      </c>
      <c r="H45" s="69" t="s">
        <v>5366</v>
      </c>
      <c r="I45" s="69">
        <v>20.0</v>
      </c>
      <c r="J45" s="95" t="s">
        <v>5647</v>
      </c>
    </row>
    <row r="46">
      <c r="A46" s="186">
        <v>45743.0</v>
      </c>
      <c r="B46" s="63" t="s">
        <v>5651</v>
      </c>
      <c r="C46" s="63" t="s">
        <v>5649</v>
      </c>
      <c r="D46" s="63">
        <v>605678.0</v>
      </c>
      <c r="E46" s="63">
        <v>605678.0</v>
      </c>
      <c r="F46" s="63" t="s">
        <v>376</v>
      </c>
      <c r="G46" s="63">
        <v>55.0</v>
      </c>
      <c r="H46" s="63" t="s">
        <v>5308</v>
      </c>
      <c r="I46" s="63">
        <v>10.0</v>
      </c>
      <c r="J46" s="88" t="s">
        <v>5647</v>
      </c>
    </row>
    <row r="47">
      <c r="A47" s="188">
        <v>45743.0</v>
      </c>
      <c r="B47" s="69" t="s">
        <v>5652</v>
      </c>
      <c r="C47" s="69" t="s">
        <v>5653</v>
      </c>
      <c r="D47" s="69">
        <v>605678.0</v>
      </c>
      <c r="E47" s="69">
        <v>605678.0</v>
      </c>
      <c r="F47" s="69" t="s">
        <v>376</v>
      </c>
      <c r="G47" s="69">
        <v>25.0</v>
      </c>
      <c r="H47" s="69" t="s">
        <v>5366</v>
      </c>
      <c r="I47" s="69">
        <v>12.0</v>
      </c>
      <c r="J47" s="95" t="s">
        <v>5647</v>
      </c>
    </row>
    <row r="48">
      <c r="A48" s="186">
        <v>45743.0</v>
      </c>
      <c r="B48" s="63" t="s">
        <v>5652</v>
      </c>
      <c r="C48" s="63" t="s">
        <v>5653</v>
      </c>
      <c r="D48" s="63">
        <v>605678.0</v>
      </c>
      <c r="E48" s="63">
        <v>605678.0</v>
      </c>
      <c r="F48" s="63" t="s">
        <v>376</v>
      </c>
      <c r="G48" s="63">
        <v>90.0</v>
      </c>
      <c r="H48" s="63" t="s">
        <v>5308</v>
      </c>
      <c r="I48" s="63">
        <v>20.0</v>
      </c>
      <c r="J48" s="88" t="s">
        <v>5647</v>
      </c>
    </row>
    <row r="49">
      <c r="A49" s="188">
        <v>45744.0</v>
      </c>
      <c r="B49" s="69" t="s">
        <v>5654</v>
      </c>
      <c r="C49" s="69" t="s">
        <v>5649</v>
      </c>
      <c r="D49" s="69">
        <v>692029.0</v>
      </c>
      <c r="E49" s="69">
        <v>692029.0</v>
      </c>
      <c r="F49" s="69" t="s">
        <v>218</v>
      </c>
      <c r="G49" s="69">
        <v>225.0</v>
      </c>
      <c r="H49" s="69" t="s">
        <v>5312</v>
      </c>
      <c r="I49" s="192">
        <v>225.0</v>
      </c>
      <c r="J49" s="95" t="s">
        <v>5647</v>
      </c>
    </row>
    <row r="50">
      <c r="A50" s="186">
        <v>45744.0</v>
      </c>
      <c r="B50" s="63" t="s">
        <v>5654</v>
      </c>
      <c r="C50" s="63" t="s">
        <v>5649</v>
      </c>
      <c r="D50" s="63">
        <v>692029.0</v>
      </c>
      <c r="E50" s="63">
        <v>692029.0</v>
      </c>
      <c r="F50" s="63" t="s">
        <v>218</v>
      </c>
      <c r="G50" s="63">
        <v>200.0</v>
      </c>
      <c r="H50" s="63" t="s">
        <v>5409</v>
      </c>
      <c r="I50" s="192">
        <v>200.0</v>
      </c>
      <c r="J50" s="88" t="s">
        <v>5647</v>
      </c>
    </row>
    <row r="51">
      <c r="A51" s="188">
        <v>45744.0</v>
      </c>
      <c r="B51" s="69" t="s">
        <v>5654</v>
      </c>
      <c r="C51" s="69" t="s">
        <v>5649</v>
      </c>
      <c r="D51" s="69">
        <v>692036.0</v>
      </c>
      <c r="E51" s="69">
        <v>692036.0</v>
      </c>
      <c r="F51" s="69" t="s">
        <v>206</v>
      </c>
      <c r="G51" s="69">
        <v>70.0</v>
      </c>
      <c r="H51" s="69" t="s">
        <v>5561</v>
      </c>
      <c r="I51" s="69">
        <v>70.0</v>
      </c>
      <c r="J51" s="95" t="s">
        <v>5647</v>
      </c>
    </row>
    <row r="52">
      <c r="A52" s="186">
        <v>45744.0</v>
      </c>
      <c r="B52" s="63" t="s">
        <v>5654</v>
      </c>
      <c r="C52" s="63" t="s">
        <v>5649</v>
      </c>
      <c r="D52" s="63">
        <v>692036.0</v>
      </c>
      <c r="E52" s="63">
        <v>692036.0</v>
      </c>
      <c r="F52" s="63" t="s">
        <v>206</v>
      </c>
      <c r="G52" s="63">
        <v>350.0</v>
      </c>
      <c r="H52" s="63" t="s">
        <v>5373</v>
      </c>
      <c r="I52" s="63">
        <v>130.0</v>
      </c>
      <c r="J52" s="88" t="s">
        <v>5647</v>
      </c>
    </row>
    <row r="53">
      <c r="A53" s="188">
        <v>45744.0</v>
      </c>
      <c r="B53" s="69" t="s">
        <v>5654</v>
      </c>
      <c r="C53" s="69" t="s">
        <v>5649</v>
      </c>
      <c r="D53" s="69">
        <v>692043.0</v>
      </c>
      <c r="E53" s="69">
        <v>692043.0</v>
      </c>
      <c r="F53" s="69" t="s">
        <v>224</v>
      </c>
      <c r="G53" s="69">
        <v>40.0</v>
      </c>
      <c r="H53" s="69" t="s">
        <v>5662</v>
      </c>
      <c r="I53" s="69">
        <v>40.0</v>
      </c>
      <c r="J53" s="95" t="s">
        <v>5647</v>
      </c>
    </row>
    <row r="54">
      <c r="A54" s="186">
        <v>45749.0</v>
      </c>
      <c r="B54" s="63" t="s">
        <v>5657</v>
      </c>
      <c r="C54" s="63" t="s">
        <v>5658</v>
      </c>
      <c r="D54" s="63">
        <v>692012.0</v>
      </c>
      <c r="E54" s="63">
        <v>692012.0</v>
      </c>
      <c r="F54" s="63" t="s">
        <v>212</v>
      </c>
      <c r="G54" s="63">
        <v>200.0</v>
      </c>
      <c r="H54" s="63" t="s">
        <v>5567</v>
      </c>
      <c r="I54" s="63">
        <v>200.0</v>
      </c>
      <c r="J54" s="88" t="s">
        <v>5647</v>
      </c>
    </row>
    <row r="55">
      <c r="A55" s="188">
        <v>45749.0</v>
      </c>
      <c r="B55" s="69" t="s">
        <v>5657</v>
      </c>
      <c r="C55" s="69" t="s">
        <v>5658</v>
      </c>
      <c r="D55" s="69">
        <v>605678.0</v>
      </c>
      <c r="E55" s="69">
        <v>605678.0</v>
      </c>
      <c r="F55" s="69" t="s">
        <v>376</v>
      </c>
      <c r="G55" s="69">
        <v>70.0</v>
      </c>
      <c r="H55" s="69" t="s">
        <v>5308</v>
      </c>
      <c r="I55" s="69">
        <v>15.0</v>
      </c>
      <c r="J55" s="95" t="s">
        <v>5647</v>
      </c>
    </row>
    <row r="56">
      <c r="A56" s="186">
        <v>45749.0</v>
      </c>
      <c r="B56" s="63" t="s">
        <v>5657</v>
      </c>
      <c r="C56" s="63" t="s">
        <v>5658</v>
      </c>
      <c r="D56" s="63">
        <v>605678.0</v>
      </c>
      <c r="E56" s="63">
        <v>605678.0</v>
      </c>
      <c r="F56" s="63" t="s">
        <v>376</v>
      </c>
      <c r="G56" s="63">
        <v>13.0</v>
      </c>
      <c r="H56" s="63" t="s">
        <v>5366</v>
      </c>
      <c r="I56" s="63">
        <v>1.0</v>
      </c>
      <c r="J56" s="88" t="s">
        <v>5647</v>
      </c>
    </row>
    <row r="57">
      <c r="A57" s="188">
        <v>45749.0</v>
      </c>
      <c r="B57" s="69" t="s">
        <v>5657</v>
      </c>
      <c r="C57" s="69" t="s">
        <v>5658</v>
      </c>
      <c r="D57" s="69">
        <v>692265.0</v>
      </c>
      <c r="E57" s="69">
        <v>692265.0</v>
      </c>
      <c r="F57" s="69" t="s">
        <v>5314</v>
      </c>
      <c r="G57" s="69">
        <v>50.0</v>
      </c>
      <c r="H57" s="69" t="s">
        <v>5315</v>
      </c>
      <c r="I57" s="69">
        <v>6.0</v>
      </c>
      <c r="J57" s="95" t="s">
        <v>5647</v>
      </c>
    </row>
    <row r="58">
      <c r="A58" s="186">
        <v>45749.0</v>
      </c>
      <c r="B58" s="63" t="s">
        <v>5657</v>
      </c>
      <c r="C58" s="63" t="s">
        <v>5658</v>
      </c>
      <c r="D58" s="63">
        <v>605678.0</v>
      </c>
      <c r="E58" s="63">
        <v>605678.0</v>
      </c>
      <c r="F58" s="63" t="s">
        <v>376</v>
      </c>
      <c r="G58" s="63">
        <v>70.0</v>
      </c>
      <c r="H58" s="63" t="s">
        <v>5308</v>
      </c>
      <c r="I58" s="63">
        <v>15.0</v>
      </c>
      <c r="J58" s="88" t="s">
        <v>5647</v>
      </c>
    </row>
    <row r="59">
      <c r="A59" s="188">
        <v>45749.0</v>
      </c>
      <c r="B59" s="69" t="s">
        <v>5657</v>
      </c>
      <c r="C59" s="69" t="s">
        <v>5658</v>
      </c>
      <c r="D59" s="69">
        <v>692265.0</v>
      </c>
      <c r="E59" s="69">
        <v>692265.0</v>
      </c>
      <c r="F59" s="69" t="s">
        <v>5314</v>
      </c>
      <c r="G59" s="69">
        <v>50.0</v>
      </c>
      <c r="H59" s="69" t="s">
        <v>5315</v>
      </c>
      <c r="I59" s="69">
        <v>7.0</v>
      </c>
      <c r="J59" s="95" t="s">
        <v>5647</v>
      </c>
    </row>
    <row r="60">
      <c r="A60" s="186">
        <v>45749.0</v>
      </c>
      <c r="B60" s="63" t="s">
        <v>5655</v>
      </c>
      <c r="C60" s="63" t="s">
        <v>5653</v>
      </c>
      <c r="D60" s="63">
        <v>692043.0</v>
      </c>
      <c r="E60" s="63">
        <v>692043.0</v>
      </c>
      <c r="F60" s="63" t="s">
        <v>224</v>
      </c>
      <c r="G60" s="63">
        <v>225.0</v>
      </c>
      <c r="H60" s="63" t="s">
        <v>5597</v>
      </c>
      <c r="I60" s="63">
        <v>175.0</v>
      </c>
      <c r="J60" s="88" t="s">
        <v>5647</v>
      </c>
    </row>
    <row r="61">
      <c r="A61" s="188">
        <v>45749.0</v>
      </c>
      <c r="B61" s="69" t="s">
        <v>5655</v>
      </c>
      <c r="C61" s="69" t="s">
        <v>5653</v>
      </c>
      <c r="D61" s="69">
        <v>692012.0</v>
      </c>
      <c r="E61" s="69">
        <v>692012.0</v>
      </c>
      <c r="F61" s="69" t="s">
        <v>212</v>
      </c>
      <c r="G61" s="69">
        <v>225.0</v>
      </c>
      <c r="H61" s="69" t="s">
        <v>5326</v>
      </c>
      <c r="I61" s="69">
        <v>200.0</v>
      </c>
      <c r="J61" s="95" t="s">
        <v>5647</v>
      </c>
    </row>
    <row r="62">
      <c r="A62" s="186">
        <v>45749.0</v>
      </c>
      <c r="B62" s="63" t="s">
        <v>5655</v>
      </c>
      <c r="C62" s="63" t="s">
        <v>5653</v>
      </c>
      <c r="D62" s="63">
        <v>692036.0</v>
      </c>
      <c r="E62" s="63">
        <v>692036.0</v>
      </c>
      <c r="F62" s="63" t="s">
        <v>206</v>
      </c>
      <c r="G62" s="63">
        <v>338.0</v>
      </c>
      <c r="H62" s="63" t="s">
        <v>5562</v>
      </c>
      <c r="I62" s="63">
        <v>150.0</v>
      </c>
      <c r="J62" s="88" t="s">
        <v>5647</v>
      </c>
    </row>
    <row r="63">
      <c r="A63" s="188">
        <v>45749.0</v>
      </c>
      <c r="B63" s="69" t="s">
        <v>5655</v>
      </c>
      <c r="C63" s="69" t="s">
        <v>5653</v>
      </c>
      <c r="D63" s="69">
        <v>692265.0</v>
      </c>
      <c r="E63" s="69">
        <v>692265.0</v>
      </c>
      <c r="F63" s="69" t="s">
        <v>5314</v>
      </c>
      <c r="G63" s="69">
        <v>37.0</v>
      </c>
      <c r="H63" s="69" t="s">
        <v>5315</v>
      </c>
      <c r="I63" s="69">
        <v>9.0</v>
      </c>
      <c r="J63" s="95" t="s">
        <v>5647</v>
      </c>
    </row>
    <row r="64">
      <c r="A64" s="186">
        <v>45749.0</v>
      </c>
      <c r="B64" s="63" t="s">
        <v>5655</v>
      </c>
      <c r="C64" s="63" t="s">
        <v>5653</v>
      </c>
      <c r="D64" s="63">
        <v>605678.0</v>
      </c>
      <c r="E64" s="63">
        <v>605678.0</v>
      </c>
      <c r="F64" s="63" t="s">
        <v>376</v>
      </c>
      <c r="G64" s="63">
        <v>40.0</v>
      </c>
      <c r="H64" s="63" t="s">
        <v>5308</v>
      </c>
      <c r="I64" s="63">
        <v>8.0</v>
      </c>
      <c r="J64" s="88" t="s">
        <v>5647</v>
      </c>
    </row>
    <row r="65">
      <c r="A65" s="188">
        <v>45749.0</v>
      </c>
      <c r="B65" s="69" t="s">
        <v>5655</v>
      </c>
      <c r="C65" s="69" t="s">
        <v>5653</v>
      </c>
      <c r="D65" s="69">
        <v>605678.0</v>
      </c>
      <c r="E65" s="69">
        <v>605678.0</v>
      </c>
      <c r="F65" s="69" t="s">
        <v>376</v>
      </c>
      <c r="G65" s="69">
        <v>40.0</v>
      </c>
      <c r="H65" s="69" t="s">
        <v>5308</v>
      </c>
      <c r="I65" s="69">
        <v>16.0</v>
      </c>
      <c r="J65" s="95" t="s">
        <v>5647</v>
      </c>
    </row>
    <row r="66">
      <c r="A66" s="186">
        <v>45749.0</v>
      </c>
      <c r="B66" s="122" t="s">
        <v>5656</v>
      </c>
      <c r="C66" s="63" t="s">
        <v>5653</v>
      </c>
      <c r="D66" s="63">
        <v>692043.0</v>
      </c>
      <c r="E66" s="63">
        <v>692043.0</v>
      </c>
      <c r="F66" s="63" t="s">
        <v>224</v>
      </c>
      <c r="G66" s="63">
        <v>225.0</v>
      </c>
      <c r="H66" s="63" t="s">
        <v>5596</v>
      </c>
      <c r="I66" s="63">
        <v>225.0</v>
      </c>
      <c r="J66" s="88" t="s">
        <v>5647</v>
      </c>
    </row>
    <row r="67">
      <c r="A67" s="188">
        <v>45749.0</v>
      </c>
      <c r="B67" s="110" t="s">
        <v>5656</v>
      </c>
      <c r="C67" s="69" t="s">
        <v>5653</v>
      </c>
      <c r="D67" s="69">
        <v>692043.0</v>
      </c>
      <c r="E67" s="69">
        <v>692043.0</v>
      </c>
      <c r="F67" s="69" t="s">
        <v>224</v>
      </c>
      <c r="G67" s="69">
        <v>225.0</v>
      </c>
      <c r="H67" s="69" t="s">
        <v>5595</v>
      </c>
      <c r="I67" s="69">
        <v>75.0</v>
      </c>
      <c r="J67" s="95" t="s">
        <v>5647</v>
      </c>
    </row>
    <row r="68">
      <c r="A68" s="186">
        <v>45749.0</v>
      </c>
      <c r="B68" s="122" t="s">
        <v>5656</v>
      </c>
      <c r="C68" s="63" t="s">
        <v>5653</v>
      </c>
      <c r="D68" s="63">
        <v>692043.0</v>
      </c>
      <c r="E68" s="63">
        <v>692043.0</v>
      </c>
      <c r="F68" s="63" t="s">
        <v>224</v>
      </c>
      <c r="G68" s="63">
        <v>150.0</v>
      </c>
      <c r="H68" s="63" t="s">
        <v>5595</v>
      </c>
      <c r="I68" s="63">
        <v>10.0</v>
      </c>
      <c r="J68" s="88" t="s">
        <v>5647</v>
      </c>
    </row>
    <row r="69">
      <c r="A69" s="188">
        <v>45751.0</v>
      </c>
      <c r="B69" s="110" t="s">
        <v>5659</v>
      </c>
      <c r="C69" s="69" t="s">
        <v>5660</v>
      </c>
      <c r="D69" s="69">
        <v>692036.0</v>
      </c>
      <c r="E69" s="69">
        <v>692036.0</v>
      </c>
      <c r="F69" s="69" t="s">
        <v>206</v>
      </c>
      <c r="G69" s="69">
        <v>349.0</v>
      </c>
      <c r="H69" s="69" t="s">
        <v>5363</v>
      </c>
      <c r="I69" s="69">
        <v>349.0</v>
      </c>
      <c r="J69" s="95" t="s">
        <v>5647</v>
      </c>
    </row>
    <row r="70">
      <c r="A70" s="186">
        <v>45751.0</v>
      </c>
      <c r="B70" s="122" t="s">
        <v>5659</v>
      </c>
      <c r="C70" s="63" t="s">
        <v>5660</v>
      </c>
      <c r="D70" s="63">
        <v>692036.0</v>
      </c>
      <c r="E70" s="63">
        <v>692036.0</v>
      </c>
      <c r="F70" s="63" t="s">
        <v>206</v>
      </c>
      <c r="G70" s="63">
        <v>350.0</v>
      </c>
      <c r="H70" s="63" t="s">
        <v>5561</v>
      </c>
      <c r="I70" s="63">
        <v>200.0</v>
      </c>
      <c r="J70" s="88" t="s">
        <v>5647</v>
      </c>
    </row>
    <row r="71">
      <c r="A71" s="188">
        <v>45751.0</v>
      </c>
      <c r="B71" s="110" t="s">
        <v>5659</v>
      </c>
      <c r="C71" s="69" t="s">
        <v>5660</v>
      </c>
      <c r="D71" s="69">
        <v>692043.0</v>
      </c>
      <c r="E71" s="69">
        <v>692043.0</v>
      </c>
      <c r="F71" s="69" t="s">
        <v>224</v>
      </c>
      <c r="G71" s="69">
        <v>140.0</v>
      </c>
      <c r="H71" s="69" t="s">
        <v>5595</v>
      </c>
      <c r="I71" s="69">
        <v>50.0</v>
      </c>
      <c r="J71" s="95" t="s">
        <v>5647</v>
      </c>
    </row>
    <row r="72">
      <c r="A72" s="186">
        <v>45751.0</v>
      </c>
      <c r="B72" s="122" t="s">
        <v>5659</v>
      </c>
      <c r="C72" s="63" t="s">
        <v>5660</v>
      </c>
      <c r="D72" s="63">
        <v>692012.0</v>
      </c>
      <c r="E72" s="63">
        <v>692012.0</v>
      </c>
      <c r="F72" s="63" t="s">
        <v>212</v>
      </c>
      <c r="G72" s="63">
        <v>24.0</v>
      </c>
      <c r="H72" s="63" t="s">
        <v>5329</v>
      </c>
      <c r="I72" s="63">
        <v>24.0</v>
      </c>
      <c r="J72" s="88" t="s">
        <v>5647</v>
      </c>
    </row>
    <row r="73">
      <c r="A73" s="188">
        <v>45751.0</v>
      </c>
      <c r="B73" s="110" t="s">
        <v>5659</v>
      </c>
      <c r="C73" s="69" t="s">
        <v>5660</v>
      </c>
      <c r="D73" s="69">
        <v>692012.0</v>
      </c>
      <c r="E73" s="69">
        <v>692012.0</v>
      </c>
      <c r="F73" s="69" t="s">
        <v>212</v>
      </c>
      <c r="G73" s="69">
        <v>225.0</v>
      </c>
      <c r="H73" s="69" t="s">
        <v>5326</v>
      </c>
      <c r="I73" s="69">
        <v>200.0</v>
      </c>
      <c r="J73" s="95" t="s">
        <v>5647</v>
      </c>
    </row>
    <row r="74">
      <c r="A74" s="186">
        <v>45751.0</v>
      </c>
      <c r="B74" s="122" t="s">
        <v>5659</v>
      </c>
      <c r="C74" s="63" t="s">
        <v>5660</v>
      </c>
      <c r="D74" s="63">
        <v>605678.0</v>
      </c>
      <c r="E74" s="63">
        <v>605678.0</v>
      </c>
      <c r="F74" s="63" t="s">
        <v>376</v>
      </c>
      <c r="G74" s="63">
        <v>11.0</v>
      </c>
      <c r="H74" s="63" t="s">
        <v>5308</v>
      </c>
      <c r="I74" s="63">
        <v>8.0</v>
      </c>
      <c r="J74" s="88" t="s">
        <v>5647</v>
      </c>
    </row>
    <row r="75">
      <c r="A75" s="188">
        <v>45751.0</v>
      </c>
      <c r="B75" s="110" t="s">
        <v>5659</v>
      </c>
      <c r="C75" s="69" t="s">
        <v>5660</v>
      </c>
      <c r="D75" s="69">
        <v>605678.0</v>
      </c>
      <c r="E75" s="69">
        <v>605678.0</v>
      </c>
      <c r="F75" s="69" t="s">
        <v>376</v>
      </c>
      <c r="G75" s="69">
        <v>12.0</v>
      </c>
      <c r="H75" s="69" t="s">
        <v>5366</v>
      </c>
      <c r="I75" s="69">
        <v>11.0</v>
      </c>
      <c r="J75" s="95" t="s">
        <v>5647</v>
      </c>
    </row>
    <row r="76">
      <c r="A76" s="186">
        <v>45751.0</v>
      </c>
      <c r="B76" s="122" t="s">
        <v>5659</v>
      </c>
      <c r="C76" s="63" t="s">
        <v>5660</v>
      </c>
      <c r="D76" s="63">
        <v>692265.0</v>
      </c>
      <c r="E76" s="63">
        <v>692265.0</v>
      </c>
      <c r="F76" s="63" t="s">
        <v>5314</v>
      </c>
      <c r="G76" s="63">
        <v>29.0</v>
      </c>
      <c r="H76" s="63" t="s">
        <v>5315</v>
      </c>
      <c r="I76" s="63">
        <v>17.0</v>
      </c>
      <c r="J76" s="88" t="s">
        <v>5647</v>
      </c>
    </row>
    <row r="77">
      <c r="A77" s="188">
        <v>45754.0</v>
      </c>
      <c r="B77" s="110" t="s">
        <v>5661</v>
      </c>
      <c r="C77" s="69" t="s">
        <v>5653</v>
      </c>
      <c r="D77" s="69">
        <v>605678.0</v>
      </c>
      <c r="E77" s="69">
        <v>605678.0</v>
      </c>
      <c r="F77" s="69" t="s">
        <v>376</v>
      </c>
      <c r="G77" s="69">
        <v>33.0</v>
      </c>
      <c r="H77" s="69" t="s">
        <v>5308</v>
      </c>
      <c r="I77" s="69">
        <v>28.0</v>
      </c>
      <c r="J77" s="95" t="s">
        <v>5647</v>
      </c>
    </row>
    <row r="78">
      <c r="A78" s="186">
        <v>45754.0</v>
      </c>
      <c r="B78" s="122" t="s">
        <v>5661</v>
      </c>
      <c r="C78" s="63" t="s">
        <v>5653</v>
      </c>
      <c r="D78" s="63">
        <v>692029.0</v>
      </c>
      <c r="E78" s="63">
        <v>692029.0</v>
      </c>
      <c r="F78" s="63" t="s">
        <v>218</v>
      </c>
      <c r="G78" s="63">
        <v>241.0</v>
      </c>
      <c r="H78" s="63" t="s">
        <v>5332</v>
      </c>
      <c r="I78" s="63">
        <v>241.0</v>
      </c>
      <c r="J78" s="88" t="s">
        <v>5647</v>
      </c>
    </row>
    <row r="79">
      <c r="A79" s="188">
        <v>45754.0</v>
      </c>
      <c r="B79" s="110" t="s">
        <v>5661</v>
      </c>
      <c r="C79" s="69" t="s">
        <v>5653</v>
      </c>
      <c r="D79" s="69">
        <v>692029.0</v>
      </c>
      <c r="E79" s="69">
        <v>692029.0</v>
      </c>
      <c r="F79" s="69" t="s">
        <v>218</v>
      </c>
      <c r="G79" s="69">
        <v>200.0</v>
      </c>
      <c r="H79" s="69" t="s">
        <v>5365</v>
      </c>
      <c r="I79" s="69">
        <v>200.0</v>
      </c>
      <c r="J79" s="95" t="s">
        <v>5647</v>
      </c>
    </row>
    <row r="80">
      <c r="A80" s="186">
        <v>45754.0</v>
      </c>
      <c r="B80" s="122" t="s">
        <v>5661</v>
      </c>
      <c r="C80" s="63" t="s">
        <v>5653</v>
      </c>
      <c r="D80" s="63">
        <v>692029.0</v>
      </c>
      <c r="E80" s="63">
        <v>692029.0</v>
      </c>
      <c r="F80" s="63" t="s">
        <v>218</v>
      </c>
      <c r="G80" s="63">
        <v>200.0</v>
      </c>
      <c r="H80" s="63" t="s">
        <v>5618</v>
      </c>
      <c r="I80" s="63">
        <v>200.0</v>
      </c>
      <c r="J80" s="88" t="s">
        <v>5647</v>
      </c>
    </row>
    <row r="81">
      <c r="A81" s="188">
        <v>45754.0</v>
      </c>
      <c r="B81" s="110" t="s">
        <v>5661</v>
      </c>
      <c r="C81" s="69" t="s">
        <v>5653</v>
      </c>
      <c r="D81" s="69">
        <v>692029.0</v>
      </c>
      <c r="E81" s="69">
        <v>692029.0</v>
      </c>
      <c r="F81" s="69" t="s">
        <v>218</v>
      </c>
      <c r="G81" s="69">
        <v>200.0</v>
      </c>
      <c r="H81" s="69" t="s">
        <v>5619</v>
      </c>
      <c r="I81" s="69">
        <v>200.0</v>
      </c>
      <c r="J81" s="95" t="s">
        <v>5647</v>
      </c>
    </row>
    <row r="82">
      <c r="A82" s="193">
        <v>45754.0</v>
      </c>
      <c r="B82" s="194" t="s">
        <v>5661</v>
      </c>
      <c r="C82" s="136" t="s">
        <v>5653</v>
      </c>
      <c r="D82" s="136">
        <v>692029.0</v>
      </c>
      <c r="E82" s="136">
        <v>692029.0</v>
      </c>
      <c r="F82" s="136" t="s">
        <v>218</v>
      </c>
      <c r="G82" s="136">
        <v>200.0</v>
      </c>
      <c r="H82" s="136" t="s">
        <v>5620</v>
      </c>
      <c r="I82" s="136">
        <v>25.0</v>
      </c>
      <c r="J82" s="179" t="s">
        <v>5647</v>
      </c>
    </row>
  </sheetData>
  <conditionalFormatting sqref="J2:J82">
    <cfRule type="cellIs" dxfId="16" priority="1" operator="equal">
      <formula>"DESPACHADO"</formula>
    </cfRule>
  </conditionalFormatting>
  <conditionalFormatting sqref="J2:J82">
    <cfRule type="cellIs" dxfId="17" priority="2" operator="equal">
      <formula>"EN PREPARACION"</formula>
    </cfRule>
  </conditionalFormatting>
  <dataValidations>
    <dataValidation type="custom" allowBlank="1" showDropDown="1" sqref="A2:A82">
      <formula1>OR(NOT(ISERROR(DATEVALUE(A2))), AND(ISNUMBER(A2), LEFT(CELL("format", A2))="D"))</formula1>
    </dataValidation>
    <dataValidation allowBlank="1" showDropDown="1" sqref="B2:B82 H2:H82"/>
  </dataValidations>
  <drawing r:id="rId2"/>
  <tableParts count="1">
    <tablePart r:id="rId4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7.25"/>
    <col customWidth="1" min="2" max="2" width="26.25"/>
    <col customWidth="1" min="3" max="3" width="16.5"/>
    <col customWidth="1" min="4" max="4" width="40.13"/>
    <col customWidth="1" min="5" max="5" width="16.63"/>
    <col customWidth="1" min="6" max="6" width="15.0"/>
    <col customWidth="1" min="7" max="8" width="34.25"/>
    <col customWidth="1" min="17" max="17" width="13.88"/>
    <col customWidth="1" min="18" max="18" width="17.13"/>
    <col customWidth="1" min="19" max="19" width="28.75"/>
    <col customWidth="1" min="20" max="20" width="20.75"/>
  </cols>
  <sheetData>
    <row r="1">
      <c r="A1" s="195" t="s">
        <v>5664</v>
      </c>
      <c r="B1" s="196" t="s">
        <v>5665</v>
      </c>
      <c r="C1" s="196" t="s">
        <v>39</v>
      </c>
      <c r="D1" s="197" t="s">
        <v>2</v>
      </c>
      <c r="E1" s="196" t="s">
        <v>5666</v>
      </c>
      <c r="F1" s="197" t="s">
        <v>5546</v>
      </c>
      <c r="G1" s="81" t="s">
        <v>5667</v>
      </c>
      <c r="H1" s="82" t="s">
        <v>5642</v>
      </c>
      <c r="I1" s="167"/>
      <c r="J1" s="167"/>
      <c r="K1" s="167"/>
      <c r="L1" s="167"/>
      <c r="M1" s="167"/>
      <c r="N1" s="167"/>
      <c r="O1" s="167"/>
      <c r="P1" s="167"/>
      <c r="U1" s="167"/>
      <c r="V1" s="167"/>
      <c r="W1" s="167"/>
      <c r="X1" s="167"/>
    </row>
    <row r="2" ht="19.5" customHeight="1">
      <c r="A2" s="198">
        <v>45742.0</v>
      </c>
      <c r="B2" s="199" t="s">
        <v>5668</v>
      </c>
      <c r="C2" s="200" t="s">
        <v>5310</v>
      </c>
      <c r="D2" s="200" t="s">
        <v>5311</v>
      </c>
      <c r="E2" s="201">
        <v>200.0</v>
      </c>
      <c r="F2" s="200">
        <v>2.0</v>
      </c>
      <c r="G2" s="200" t="s">
        <v>5390</v>
      </c>
      <c r="H2" s="202" t="s">
        <v>5669</v>
      </c>
      <c r="Q2" s="9"/>
      <c r="R2" s="9"/>
      <c r="S2" s="9"/>
      <c r="T2" s="9"/>
    </row>
    <row r="3" ht="19.5" customHeight="1">
      <c r="A3" s="198">
        <v>45742.0</v>
      </c>
      <c r="B3" s="199" t="s">
        <v>5668</v>
      </c>
      <c r="C3" s="200" t="s">
        <v>5310</v>
      </c>
      <c r="D3" s="200" t="s">
        <v>5464</v>
      </c>
      <c r="E3" s="201">
        <v>100.0</v>
      </c>
      <c r="F3" s="200">
        <v>0.0</v>
      </c>
      <c r="G3" s="200" t="s">
        <v>5420</v>
      </c>
      <c r="H3" s="202" t="s">
        <v>5669</v>
      </c>
      <c r="Q3" s="9"/>
      <c r="R3" s="9"/>
      <c r="S3" s="9"/>
      <c r="T3" s="9"/>
    </row>
    <row r="4" ht="19.5" customHeight="1">
      <c r="A4" s="198">
        <v>45742.0</v>
      </c>
      <c r="B4" s="199" t="s">
        <v>5668</v>
      </c>
      <c r="C4" s="199" t="s">
        <v>240</v>
      </c>
      <c r="D4" s="200" t="s">
        <v>239</v>
      </c>
      <c r="E4" s="201">
        <v>800.0</v>
      </c>
      <c r="F4" s="200">
        <v>0.0</v>
      </c>
      <c r="G4" s="200" t="s">
        <v>5391</v>
      </c>
      <c r="H4" s="202" t="s">
        <v>5669</v>
      </c>
      <c r="Q4" s="9"/>
      <c r="R4" s="9"/>
      <c r="S4" s="9"/>
      <c r="T4" s="9"/>
    </row>
    <row r="5" ht="19.5" customHeight="1">
      <c r="A5" s="198">
        <v>45742.0</v>
      </c>
      <c r="B5" s="199" t="s">
        <v>5668</v>
      </c>
      <c r="C5" s="199" t="s">
        <v>231</v>
      </c>
      <c r="D5" s="200" t="s">
        <v>230</v>
      </c>
      <c r="E5" s="201">
        <v>200.0</v>
      </c>
      <c r="F5" s="200">
        <v>0.0</v>
      </c>
      <c r="G5" s="200" t="s">
        <v>5392</v>
      </c>
      <c r="H5" s="202" t="s">
        <v>5669</v>
      </c>
      <c r="Q5" s="9"/>
      <c r="R5" s="9"/>
      <c r="S5" s="9"/>
      <c r="T5" s="9"/>
    </row>
    <row r="6" ht="19.5" customHeight="1">
      <c r="A6" s="198">
        <v>45747.0</v>
      </c>
      <c r="B6" s="200" t="s">
        <v>5670</v>
      </c>
      <c r="C6" s="200" t="s">
        <v>5310</v>
      </c>
      <c r="D6" s="200" t="s">
        <v>5464</v>
      </c>
      <c r="E6" s="201">
        <v>200.0</v>
      </c>
      <c r="F6" s="200">
        <v>1.0</v>
      </c>
      <c r="G6" s="200" t="s">
        <v>5327</v>
      </c>
      <c r="H6" s="202" t="s">
        <v>5671</v>
      </c>
      <c r="Q6" s="9"/>
      <c r="R6" s="9"/>
      <c r="S6" s="9"/>
      <c r="T6" s="9"/>
    </row>
    <row r="7" ht="19.5" customHeight="1">
      <c r="A7" s="198">
        <v>45747.0</v>
      </c>
      <c r="B7" s="200" t="s">
        <v>5670</v>
      </c>
      <c r="C7" s="200" t="s">
        <v>5310</v>
      </c>
      <c r="D7" s="200" t="s">
        <v>5464</v>
      </c>
      <c r="E7" s="201">
        <v>200.0</v>
      </c>
      <c r="F7" s="200">
        <v>1.0</v>
      </c>
      <c r="G7" s="200" t="s">
        <v>5356</v>
      </c>
      <c r="H7" s="202" t="s">
        <v>5671</v>
      </c>
      <c r="Q7" s="9"/>
      <c r="R7" s="9"/>
      <c r="S7" s="9"/>
      <c r="T7" s="9"/>
    </row>
    <row r="8" ht="19.5" customHeight="1">
      <c r="A8" s="198">
        <v>45747.0</v>
      </c>
      <c r="B8" s="200" t="s">
        <v>5670</v>
      </c>
      <c r="C8" s="200" t="s">
        <v>5310</v>
      </c>
      <c r="D8" s="200" t="s">
        <v>5464</v>
      </c>
      <c r="E8" s="201">
        <v>200.0</v>
      </c>
      <c r="F8" s="200">
        <v>1.0</v>
      </c>
      <c r="G8" s="200" t="s">
        <v>5355</v>
      </c>
      <c r="H8" s="202" t="s">
        <v>5671</v>
      </c>
      <c r="Q8" s="9"/>
      <c r="R8" s="9"/>
      <c r="S8" s="9"/>
      <c r="T8" s="9"/>
    </row>
    <row r="9" ht="19.5" customHeight="1">
      <c r="A9" s="198">
        <v>45747.0</v>
      </c>
      <c r="B9" s="200" t="s">
        <v>5670</v>
      </c>
      <c r="C9" s="200" t="s">
        <v>5310</v>
      </c>
      <c r="D9" s="200" t="s">
        <v>5464</v>
      </c>
      <c r="E9" s="201">
        <v>200.0</v>
      </c>
      <c r="F9" s="200">
        <v>1.0</v>
      </c>
      <c r="G9" s="200" t="s">
        <v>5588</v>
      </c>
      <c r="H9" s="202" t="s">
        <v>5671</v>
      </c>
      <c r="Q9" s="9"/>
      <c r="R9" s="9"/>
      <c r="S9" s="9"/>
      <c r="T9" s="9"/>
    </row>
    <row r="10" ht="19.5" customHeight="1">
      <c r="A10" s="198">
        <v>45747.0</v>
      </c>
      <c r="B10" s="200" t="s">
        <v>5670</v>
      </c>
      <c r="C10" s="200" t="s">
        <v>5310</v>
      </c>
      <c r="D10" s="200" t="s">
        <v>5464</v>
      </c>
      <c r="E10" s="201">
        <v>200.0</v>
      </c>
      <c r="F10" s="200">
        <v>1.0</v>
      </c>
      <c r="G10" s="200" t="s">
        <v>5357</v>
      </c>
      <c r="H10" s="202" t="s">
        <v>5671</v>
      </c>
      <c r="Q10" s="9"/>
      <c r="R10" s="9"/>
      <c r="S10" s="9"/>
      <c r="T10" s="9"/>
    </row>
    <row r="11" ht="19.5" customHeight="1">
      <c r="A11" s="198">
        <v>45747.0</v>
      </c>
      <c r="B11" s="200" t="s">
        <v>5670</v>
      </c>
      <c r="C11" s="200" t="s">
        <v>5310</v>
      </c>
      <c r="D11" s="200" t="s">
        <v>5464</v>
      </c>
      <c r="E11" s="201">
        <v>200.0</v>
      </c>
      <c r="F11" s="200">
        <v>1.0</v>
      </c>
      <c r="G11" s="200" t="s">
        <v>5358</v>
      </c>
      <c r="H11" s="202" t="s">
        <v>5671</v>
      </c>
      <c r="Q11" s="9"/>
      <c r="R11" s="9"/>
      <c r="S11" s="9"/>
      <c r="T11" s="9"/>
    </row>
    <row r="12" ht="19.5" customHeight="1">
      <c r="A12" s="198">
        <v>45747.0</v>
      </c>
      <c r="B12" s="200" t="s">
        <v>5670</v>
      </c>
      <c r="C12" s="200" t="s">
        <v>5310</v>
      </c>
      <c r="D12" s="200" t="s">
        <v>5464</v>
      </c>
      <c r="E12" s="201">
        <v>200.0</v>
      </c>
      <c r="F12" s="200">
        <v>1.0</v>
      </c>
      <c r="G12" s="200" t="s">
        <v>5360</v>
      </c>
      <c r="H12" s="202" t="s">
        <v>5671</v>
      </c>
      <c r="Q12" s="9"/>
      <c r="R12" s="9"/>
      <c r="S12" s="9"/>
      <c r="T12" s="9"/>
    </row>
    <row r="13" ht="19.5" customHeight="1">
      <c r="A13" s="198">
        <v>45747.0</v>
      </c>
      <c r="B13" s="200" t="s">
        <v>5670</v>
      </c>
      <c r="C13" s="200" t="s">
        <v>5310</v>
      </c>
      <c r="D13" s="200" t="s">
        <v>5464</v>
      </c>
      <c r="E13" s="201">
        <v>200.0</v>
      </c>
      <c r="F13" s="200">
        <v>1.0</v>
      </c>
      <c r="G13" s="200" t="s">
        <v>5359</v>
      </c>
      <c r="H13" s="202" t="s">
        <v>5671</v>
      </c>
      <c r="Q13" s="9"/>
      <c r="R13" s="9"/>
      <c r="S13" s="9"/>
      <c r="T13" s="9"/>
    </row>
    <row r="14" ht="19.5" customHeight="1">
      <c r="A14" s="198">
        <v>45747.0</v>
      </c>
      <c r="B14" s="200" t="s">
        <v>5670</v>
      </c>
      <c r="C14" s="200" t="s">
        <v>5310</v>
      </c>
      <c r="D14" s="200" t="s">
        <v>5464</v>
      </c>
      <c r="E14" s="201">
        <v>200.0</v>
      </c>
      <c r="F14" s="200">
        <v>1.0</v>
      </c>
      <c r="G14" s="200" t="s">
        <v>5328</v>
      </c>
      <c r="H14" s="202" t="s">
        <v>5671</v>
      </c>
      <c r="Q14" s="9"/>
      <c r="R14" s="9"/>
      <c r="S14" s="9"/>
      <c r="T14" s="9"/>
    </row>
    <row r="15" ht="19.5" customHeight="1">
      <c r="A15" s="198">
        <v>45747.0</v>
      </c>
      <c r="B15" s="200" t="s">
        <v>5670</v>
      </c>
      <c r="C15" s="200" t="s">
        <v>5310</v>
      </c>
      <c r="D15" s="200" t="s">
        <v>5464</v>
      </c>
      <c r="E15" s="201">
        <v>200.0</v>
      </c>
      <c r="F15" s="200">
        <v>1.0</v>
      </c>
      <c r="G15" s="200" t="s">
        <v>5590</v>
      </c>
      <c r="H15" s="202" t="s">
        <v>5671</v>
      </c>
      <c r="Q15" s="9"/>
      <c r="R15" s="9"/>
      <c r="S15" s="9"/>
      <c r="T15" s="9"/>
    </row>
    <row r="16" ht="19.5" customHeight="1">
      <c r="A16" s="198">
        <v>45747.0</v>
      </c>
      <c r="B16" s="200" t="s">
        <v>5670</v>
      </c>
      <c r="C16" s="200" t="s">
        <v>5310</v>
      </c>
      <c r="D16" s="200" t="s">
        <v>5464</v>
      </c>
      <c r="E16" s="201">
        <v>200.0</v>
      </c>
      <c r="F16" s="200">
        <v>1.0</v>
      </c>
      <c r="G16" s="200" t="s">
        <v>5591</v>
      </c>
      <c r="H16" s="202" t="s">
        <v>5671</v>
      </c>
      <c r="Q16" s="9"/>
      <c r="R16" s="9"/>
      <c r="S16" s="9"/>
      <c r="T16" s="9"/>
    </row>
    <row r="17" ht="19.5" customHeight="1">
      <c r="A17" s="198">
        <v>45747.0</v>
      </c>
      <c r="B17" s="200" t="s">
        <v>5670</v>
      </c>
      <c r="C17" s="200" t="s">
        <v>5310</v>
      </c>
      <c r="D17" s="200" t="s">
        <v>5464</v>
      </c>
      <c r="E17" s="201">
        <v>200.0</v>
      </c>
      <c r="F17" s="200">
        <v>1.0</v>
      </c>
      <c r="G17" s="200" t="s">
        <v>5332</v>
      </c>
      <c r="H17" s="202" t="s">
        <v>5671</v>
      </c>
      <c r="Q17" s="9"/>
      <c r="R17" s="9"/>
      <c r="S17" s="9"/>
      <c r="T17" s="9"/>
    </row>
    <row r="18" ht="19.5" customHeight="1">
      <c r="A18" s="198">
        <v>45747.0</v>
      </c>
      <c r="B18" s="200" t="s">
        <v>5670</v>
      </c>
      <c r="C18" s="200" t="s">
        <v>5310</v>
      </c>
      <c r="D18" s="200" t="s">
        <v>5464</v>
      </c>
      <c r="E18" s="201">
        <v>200.0</v>
      </c>
      <c r="F18" s="200">
        <v>1.0</v>
      </c>
      <c r="G18" s="200" t="s">
        <v>5370</v>
      </c>
      <c r="H18" s="202" t="s">
        <v>5671</v>
      </c>
      <c r="Q18" s="9"/>
      <c r="R18" s="9"/>
      <c r="S18" s="9"/>
      <c r="T18" s="9"/>
    </row>
    <row r="19" ht="19.5" customHeight="1">
      <c r="A19" s="198">
        <v>45747.0</v>
      </c>
      <c r="B19" s="200" t="s">
        <v>5670</v>
      </c>
      <c r="C19" s="200" t="s">
        <v>5310</v>
      </c>
      <c r="D19" s="200" t="s">
        <v>5464</v>
      </c>
      <c r="E19" s="201">
        <v>200.0</v>
      </c>
      <c r="F19" s="200">
        <v>1.0</v>
      </c>
      <c r="G19" s="200" t="s">
        <v>5371</v>
      </c>
      <c r="H19" s="202" t="s">
        <v>5671</v>
      </c>
      <c r="Q19" s="9"/>
      <c r="R19" s="9"/>
      <c r="S19" s="9"/>
      <c r="T19" s="9"/>
    </row>
    <row r="20" ht="19.5" customHeight="1">
      <c r="A20" s="198">
        <v>45747.0</v>
      </c>
      <c r="B20" s="200" t="s">
        <v>5670</v>
      </c>
      <c r="C20" s="200" t="s">
        <v>5310</v>
      </c>
      <c r="D20" s="200" t="s">
        <v>5464</v>
      </c>
      <c r="E20" s="201">
        <v>200.0</v>
      </c>
      <c r="F20" s="200">
        <v>1.0</v>
      </c>
      <c r="G20" s="200" t="s">
        <v>5372</v>
      </c>
      <c r="H20" s="202" t="s">
        <v>5671</v>
      </c>
      <c r="Q20" s="9"/>
      <c r="R20" s="9"/>
      <c r="S20" s="9"/>
      <c r="T20" s="9"/>
    </row>
    <row r="21" ht="19.5" customHeight="1">
      <c r="A21" s="198">
        <v>45747.0</v>
      </c>
      <c r="B21" s="200" t="s">
        <v>5670</v>
      </c>
      <c r="C21" s="200" t="s">
        <v>5310</v>
      </c>
      <c r="D21" s="200" t="s">
        <v>5464</v>
      </c>
      <c r="E21" s="201">
        <v>200.0</v>
      </c>
      <c r="F21" s="200">
        <v>1.0</v>
      </c>
      <c r="G21" s="200" t="s">
        <v>5592</v>
      </c>
      <c r="H21" s="202" t="s">
        <v>5671</v>
      </c>
      <c r="Q21" s="9"/>
      <c r="R21" s="9"/>
      <c r="S21" s="9"/>
      <c r="T21" s="9"/>
    </row>
    <row r="22" ht="19.5" customHeight="1">
      <c r="A22" s="198">
        <v>45747.0</v>
      </c>
      <c r="B22" s="200" t="s">
        <v>5670</v>
      </c>
      <c r="C22" s="200" t="s">
        <v>5310</v>
      </c>
      <c r="D22" s="200" t="s">
        <v>5464</v>
      </c>
      <c r="E22" s="201">
        <v>200.0</v>
      </c>
      <c r="F22" s="200">
        <v>1.0</v>
      </c>
      <c r="G22" s="200" t="s">
        <v>5412</v>
      </c>
      <c r="H22" s="202" t="s">
        <v>5671</v>
      </c>
      <c r="Q22" s="9"/>
      <c r="R22" s="9"/>
      <c r="S22" s="9"/>
      <c r="T22" s="9"/>
    </row>
    <row r="23" ht="19.5" customHeight="1">
      <c r="A23" s="198">
        <v>45747.0</v>
      </c>
      <c r="B23" s="200" t="s">
        <v>5670</v>
      </c>
      <c r="C23" s="200" t="s">
        <v>5310</v>
      </c>
      <c r="D23" s="200" t="s">
        <v>5464</v>
      </c>
      <c r="E23" s="201">
        <v>200.0</v>
      </c>
      <c r="F23" s="200">
        <v>1.0</v>
      </c>
      <c r="G23" s="200" t="s">
        <v>5413</v>
      </c>
      <c r="H23" s="202" t="s">
        <v>5671</v>
      </c>
      <c r="Q23" s="9"/>
      <c r="R23" s="9"/>
      <c r="S23" s="9"/>
      <c r="T23" s="9"/>
    </row>
    <row r="24" ht="19.5" customHeight="1">
      <c r="A24" s="198">
        <v>45747.0</v>
      </c>
      <c r="B24" s="200" t="s">
        <v>5670</v>
      </c>
      <c r="C24" s="200" t="s">
        <v>5310</v>
      </c>
      <c r="D24" s="200" t="s">
        <v>5464</v>
      </c>
      <c r="E24" s="201">
        <v>200.0</v>
      </c>
      <c r="F24" s="200">
        <v>1.0</v>
      </c>
      <c r="G24" s="200" t="s">
        <v>5606</v>
      </c>
      <c r="H24" s="202" t="s">
        <v>5671</v>
      </c>
      <c r="Q24" s="9"/>
      <c r="R24" s="9"/>
      <c r="S24" s="9"/>
      <c r="T24" s="9"/>
    </row>
    <row r="25" ht="19.5" customHeight="1">
      <c r="A25" s="198">
        <v>45747.0</v>
      </c>
      <c r="B25" s="200" t="s">
        <v>5670</v>
      </c>
      <c r="C25" s="200" t="s">
        <v>5310</v>
      </c>
      <c r="D25" s="200" t="s">
        <v>5464</v>
      </c>
      <c r="E25" s="201">
        <v>200.0</v>
      </c>
      <c r="F25" s="200">
        <v>1.0</v>
      </c>
      <c r="G25" s="200" t="s">
        <v>5605</v>
      </c>
      <c r="H25" s="202" t="s">
        <v>5671</v>
      </c>
      <c r="Q25" s="9"/>
      <c r="R25" s="9"/>
      <c r="S25" s="9"/>
      <c r="T25" s="9"/>
    </row>
    <row r="26" ht="19.5" customHeight="1">
      <c r="A26" s="198">
        <v>45747.0</v>
      </c>
      <c r="B26" s="200" t="s">
        <v>5672</v>
      </c>
      <c r="C26" s="199" t="s">
        <v>219</v>
      </c>
      <c r="D26" s="200" t="s">
        <v>218</v>
      </c>
      <c r="E26" s="201">
        <v>200.0</v>
      </c>
      <c r="F26" s="200">
        <v>0.0</v>
      </c>
      <c r="G26" s="200" t="s">
        <v>5571</v>
      </c>
      <c r="H26" s="202" t="s">
        <v>5673</v>
      </c>
      <c r="Q26" s="9"/>
      <c r="R26" s="9"/>
      <c r="S26" s="9"/>
      <c r="T26" s="9"/>
    </row>
    <row r="27" ht="19.5" customHeight="1">
      <c r="A27" s="198">
        <v>45747.0</v>
      </c>
      <c r="B27" s="200" t="s">
        <v>5672</v>
      </c>
      <c r="C27" s="199" t="s">
        <v>219</v>
      </c>
      <c r="D27" s="200" t="s">
        <v>218</v>
      </c>
      <c r="E27" s="201">
        <v>200.0</v>
      </c>
      <c r="F27" s="200">
        <v>0.0</v>
      </c>
      <c r="G27" s="200" t="s">
        <v>5342</v>
      </c>
      <c r="H27" s="202" t="s">
        <v>5673</v>
      </c>
      <c r="Q27" s="9"/>
      <c r="R27" s="9"/>
      <c r="S27" s="9"/>
      <c r="T27" s="9"/>
    </row>
    <row r="28" ht="19.5" customHeight="1">
      <c r="A28" s="198">
        <v>45747.0</v>
      </c>
      <c r="B28" s="200" t="s">
        <v>5672</v>
      </c>
      <c r="C28" s="199" t="s">
        <v>219</v>
      </c>
      <c r="D28" s="200" t="s">
        <v>218</v>
      </c>
      <c r="E28" s="201">
        <v>200.0</v>
      </c>
      <c r="F28" s="200">
        <v>0.0</v>
      </c>
      <c r="G28" s="200" t="s">
        <v>5572</v>
      </c>
      <c r="H28" s="202" t="s">
        <v>5673</v>
      </c>
      <c r="Q28" s="9"/>
      <c r="R28" s="9"/>
      <c r="S28" s="9"/>
      <c r="T28" s="9"/>
    </row>
    <row r="29" ht="19.5" customHeight="1">
      <c r="A29" s="198">
        <v>45747.0</v>
      </c>
      <c r="B29" s="200" t="s">
        <v>5672</v>
      </c>
      <c r="C29" s="199" t="s">
        <v>219</v>
      </c>
      <c r="D29" s="200" t="s">
        <v>218</v>
      </c>
      <c r="E29" s="201">
        <v>175.0</v>
      </c>
      <c r="F29" s="200">
        <v>0.0</v>
      </c>
      <c r="G29" s="200" t="s">
        <v>5345</v>
      </c>
      <c r="H29" s="202" t="s">
        <v>5673</v>
      </c>
      <c r="Q29" s="9"/>
      <c r="R29" s="9"/>
      <c r="S29" s="9"/>
      <c r="T29" s="9"/>
    </row>
    <row r="30" ht="19.5" customHeight="1">
      <c r="A30" s="198">
        <v>45747.0</v>
      </c>
      <c r="B30" s="200" t="s">
        <v>5672</v>
      </c>
      <c r="C30" s="199" t="s">
        <v>219</v>
      </c>
      <c r="D30" s="200" t="s">
        <v>218</v>
      </c>
      <c r="E30" s="201">
        <v>200.0</v>
      </c>
      <c r="F30" s="200">
        <v>0.0</v>
      </c>
      <c r="G30" s="200" t="s">
        <v>5573</v>
      </c>
      <c r="H30" s="202" t="s">
        <v>5673</v>
      </c>
      <c r="Q30" s="9"/>
      <c r="R30" s="9"/>
      <c r="S30" s="9"/>
      <c r="T30" s="9"/>
    </row>
    <row r="31" ht="19.5" customHeight="1">
      <c r="A31" s="198">
        <v>45749.0</v>
      </c>
      <c r="B31" s="200" t="s">
        <v>5674</v>
      </c>
      <c r="C31" s="199" t="s">
        <v>5465</v>
      </c>
      <c r="D31" s="200" t="s">
        <v>5675</v>
      </c>
      <c r="E31" s="201">
        <v>1.0</v>
      </c>
      <c r="F31" s="200">
        <v>0.0</v>
      </c>
      <c r="G31" s="199" t="s">
        <v>5551</v>
      </c>
      <c r="H31" s="202" t="s">
        <v>5676</v>
      </c>
      <c r="Q31" s="9"/>
      <c r="R31" s="9"/>
      <c r="S31" s="9"/>
      <c r="T31" s="9"/>
    </row>
    <row r="32" ht="19.5" customHeight="1">
      <c r="A32" s="198">
        <v>45749.0</v>
      </c>
      <c r="B32" s="200" t="s">
        <v>5674</v>
      </c>
      <c r="C32" s="199" t="s">
        <v>207</v>
      </c>
      <c r="D32" s="200" t="s">
        <v>206</v>
      </c>
      <c r="E32" s="201">
        <v>1.0</v>
      </c>
      <c r="F32" s="200">
        <v>0.0</v>
      </c>
      <c r="G32" s="200" t="s">
        <v>5562</v>
      </c>
      <c r="H32" s="202" t="s">
        <v>5676</v>
      </c>
      <c r="Q32" s="9"/>
      <c r="R32" s="9"/>
      <c r="S32" s="9"/>
      <c r="T32" s="9"/>
    </row>
    <row r="33" ht="19.5" customHeight="1">
      <c r="A33" s="198">
        <v>45749.0</v>
      </c>
      <c r="B33" s="200" t="s">
        <v>5674</v>
      </c>
      <c r="C33" s="200" t="s">
        <v>5317</v>
      </c>
      <c r="D33" s="200" t="s">
        <v>5318</v>
      </c>
      <c r="E33" s="201">
        <v>1.0</v>
      </c>
      <c r="F33" s="200">
        <v>0.0</v>
      </c>
      <c r="G33" s="200" t="s">
        <v>5319</v>
      </c>
      <c r="H33" s="202" t="s">
        <v>5676</v>
      </c>
      <c r="Q33" s="9"/>
      <c r="R33" s="9"/>
      <c r="S33" s="9"/>
      <c r="T33" s="9"/>
    </row>
    <row r="34" ht="19.5" customHeight="1">
      <c r="A34" s="198">
        <v>45749.0</v>
      </c>
      <c r="B34" s="200" t="s">
        <v>5674</v>
      </c>
      <c r="C34" s="199" t="s">
        <v>213</v>
      </c>
      <c r="D34" s="200" t="s">
        <v>212</v>
      </c>
      <c r="E34" s="201">
        <v>1.0</v>
      </c>
      <c r="F34" s="200">
        <v>0.0</v>
      </c>
      <c r="G34" s="200" t="s">
        <v>5326</v>
      </c>
      <c r="H34" s="202" t="s">
        <v>5676</v>
      </c>
      <c r="Q34" s="9"/>
      <c r="R34" s="9"/>
      <c r="S34" s="9"/>
      <c r="T34" s="9"/>
    </row>
    <row r="35" ht="19.5" customHeight="1">
      <c r="A35" s="198">
        <v>45749.0</v>
      </c>
      <c r="B35" s="200" t="s">
        <v>5674</v>
      </c>
      <c r="C35" s="200" t="s">
        <v>5351</v>
      </c>
      <c r="D35" s="200" t="s">
        <v>5352</v>
      </c>
      <c r="E35" s="201">
        <v>1.0</v>
      </c>
      <c r="F35" s="200">
        <v>0.0</v>
      </c>
      <c r="G35" s="200" t="s">
        <v>5350</v>
      </c>
      <c r="H35" s="202" t="s">
        <v>5676</v>
      </c>
      <c r="Q35" s="9"/>
      <c r="R35" s="9"/>
      <c r="S35" s="9"/>
      <c r="T35" s="9"/>
    </row>
    <row r="36" ht="19.5" customHeight="1">
      <c r="A36" s="198">
        <v>45749.0</v>
      </c>
      <c r="B36" s="200" t="s">
        <v>5674</v>
      </c>
      <c r="C36" s="200" t="s">
        <v>5323</v>
      </c>
      <c r="D36" s="200" t="s">
        <v>5324</v>
      </c>
      <c r="E36" s="201">
        <v>1.0</v>
      </c>
      <c r="F36" s="200">
        <v>0.0</v>
      </c>
      <c r="G36" s="200" t="s">
        <v>5325</v>
      </c>
      <c r="H36" s="202" t="s">
        <v>5676</v>
      </c>
      <c r="Q36" s="9"/>
      <c r="R36" s="9"/>
      <c r="S36" s="9"/>
      <c r="T36" s="9"/>
    </row>
    <row r="37" ht="19.5" customHeight="1">
      <c r="A37" s="198">
        <v>45749.0</v>
      </c>
      <c r="B37" s="200" t="s">
        <v>5674</v>
      </c>
      <c r="C37" s="199" t="s">
        <v>5488</v>
      </c>
      <c r="D37" s="200" t="s">
        <v>5348</v>
      </c>
      <c r="E37" s="201">
        <v>1.0</v>
      </c>
      <c r="F37" s="200">
        <v>0.0</v>
      </c>
      <c r="G37" s="200" t="s">
        <v>5429</v>
      </c>
      <c r="H37" s="202" t="s">
        <v>5676</v>
      </c>
      <c r="Q37" s="9"/>
      <c r="R37" s="9"/>
      <c r="S37" s="9"/>
      <c r="T37" s="9"/>
    </row>
    <row r="38" ht="19.5" customHeight="1">
      <c r="A38" s="198">
        <v>45749.0</v>
      </c>
      <c r="B38" s="200" t="s">
        <v>5674</v>
      </c>
      <c r="C38" s="199" t="s">
        <v>5481</v>
      </c>
      <c r="D38" s="200" t="s">
        <v>5388</v>
      </c>
      <c r="E38" s="201">
        <v>1.0</v>
      </c>
      <c r="F38" s="200">
        <v>0.0</v>
      </c>
      <c r="G38" s="200" t="s">
        <v>5381</v>
      </c>
      <c r="H38" s="202" t="s">
        <v>5676</v>
      </c>
      <c r="Q38" s="9"/>
      <c r="R38" s="9"/>
      <c r="S38" s="9"/>
      <c r="T38" s="9"/>
    </row>
    <row r="39" ht="19.5" customHeight="1">
      <c r="A39" s="198">
        <v>45749.0</v>
      </c>
      <c r="B39" s="200" t="s">
        <v>5674</v>
      </c>
      <c r="C39" s="199" t="s">
        <v>5481</v>
      </c>
      <c r="D39" s="200" t="s">
        <v>5388</v>
      </c>
      <c r="E39" s="201">
        <v>1.0</v>
      </c>
      <c r="F39" s="200">
        <v>0.0</v>
      </c>
      <c r="G39" s="200" t="s">
        <v>5379</v>
      </c>
      <c r="H39" s="202" t="s">
        <v>5676</v>
      </c>
      <c r="Q39" s="9"/>
      <c r="R39" s="9"/>
      <c r="S39" s="9"/>
      <c r="T39" s="9"/>
    </row>
    <row r="40" ht="19.5" customHeight="1">
      <c r="A40" s="198">
        <v>45749.0</v>
      </c>
      <c r="B40" s="200" t="s">
        <v>5674</v>
      </c>
      <c r="C40" s="199" t="s">
        <v>5471</v>
      </c>
      <c r="D40" s="200" t="s">
        <v>5367</v>
      </c>
      <c r="E40" s="201">
        <v>1.0</v>
      </c>
      <c r="F40" s="200">
        <v>0.0</v>
      </c>
      <c r="G40" s="200" t="s">
        <v>5368</v>
      </c>
      <c r="H40" s="202" t="s">
        <v>5676</v>
      </c>
      <c r="Q40" s="9"/>
      <c r="R40" s="9"/>
      <c r="S40" s="9"/>
      <c r="T40" s="9"/>
    </row>
    <row r="41" ht="19.5" customHeight="1">
      <c r="A41" s="198">
        <v>45749.0</v>
      </c>
      <c r="B41" s="200" t="s">
        <v>5674</v>
      </c>
      <c r="C41" s="199" t="s">
        <v>225</v>
      </c>
      <c r="D41" s="200" t="s">
        <v>224</v>
      </c>
      <c r="E41" s="201">
        <v>1.0</v>
      </c>
      <c r="F41" s="200">
        <v>0.0</v>
      </c>
      <c r="G41" s="200" t="s">
        <v>5597</v>
      </c>
      <c r="H41" s="202" t="s">
        <v>5676</v>
      </c>
      <c r="Q41" s="9"/>
      <c r="R41" s="9"/>
      <c r="S41" s="9"/>
      <c r="T41" s="9"/>
    </row>
    <row r="42" ht="19.5" customHeight="1">
      <c r="A42" s="198">
        <v>45749.0</v>
      </c>
      <c r="B42" s="200" t="s">
        <v>5674</v>
      </c>
      <c r="C42" s="199" t="s">
        <v>5487</v>
      </c>
      <c r="D42" s="200" t="s">
        <v>5608</v>
      </c>
      <c r="E42" s="201">
        <v>1.0</v>
      </c>
      <c r="F42" s="200">
        <v>0.0</v>
      </c>
      <c r="G42" s="200" t="s">
        <v>5418</v>
      </c>
      <c r="H42" s="202" t="s">
        <v>5676</v>
      </c>
      <c r="Q42" s="9"/>
      <c r="R42" s="9"/>
      <c r="S42" s="9"/>
      <c r="T42" s="9"/>
    </row>
    <row r="43" ht="19.5" customHeight="1">
      <c r="A43" s="198">
        <v>45749.0</v>
      </c>
      <c r="B43" s="200" t="s">
        <v>5677</v>
      </c>
      <c r="C43" s="199" t="s">
        <v>5465</v>
      </c>
      <c r="D43" s="200" t="s">
        <v>5675</v>
      </c>
      <c r="E43" s="201">
        <v>1.0</v>
      </c>
      <c r="F43" s="200">
        <v>0.0</v>
      </c>
      <c r="G43" s="199" t="s">
        <v>5551</v>
      </c>
      <c r="H43" s="202" t="s">
        <v>5653</v>
      </c>
      <c r="Q43" s="9"/>
      <c r="R43" s="9"/>
      <c r="S43" s="9"/>
      <c r="T43" s="9"/>
    </row>
    <row r="44" ht="19.5" customHeight="1">
      <c r="A44" s="198">
        <v>45755.0</v>
      </c>
      <c r="B44" s="199" t="s">
        <v>5678</v>
      </c>
      <c r="C44" s="199" t="s">
        <v>231</v>
      </c>
      <c r="D44" s="200" t="s">
        <v>230</v>
      </c>
      <c r="E44" s="201">
        <v>300.0</v>
      </c>
      <c r="F44" s="200">
        <v>1.0</v>
      </c>
      <c r="G44" s="199" t="s">
        <v>5679</v>
      </c>
      <c r="H44" s="202" t="s">
        <v>5669</v>
      </c>
      <c r="Q44" s="9"/>
      <c r="R44" s="9"/>
      <c r="S44" s="9"/>
      <c r="T44" s="9"/>
    </row>
    <row r="45" ht="19.5" customHeight="1">
      <c r="A45" s="198">
        <v>45755.0</v>
      </c>
      <c r="B45" s="199" t="s">
        <v>5678</v>
      </c>
      <c r="C45" s="199" t="s">
        <v>240</v>
      </c>
      <c r="D45" s="200" t="s">
        <v>239</v>
      </c>
      <c r="E45" s="201">
        <v>500.0</v>
      </c>
      <c r="F45" s="200">
        <v>0.0</v>
      </c>
      <c r="G45" s="200" t="s">
        <v>5625</v>
      </c>
      <c r="H45" s="202" t="s">
        <v>5669</v>
      </c>
      <c r="Q45" s="9"/>
      <c r="R45" s="9"/>
      <c r="S45" s="9"/>
      <c r="T45" s="9"/>
    </row>
    <row r="46" ht="19.5" customHeight="1">
      <c r="A46" s="198">
        <v>45756.0</v>
      </c>
      <c r="B46" s="200" t="s">
        <v>5680</v>
      </c>
      <c r="C46" s="200" t="s">
        <v>5323</v>
      </c>
      <c r="D46" s="200" t="s">
        <v>5324</v>
      </c>
      <c r="E46" s="201">
        <v>225.0</v>
      </c>
      <c r="F46" s="200">
        <v>0.0</v>
      </c>
      <c r="G46" s="199" t="s">
        <v>5338</v>
      </c>
      <c r="H46" s="202" t="s">
        <v>5681</v>
      </c>
      <c r="Q46" s="9"/>
      <c r="R46" s="9"/>
      <c r="S46" s="9"/>
      <c r="T46" s="9"/>
    </row>
    <row r="47" ht="19.5" customHeight="1">
      <c r="A47" s="198">
        <v>45756.0</v>
      </c>
      <c r="B47" s="200" t="s">
        <v>5680</v>
      </c>
      <c r="C47" s="200" t="s">
        <v>5351</v>
      </c>
      <c r="D47" s="200" t="s">
        <v>5352</v>
      </c>
      <c r="E47" s="201">
        <v>185.0</v>
      </c>
      <c r="F47" s="200">
        <v>0.0</v>
      </c>
      <c r="G47" s="199" t="s">
        <v>5682</v>
      </c>
      <c r="H47" s="202" t="s">
        <v>5681</v>
      </c>
      <c r="Q47" s="9"/>
      <c r="R47" s="9"/>
      <c r="S47" s="9"/>
      <c r="T47" s="9"/>
    </row>
    <row r="48" ht="19.5" customHeight="1">
      <c r="A48" s="198">
        <v>45756.0</v>
      </c>
      <c r="B48" s="200" t="s">
        <v>5680</v>
      </c>
      <c r="C48" s="200" t="s">
        <v>5317</v>
      </c>
      <c r="D48" s="200" t="s">
        <v>5318</v>
      </c>
      <c r="E48" s="201">
        <v>319.0</v>
      </c>
      <c r="F48" s="200">
        <v>0.0</v>
      </c>
      <c r="G48" s="200" t="s">
        <v>5325</v>
      </c>
      <c r="H48" s="202" t="s">
        <v>5681</v>
      </c>
      <c r="Q48" s="9"/>
      <c r="R48" s="9"/>
      <c r="S48" s="9"/>
      <c r="T48" s="9"/>
    </row>
    <row r="49" ht="19.5" customHeight="1">
      <c r="A49" s="198">
        <v>45756.0</v>
      </c>
      <c r="B49" s="200" t="s">
        <v>5680</v>
      </c>
      <c r="C49" s="199" t="s">
        <v>5488</v>
      </c>
      <c r="D49" s="200" t="s">
        <v>5348</v>
      </c>
      <c r="E49" s="201">
        <v>2.0</v>
      </c>
      <c r="F49" s="200">
        <v>0.0</v>
      </c>
      <c r="G49" s="200" t="s">
        <v>5429</v>
      </c>
      <c r="H49" s="202" t="s">
        <v>5681</v>
      </c>
      <c r="Q49" s="9"/>
      <c r="R49" s="9"/>
      <c r="S49" s="9"/>
      <c r="T49" s="9"/>
    </row>
    <row r="50" ht="19.5" customHeight="1">
      <c r="A50" s="198">
        <v>45756.0</v>
      </c>
      <c r="B50" s="200" t="s">
        <v>5680</v>
      </c>
      <c r="C50" s="200" t="s">
        <v>5351</v>
      </c>
      <c r="D50" s="200" t="s">
        <v>5352</v>
      </c>
      <c r="E50" s="201">
        <v>175.0</v>
      </c>
      <c r="F50" s="200">
        <v>0.0</v>
      </c>
      <c r="G50" s="200" t="s">
        <v>5347</v>
      </c>
      <c r="H50" s="202" t="s">
        <v>5681</v>
      </c>
      <c r="Q50" s="9"/>
      <c r="R50" s="9"/>
      <c r="S50" s="9"/>
      <c r="T50" s="9"/>
    </row>
    <row r="51" ht="19.5" customHeight="1">
      <c r="A51" s="198">
        <v>45756.0</v>
      </c>
      <c r="B51" s="200" t="s">
        <v>5680</v>
      </c>
      <c r="C51" s="199" t="s">
        <v>5481</v>
      </c>
      <c r="D51" s="200" t="s">
        <v>5388</v>
      </c>
      <c r="E51" s="201">
        <v>15.0</v>
      </c>
      <c r="F51" s="200">
        <v>0.0</v>
      </c>
      <c r="G51" s="200" t="s">
        <v>5386</v>
      </c>
      <c r="H51" s="202" t="s">
        <v>5681</v>
      </c>
      <c r="Q51" s="9"/>
      <c r="R51" s="9"/>
      <c r="S51" s="9"/>
      <c r="T51" s="9"/>
    </row>
    <row r="52" ht="19.5" customHeight="1">
      <c r="A52" s="198">
        <v>45756.0</v>
      </c>
      <c r="B52" s="200" t="s">
        <v>5680</v>
      </c>
      <c r="C52" s="199" t="s">
        <v>5481</v>
      </c>
      <c r="D52" s="200" t="s">
        <v>5388</v>
      </c>
      <c r="E52" s="201">
        <v>45.0</v>
      </c>
      <c r="F52" s="200">
        <v>0.0</v>
      </c>
      <c r="G52" s="200" t="s">
        <v>5387</v>
      </c>
      <c r="H52" s="202" t="s">
        <v>5681</v>
      </c>
      <c r="Q52" s="9"/>
      <c r="R52" s="9"/>
      <c r="S52" s="9"/>
      <c r="T52" s="9"/>
    </row>
    <row r="53" ht="19.5" customHeight="1">
      <c r="A53" s="198">
        <v>45756.0</v>
      </c>
      <c r="B53" s="200" t="s">
        <v>5680</v>
      </c>
      <c r="C53" s="199" t="s">
        <v>5483</v>
      </c>
      <c r="D53" s="200" t="s">
        <v>5377</v>
      </c>
      <c r="E53" s="201">
        <v>35.0</v>
      </c>
      <c r="F53" s="200">
        <v>0.0</v>
      </c>
      <c r="G53" s="200" t="s">
        <v>5376</v>
      </c>
      <c r="H53" s="202" t="s">
        <v>5681</v>
      </c>
      <c r="Q53" s="9"/>
      <c r="R53" s="9"/>
      <c r="S53" s="9"/>
      <c r="T53" s="9"/>
    </row>
    <row r="54" ht="19.5" customHeight="1">
      <c r="A54" s="198">
        <v>45756.0</v>
      </c>
      <c r="B54" s="200" t="s">
        <v>5680</v>
      </c>
      <c r="C54" s="199" t="s">
        <v>5483</v>
      </c>
      <c r="D54" s="200" t="s">
        <v>5377</v>
      </c>
      <c r="E54" s="201">
        <v>40.0</v>
      </c>
      <c r="F54" s="200">
        <v>0.0</v>
      </c>
      <c r="G54" s="200" t="s">
        <v>5381</v>
      </c>
      <c r="H54" s="202" t="s">
        <v>5681</v>
      </c>
      <c r="Q54" s="9"/>
      <c r="R54" s="9"/>
      <c r="S54" s="9"/>
      <c r="T54" s="9"/>
    </row>
    <row r="55" ht="19.5" customHeight="1">
      <c r="A55" s="198">
        <v>45756.0</v>
      </c>
      <c r="B55" s="200" t="s">
        <v>5680</v>
      </c>
      <c r="C55" s="199" t="s">
        <v>5481</v>
      </c>
      <c r="D55" s="200" t="s">
        <v>5388</v>
      </c>
      <c r="E55" s="201">
        <v>13.0</v>
      </c>
      <c r="F55" s="200">
        <v>0.0</v>
      </c>
      <c r="G55" s="200" t="s">
        <v>5379</v>
      </c>
      <c r="H55" s="202" t="s">
        <v>5681</v>
      </c>
      <c r="Q55" s="9"/>
      <c r="R55" s="9"/>
      <c r="S55" s="9"/>
      <c r="T55" s="9"/>
    </row>
    <row r="56" ht="19.5" customHeight="1">
      <c r="A56" s="198">
        <v>45756.0</v>
      </c>
      <c r="B56" s="200" t="s">
        <v>5680</v>
      </c>
      <c r="C56" s="200" t="s">
        <v>5323</v>
      </c>
      <c r="D56" s="200" t="s">
        <v>5324</v>
      </c>
      <c r="E56" s="201">
        <v>225.0</v>
      </c>
      <c r="F56" s="200">
        <v>0.0</v>
      </c>
      <c r="G56" s="199" t="s">
        <v>5338</v>
      </c>
      <c r="H56" s="202" t="s">
        <v>5681</v>
      </c>
      <c r="Q56" s="9"/>
      <c r="R56" s="9"/>
      <c r="S56" s="9"/>
      <c r="T56" s="9"/>
    </row>
    <row r="57" ht="19.5" customHeight="1">
      <c r="A57" s="198">
        <v>45756.0</v>
      </c>
      <c r="B57" s="200" t="s">
        <v>5680</v>
      </c>
      <c r="C57" s="200" t="s">
        <v>5351</v>
      </c>
      <c r="D57" s="200" t="s">
        <v>5352</v>
      </c>
      <c r="E57" s="201">
        <v>185.0</v>
      </c>
      <c r="F57" s="200">
        <v>0.0</v>
      </c>
      <c r="G57" s="199" t="s">
        <v>5682</v>
      </c>
      <c r="H57" s="202" t="s">
        <v>5681</v>
      </c>
      <c r="Q57" s="9"/>
      <c r="R57" s="9"/>
      <c r="S57" s="9"/>
      <c r="T57" s="9"/>
    </row>
    <row r="58" ht="19.5" customHeight="1">
      <c r="A58" s="198">
        <v>45756.0</v>
      </c>
      <c r="B58" s="200" t="s">
        <v>5680</v>
      </c>
      <c r="C58" s="199" t="s">
        <v>5479</v>
      </c>
      <c r="D58" s="200" t="s">
        <v>5314</v>
      </c>
      <c r="E58" s="201">
        <v>4.0</v>
      </c>
      <c r="F58" s="200">
        <v>0.0</v>
      </c>
      <c r="G58" s="200" t="s">
        <v>5315</v>
      </c>
      <c r="H58" s="202" t="s">
        <v>5681</v>
      </c>
      <c r="Q58" s="9"/>
      <c r="R58" s="9"/>
      <c r="S58" s="9"/>
      <c r="T58" s="9"/>
    </row>
    <row r="59" ht="19.5" customHeight="1">
      <c r="A59" s="198">
        <v>45756.0</v>
      </c>
      <c r="B59" s="200" t="s">
        <v>5680</v>
      </c>
      <c r="C59" s="200" t="s">
        <v>5317</v>
      </c>
      <c r="D59" s="200" t="s">
        <v>5318</v>
      </c>
      <c r="E59" s="201">
        <v>319.0</v>
      </c>
      <c r="F59" s="200">
        <v>0.0</v>
      </c>
      <c r="G59" s="200" t="s">
        <v>5325</v>
      </c>
      <c r="H59" s="202" t="s">
        <v>5681</v>
      </c>
      <c r="Q59" s="9"/>
      <c r="R59" s="9"/>
      <c r="S59" s="9"/>
      <c r="T59" s="9"/>
    </row>
    <row r="60" ht="19.5" customHeight="1">
      <c r="A60" s="198">
        <v>45756.0</v>
      </c>
      <c r="B60" s="200" t="s">
        <v>5680</v>
      </c>
      <c r="C60" s="199" t="s">
        <v>5488</v>
      </c>
      <c r="D60" s="200" t="s">
        <v>5348</v>
      </c>
      <c r="E60" s="201">
        <v>2.0</v>
      </c>
      <c r="F60" s="200">
        <v>0.0</v>
      </c>
      <c r="G60" s="200" t="s">
        <v>5429</v>
      </c>
      <c r="H60" s="202" t="s">
        <v>5681</v>
      </c>
      <c r="Q60" s="9"/>
      <c r="R60" s="9"/>
      <c r="S60" s="9"/>
      <c r="T60" s="9"/>
    </row>
    <row r="61" ht="19.5" customHeight="1">
      <c r="A61" s="198">
        <v>45756.0</v>
      </c>
      <c r="B61" s="200" t="s">
        <v>5680</v>
      </c>
      <c r="C61" s="200" t="s">
        <v>5351</v>
      </c>
      <c r="D61" s="200" t="s">
        <v>5352</v>
      </c>
      <c r="E61" s="201">
        <v>175.0</v>
      </c>
      <c r="F61" s="200">
        <v>0.0</v>
      </c>
      <c r="G61" s="200" t="s">
        <v>5347</v>
      </c>
      <c r="H61" s="202" t="s">
        <v>5681</v>
      </c>
      <c r="Q61" s="9"/>
      <c r="R61" s="9"/>
      <c r="S61" s="9"/>
      <c r="T61" s="9"/>
    </row>
    <row r="62" ht="19.5" customHeight="1">
      <c r="A62" s="198">
        <v>45756.0</v>
      </c>
      <c r="B62" s="200" t="s">
        <v>5680</v>
      </c>
      <c r="C62" s="199" t="s">
        <v>5683</v>
      </c>
      <c r="D62" s="200" t="s">
        <v>5380</v>
      </c>
      <c r="E62" s="201">
        <v>24.0</v>
      </c>
      <c r="F62" s="200">
        <v>0.0</v>
      </c>
      <c r="G62" s="200" t="s">
        <v>5684</v>
      </c>
      <c r="H62" s="202" t="s">
        <v>5681</v>
      </c>
      <c r="Q62" s="9"/>
      <c r="R62" s="9"/>
      <c r="S62" s="9"/>
      <c r="T62" s="9"/>
    </row>
    <row r="63" ht="19.5" customHeight="1">
      <c r="A63" s="198">
        <v>45756.0</v>
      </c>
      <c r="B63" s="200" t="s">
        <v>5680</v>
      </c>
      <c r="C63" s="199" t="s">
        <v>5481</v>
      </c>
      <c r="D63" s="200" t="s">
        <v>5388</v>
      </c>
      <c r="E63" s="201">
        <v>15.0</v>
      </c>
      <c r="F63" s="200">
        <v>0.0</v>
      </c>
      <c r="G63" s="200" t="s">
        <v>5386</v>
      </c>
      <c r="H63" s="202" t="s">
        <v>5681</v>
      </c>
      <c r="Q63" s="9"/>
      <c r="R63" s="9"/>
      <c r="S63" s="9"/>
      <c r="T63" s="9"/>
    </row>
    <row r="64" ht="19.5" customHeight="1">
      <c r="A64" s="198">
        <v>45756.0</v>
      </c>
      <c r="B64" s="200" t="s">
        <v>5680</v>
      </c>
      <c r="C64" s="199" t="s">
        <v>5456</v>
      </c>
      <c r="D64" s="200" t="s">
        <v>5457</v>
      </c>
      <c r="E64" s="201">
        <v>15.0</v>
      </c>
      <c r="F64" s="200">
        <v>0.0</v>
      </c>
      <c r="G64" s="200" t="s">
        <v>5685</v>
      </c>
      <c r="H64" s="202" t="s">
        <v>5681</v>
      </c>
      <c r="Q64" s="9"/>
      <c r="R64" s="9"/>
      <c r="S64" s="9"/>
      <c r="T64" s="9"/>
    </row>
    <row r="65" ht="19.5" customHeight="1">
      <c r="A65" s="198">
        <v>45756.0</v>
      </c>
      <c r="B65" s="200" t="s">
        <v>5680</v>
      </c>
      <c r="C65" s="199" t="s">
        <v>5481</v>
      </c>
      <c r="D65" s="200" t="s">
        <v>5388</v>
      </c>
      <c r="E65" s="201">
        <v>45.0</v>
      </c>
      <c r="F65" s="200">
        <v>0.0</v>
      </c>
      <c r="G65" s="200" t="s">
        <v>5387</v>
      </c>
      <c r="H65" s="202" t="s">
        <v>5681</v>
      </c>
      <c r="Q65" s="9"/>
      <c r="R65" s="9"/>
      <c r="S65" s="9"/>
      <c r="T65" s="9"/>
    </row>
    <row r="66" ht="19.5" customHeight="1">
      <c r="A66" s="198">
        <v>45756.0</v>
      </c>
      <c r="B66" s="200" t="s">
        <v>5680</v>
      </c>
      <c r="C66" s="199" t="s">
        <v>5459</v>
      </c>
      <c r="D66" s="200" t="s">
        <v>5460</v>
      </c>
      <c r="E66" s="201">
        <v>20.0</v>
      </c>
      <c r="F66" s="200">
        <v>0.0</v>
      </c>
      <c r="G66" s="200" t="s">
        <v>5686</v>
      </c>
      <c r="H66" s="202" t="s">
        <v>5681</v>
      </c>
      <c r="Q66" s="9"/>
      <c r="R66" s="9"/>
      <c r="S66" s="9"/>
      <c r="T66" s="9"/>
    </row>
    <row r="67" ht="19.5" customHeight="1">
      <c r="A67" s="198">
        <v>45756.0</v>
      </c>
      <c r="B67" s="200" t="s">
        <v>5680</v>
      </c>
      <c r="C67" s="199" t="s">
        <v>5483</v>
      </c>
      <c r="D67" s="200" t="s">
        <v>5377</v>
      </c>
      <c r="E67" s="201">
        <v>35.0</v>
      </c>
      <c r="F67" s="200">
        <v>0.0</v>
      </c>
      <c r="G67" s="200" t="s">
        <v>5376</v>
      </c>
      <c r="H67" s="202" t="s">
        <v>5681</v>
      </c>
      <c r="Q67" s="9"/>
      <c r="R67" s="9"/>
      <c r="S67" s="9"/>
      <c r="T67" s="9"/>
    </row>
    <row r="68" ht="19.5" customHeight="1">
      <c r="A68" s="198">
        <v>45756.0</v>
      </c>
      <c r="B68" s="200" t="s">
        <v>5680</v>
      </c>
      <c r="C68" s="199" t="s">
        <v>5483</v>
      </c>
      <c r="D68" s="200" t="s">
        <v>5377</v>
      </c>
      <c r="E68" s="201">
        <v>40.0</v>
      </c>
      <c r="F68" s="200">
        <v>0.0</v>
      </c>
      <c r="G68" s="200" t="s">
        <v>5381</v>
      </c>
      <c r="H68" s="202" t="s">
        <v>5681</v>
      </c>
      <c r="Q68" s="9"/>
      <c r="R68" s="9"/>
      <c r="S68" s="9"/>
      <c r="T68" s="9"/>
    </row>
    <row r="69" ht="19.5" customHeight="1">
      <c r="A69" s="198">
        <v>45756.0</v>
      </c>
      <c r="B69" s="200" t="s">
        <v>5680</v>
      </c>
      <c r="C69" s="199" t="s">
        <v>240</v>
      </c>
      <c r="D69" s="200" t="s">
        <v>239</v>
      </c>
      <c r="E69" s="201">
        <v>100.0</v>
      </c>
      <c r="F69" s="200">
        <v>0.0</v>
      </c>
      <c r="G69" s="200" t="s">
        <v>5625</v>
      </c>
      <c r="H69" s="202" t="s">
        <v>5681</v>
      </c>
      <c r="Q69" s="9"/>
      <c r="R69" s="9"/>
      <c r="S69" s="9"/>
      <c r="T69" s="9"/>
    </row>
    <row r="70" ht="19.5" customHeight="1">
      <c r="A70" s="198">
        <v>45756.0</v>
      </c>
      <c r="B70" s="200" t="s">
        <v>5680</v>
      </c>
      <c r="C70" s="199" t="s">
        <v>5481</v>
      </c>
      <c r="D70" s="200" t="s">
        <v>5388</v>
      </c>
      <c r="E70" s="201">
        <v>13.0</v>
      </c>
      <c r="F70" s="200">
        <v>0.0</v>
      </c>
      <c r="G70" s="200" t="s">
        <v>5379</v>
      </c>
      <c r="H70" s="202" t="s">
        <v>5681</v>
      </c>
      <c r="Q70" s="9"/>
      <c r="R70" s="9"/>
      <c r="S70" s="9"/>
      <c r="T70" s="9"/>
    </row>
    <row r="71" ht="19.5" customHeight="1">
      <c r="A71" s="198">
        <v>45756.0</v>
      </c>
      <c r="B71" s="200" t="s">
        <v>5680</v>
      </c>
      <c r="C71" s="199" t="s">
        <v>5479</v>
      </c>
      <c r="D71" s="200" t="s">
        <v>5314</v>
      </c>
      <c r="E71" s="201">
        <v>4.0</v>
      </c>
      <c r="F71" s="200">
        <v>0.0</v>
      </c>
      <c r="G71" s="200" t="s">
        <v>5315</v>
      </c>
      <c r="H71" s="202" t="s">
        <v>5681</v>
      </c>
      <c r="Q71" s="9"/>
      <c r="R71" s="9"/>
      <c r="S71" s="9"/>
      <c r="T71" s="9"/>
    </row>
    <row r="72" ht="19.5" customHeight="1">
      <c r="A72" s="198">
        <v>45756.0</v>
      </c>
      <c r="B72" s="200" t="s">
        <v>5680</v>
      </c>
      <c r="C72" s="199" t="s">
        <v>240</v>
      </c>
      <c r="D72" s="200" t="s">
        <v>239</v>
      </c>
      <c r="E72" s="201">
        <v>25.0</v>
      </c>
      <c r="F72" s="200">
        <v>0.0</v>
      </c>
      <c r="G72" s="200" t="s">
        <v>5628</v>
      </c>
      <c r="H72" s="202" t="s">
        <v>5681</v>
      </c>
      <c r="Q72" s="9"/>
      <c r="R72" s="9"/>
      <c r="S72" s="9"/>
      <c r="T72" s="9"/>
    </row>
    <row r="73" ht="19.5" customHeight="1">
      <c r="A73" s="198">
        <v>45756.0</v>
      </c>
      <c r="B73" s="200" t="s">
        <v>5680</v>
      </c>
      <c r="C73" s="199" t="s">
        <v>5683</v>
      </c>
      <c r="D73" s="200" t="s">
        <v>5380</v>
      </c>
      <c r="E73" s="201">
        <v>24.0</v>
      </c>
      <c r="F73" s="200">
        <v>0.0</v>
      </c>
      <c r="G73" s="200" t="s">
        <v>5684</v>
      </c>
      <c r="H73" s="202" t="s">
        <v>5681</v>
      </c>
      <c r="Q73" s="9"/>
      <c r="R73" s="9"/>
      <c r="S73" s="9"/>
      <c r="T73" s="9"/>
    </row>
    <row r="74" ht="19.5" customHeight="1">
      <c r="A74" s="198">
        <v>45756.0</v>
      </c>
      <c r="B74" s="200" t="s">
        <v>5680</v>
      </c>
      <c r="C74" s="199" t="s">
        <v>5456</v>
      </c>
      <c r="D74" s="200" t="s">
        <v>5457</v>
      </c>
      <c r="E74" s="201">
        <v>15.0</v>
      </c>
      <c r="F74" s="200">
        <v>0.0</v>
      </c>
      <c r="G74" s="200" t="s">
        <v>5685</v>
      </c>
      <c r="H74" s="202" t="s">
        <v>5681</v>
      </c>
      <c r="Q74" s="9"/>
      <c r="R74" s="9"/>
      <c r="S74" s="9"/>
      <c r="T74" s="9"/>
    </row>
    <row r="75" ht="19.5" customHeight="1">
      <c r="A75" s="198">
        <v>45756.0</v>
      </c>
      <c r="B75" s="200" t="s">
        <v>5680</v>
      </c>
      <c r="C75" s="199" t="s">
        <v>5459</v>
      </c>
      <c r="D75" s="200" t="s">
        <v>5460</v>
      </c>
      <c r="E75" s="201">
        <v>20.0</v>
      </c>
      <c r="F75" s="200">
        <v>0.0</v>
      </c>
      <c r="G75" s="200" t="s">
        <v>5686</v>
      </c>
      <c r="H75" s="202" t="s">
        <v>5681</v>
      </c>
      <c r="Q75" s="9"/>
      <c r="R75" s="9"/>
      <c r="S75" s="9"/>
      <c r="T75" s="9"/>
    </row>
    <row r="76" ht="19.5" customHeight="1">
      <c r="A76" s="198">
        <v>45756.0</v>
      </c>
      <c r="B76" s="200" t="s">
        <v>5680</v>
      </c>
      <c r="C76" s="199" t="s">
        <v>240</v>
      </c>
      <c r="D76" s="200" t="s">
        <v>239</v>
      </c>
      <c r="E76" s="201">
        <v>100.0</v>
      </c>
      <c r="F76" s="200">
        <v>0.0</v>
      </c>
      <c r="G76" s="200" t="s">
        <v>5625</v>
      </c>
      <c r="H76" s="202" t="s">
        <v>5681</v>
      </c>
      <c r="Q76" s="9"/>
      <c r="R76" s="9"/>
      <c r="S76" s="9"/>
      <c r="T76" s="9"/>
    </row>
    <row r="77" ht="19.5" customHeight="1">
      <c r="A77" s="198">
        <v>45756.0</v>
      </c>
      <c r="B77" s="200" t="s">
        <v>5680</v>
      </c>
      <c r="C77" s="199" t="s">
        <v>240</v>
      </c>
      <c r="D77" s="200" t="s">
        <v>239</v>
      </c>
      <c r="E77" s="201">
        <v>25.0</v>
      </c>
      <c r="F77" s="200">
        <v>0.0</v>
      </c>
      <c r="G77" s="200" t="s">
        <v>5628</v>
      </c>
      <c r="H77" s="202" t="s">
        <v>5681</v>
      </c>
      <c r="Q77" s="9"/>
      <c r="R77" s="9"/>
      <c r="S77" s="9"/>
      <c r="T77" s="9"/>
    </row>
    <row r="78" ht="19.5" customHeight="1">
      <c r="A78" s="198">
        <v>45756.0</v>
      </c>
      <c r="B78" s="200" t="s">
        <v>5680</v>
      </c>
      <c r="C78" s="199" t="s">
        <v>5487</v>
      </c>
      <c r="D78" s="200" t="s">
        <v>5608</v>
      </c>
      <c r="E78" s="201">
        <v>4.0</v>
      </c>
      <c r="F78" s="200">
        <v>0.0</v>
      </c>
      <c r="G78" s="199" t="s">
        <v>5687</v>
      </c>
      <c r="H78" s="202" t="s">
        <v>5681</v>
      </c>
      <c r="Q78" s="9"/>
      <c r="R78" s="9"/>
      <c r="S78" s="9"/>
      <c r="T78" s="9"/>
    </row>
    <row r="79" ht="19.5" customHeight="1">
      <c r="A79" s="198">
        <v>45756.0</v>
      </c>
      <c r="B79" s="200" t="s">
        <v>5680</v>
      </c>
      <c r="C79" s="199" t="s">
        <v>5688</v>
      </c>
      <c r="D79" s="200" t="s">
        <v>5477</v>
      </c>
      <c r="E79" s="201">
        <v>24.0</v>
      </c>
      <c r="F79" s="200">
        <v>0.0</v>
      </c>
      <c r="G79" s="200" t="s">
        <v>5689</v>
      </c>
      <c r="H79" s="202" t="s">
        <v>5681</v>
      </c>
      <c r="Q79" s="9"/>
      <c r="R79" s="9"/>
      <c r="S79" s="9"/>
      <c r="T79" s="9"/>
    </row>
    <row r="80" ht="19.5" customHeight="1">
      <c r="A80" s="198">
        <v>45756.0</v>
      </c>
      <c r="B80" s="199" t="s">
        <v>5690</v>
      </c>
      <c r="C80" s="199" t="s">
        <v>1377</v>
      </c>
      <c r="D80" s="200" t="s">
        <v>1378</v>
      </c>
      <c r="E80" s="201">
        <v>24.0</v>
      </c>
      <c r="F80" s="200">
        <v>2.0</v>
      </c>
      <c r="G80" s="200" t="s">
        <v>5308</v>
      </c>
      <c r="H80" s="202" t="s">
        <v>5653</v>
      </c>
      <c r="Q80" s="9"/>
      <c r="R80" s="9"/>
      <c r="S80" s="9"/>
      <c r="T80" s="9"/>
    </row>
    <row r="81" ht="19.5" customHeight="1">
      <c r="A81" s="198">
        <v>45756.0</v>
      </c>
      <c r="B81" s="199" t="s">
        <v>5691</v>
      </c>
      <c r="C81" s="199" t="s">
        <v>1377</v>
      </c>
      <c r="D81" s="200" t="s">
        <v>1378</v>
      </c>
      <c r="E81" s="201">
        <v>36.0</v>
      </c>
      <c r="F81" s="200">
        <v>3.0</v>
      </c>
      <c r="G81" s="200" t="s">
        <v>5308</v>
      </c>
      <c r="H81" s="202" t="s">
        <v>5653</v>
      </c>
      <c r="Q81" s="9"/>
      <c r="R81" s="9"/>
      <c r="S81" s="9"/>
      <c r="T81" s="9"/>
    </row>
    <row r="82" ht="19.5" customHeight="1">
      <c r="A82" s="198">
        <v>45756.0</v>
      </c>
      <c r="B82" s="199" t="s">
        <v>5692</v>
      </c>
      <c r="C82" s="199" t="s">
        <v>1377</v>
      </c>
      <c r="D82" s="200" t="s">
        <v>1378</v>
      </c>
      <c r="E82" s="201">
        <v>12.0</v>
      </c>
      <c r="F82" s="200">
        <v>1.0</v>
      </c>
      <c r="G82" s="200" t="s">
        <v>5308</v>
      </c>
      <c r="H82" s="202" t="s">
        <v>5653</v>
      </c>
      <c r="Q82" s="9"/>
      <c r="R82" s="9"/>
      <c r="S82" s="9"/>
      <c r="T82" s="9"/>
    </row>
    <row r="83" ht="19.5" customHeight="1">
      <c r="A83" s="198">
        <v>45756.0</v>
      </c>
      <c r="B83" s="199" t="s">
        <v>5693</v>
      </c>
      <c r="C83" s="199" t="s">
        <v>1377</v>
      </c>
      <c r="D83" s="200" t="s">
        <v>1378</v>
      </c>
      <c r="E83" s="201">
        <v>12.0</v>
      </c>
      <c r="F83" s="200">
        <v>1.0</v>
      </c>
      <c r="G83" s="200" t="s">
        <v>5308</v>
      </c>
      <c r="H83" s="202" t="s">
        <v>5653</v>
      </c>
      <c r="Q83" s="9"/>
      <c r="R83" s="9"/>
      <c r="S83" s="9"/>
      <c r="T83" s="9"/>
    </row>
    <row r="84" ht="19.5" customHeight="1">
      <c r="A84" s="198">
        <v>45756.0</v>
      </c>
      <c r="B84" s="200" t="s">
        <v>5694</v>
      </c>
      <c r="C84" s="199" t="s">
        <v>207</v>
      </c>
      <c r="D84" s="200" t="s">
        <v>206</v>
      </c>
      <c r="E84" s="201">
        <v>175.0</v>
      </c>
      <c r="F84" s="200">
        <v>0.0</v>
      </c>
      <c r="G84" s="200" t="s">
        <v>5363</v>
      </c>
      <c r="H84" s="202" t="s">
        <v>5658</v>
      </c>
      <c r="Q84" s="9"/>
      <c r="R84" s="9"/>
      <c r="S84" s="9"/>
      <c r="T84" s="9"/>
    </row>
    <row r="85" ht="19.5" customHeight="1">
      <c r="A85" s="198">
        <v>45756.0</v>
      </c>
      <c r="B85" s="200" t="s">
        <v>5694</v>
      </c>
      <c r="C85" s="199" t="s">
        <v>213</v>
      </c>
      <c r="D85" s="200" t="s">
        <v>212</v>
      </c>
      <c r="E85" s="201">
        <v>75.0</v>
      </c>
      <c r="F85" s="200">
        <v>0.0</v>
      </c>
      <c r="G85" s="200" t="s">
        <v>5346</v>
      </c>
      <c r="H85" s="202" t="s">
        <v>5658</v>
      </c>
      <c r="Q85" s="9"/>
      <c r="R85" s="9"/>
      <c r="S85" s="9"/>
      <c r="T85" s="9"/>
    </row>
    <row r="86" ht="19.5" customHeight="1">
      <c r="A86" s="198">
        <v>45756.0</v>
      </c>
      <c r="B86" s="200" t="s">
        <v>5694</v>
      </c>
      <c r="C86" s="199" t="s">
        <v>5488</v>
      </c>
      <c r="D86" s="200" t="s">
        <v>5348</v>
      </c>
      <c r="E86" s="201">
        <v>36.0</v>
      </c>
      <c r="F86" s="200">
        <v>0.0</v>
      </c>
      <c r="G86" s="200" t="s">
        <v>5429</v>
      </c>
      <c r="H86" s="202" t="s">
        <v>5658</v>
      </c>
      <c r="Q86" s="9"/>
      <c r="R86" s="9"/>
      <c r="S86" s="9"/>
      <c r="T86" s="9"/>
    </row>
    <row r="87" ht="19.5" customHeight="1">
      <c r="A87" s="198">
        <v>45756.0</v>
      </c>
      <c r="B87" s="200" t="s">
        <v>5694</v>
      </c>
      <c r="C87" s="199" t="s">
        <v>5483</v>
      </c>
      <c r="D87" s="200" t="s">
        <v>5377</v>
      </c>
      <c r="E87" s="201">
        <v>8.0</v>
      </c>
      <c r="F87" s="200">
        <v>0.0</v>
      </c>
      <c r="G87" s="200" t="s">
        <v>5376</v>
      </c>
      <c r="H87" s="202" t="s">
        <v>5658</v>
      </c>
      <c r="Q87" s="9"/>
      <c r="R87" s="9"/>
      <c r="S87" s="9"/>
      <c r="T87" s="9"/>
    </row>
    <row r="88" ht="19.5" customHeight="1">
      <c r="A88" s="198">
        <v>45756.0</v>
      </c>
      <c r="B88" s="200" t="s">
        <v>5694</v>
      </c>
      <c r="C88" s="199" t="s">
        <v>5481</v>
      </c>
      <c r="D88" s="200" t="s">
        <v>5388</v>
      </c>
      <c r="E88" s="201">
        <v>40.0</v>
      </c>
      <c r="F88" s="200">
        <v>0.0</v>
      </c>
      <c r="G88" s="200" t="s">
        <v>5579</v>
      </c>
      <c r="H88" s="202" t="s">
        <v>5658</v>
      </c>
      <c r="Q88" s="9"/>
      <c r="R88" s="9"/>
      <c r="S88" s="9"/>
      <c r="T88" s="9"/>
    </row>
    <row r="89" ht="19.5" customHeight="1">
      <c r="A89" s="198">
        <v>45756.0</v>
      </c>
      <c r="B89" s="200" t="s">
        <v>5694</v>
      </c>
      <c r="C89" s="199" t="s">
        <v>5481</v>
      </c>
      <c r="D89" s="200" t="s">
        <v>5388</v>
      </c>
      <c r="E89" s="201">
        <v>22.0</v>
      </c>
      <c r="F89" s="200">
        <v>0.0</v>
      </c>
      <c r="G89" s="200" t="s">
        <v>5379</v>
      </c>
      <c r="H89" s="202" t="s">
        <v>5658</v>
      </c>
      <c r="Q89" s="9"/>
      <c r="R89" s="9"/>
      <c r="S89" s="9"/>
      <c r="T89" s="9"/>
    </row>
    <row r="90" ht="19.5" customHeight="1">
      <c r="A90" s="198">
        <v>45756.0</v>
      </c>
      <c r="B90" s="200" t="s">
        <v>5694</v>
      </c>
      <c r="C90" s="199" t="s">
        <v>5479</v>
      </c>
      <c r="D90" s="200" t="s">
        <v>5314</v>
      </c>
      <c r="E90" s="201">
        <v>8.0</v>
      </c>
      <c r="F90" s="200">
        <v>0.0</v>
      </c>
      <c r="G90" s="200" t="s">
        <v>5315</v>
      </c>
      <c r="H90" s="202" t="s">
        <v>5658</v>
      </c>
      <c r="Q90" s="9"/>
      <c r="R90" s="9"/>
      <c r="S90" s="9"/>
      <c r="T90" s="9"/>
    </row>
    <row r="91" ht="19.5" customHeight="1">
      <c r="A91" s="198">
        <v>45756.0</v>
      </c>
      <c r="B91" s="200" t="s">
        <v>5694</v>
      </c>
      <c r="C91" s="199" t="s">
        <v>1377</v>
      </c>
      <c r="D91" s="200" t="s">
        <v>1378</v>
      </c>
      <c r="E91" s="201">
        <v>1.0</v>
      </c>
      <c r="F91" s="200">
        <v>0.0</v>
      </c>
      <c r="G91" s="200" t="s">
        <v>5308</v>
      </c>
      <c r="H91" s="202" t="s">
        <v>5658</v>
      </c>
      <c r="Q91" s="9"/>
      <c r="R91" s="9"/>
      <c r="S91" s="9"/>
      <c r="T91" s="9"/>
    </row>
    <row r="92" ht="19.5" customHeight="1">
      <c r="A92" s="198">
        <v>45756.0</v>
      </c>
      <c r="B92" s="200" t="s">
        <v>5694</v>
      </c>
      <c r="C92" s="199" t="s">
        <v>219</v>
      </c>
      <c r="D92" s="200" t="s">
        <v>218</v>
      </c>
      <c r="E92" s="201">
        <v>200.0</v>
      </c>
      <c r="F92" s="200">
        <v>0.0</v>
      </c>
      <c r="G92" s="200" t="s">
        <v>5355</v>
      </c>
      <c r="H92" s="202" t="s">
        <v>5658</v>
      </c>
      <c r="Q92" s="9"/>
      <c r="R92" s="9"/>
      <c r="S92" s="9"/>
      <c r="T92" s="9"/>
    </row>
    <row r="93" ht="19.5" customHeight="1">
      <c r="A93" s="198">
        <v>45756.0</v>
      </c>
      <c r="B93" s="200" t="s">
        <v>5694</v>
      </c>
      <c r="C93" s="199" t="s">
        <v>219</v>
      </c>
      <c r="D93" s="200" t="s">
        <v>218</v>
      </c>
      <c r="E93" s="201">
        <v>200.0</v>
      </c>
      <c r="F93" s="200">
        <v>0.0</v>
      </c>
      <c r="G93" s="200" t="s">
        <v>5357</v>
      </c>
      <c r="H93" s="202" t="s">
        <v>5658</v>
      </c>
      <c r="Q93" s="9"/>
      <c r="R93" s="9"/>
      <c r="S93" s="9"/>
      <c r="T93" s="9"/>
    </row>
    <row r="94" ht="19.5" customHeight="1">
      <c r="A94" s="198">
        <v>45756.0</v>
      </c>
      <c r="B94" s="200" t="s">
        <v>5694</v>
      </c>
      <c r="C94" s="199" t="s">
        <v>219</v>
      </c>
      <c r="D94" s="200" t="s">
        <v>218</v>
      </c>
      <c r="E94" s="201">
        <v>200.0</v>
      </c>
      <c r="F94" s="200">
        <v>0.0</v>
      </c>
      <c r="G94" s="200" t="s">
        <v>5623</v>
      </c>
      <c r="H94" s="202" t="s">
        <v>5658</v>
      </c>
      <c r="Q94" s="9"/>
      <c r="R94" s="9"/>
      <c r="S94" s="9"/>
      <c r="T94" s="9"/>
    </row>
    <row r="95" ht="19.5" customHeight="1">
      <c r="A95" s="198">
        <v>45756.0</v>
      </c>
      <c r="B95" s="200" t="s">
        <v>5694</v>
      </c>
      <c r="C95" s="199" t="s">
        <v>219</v>
      </c>
      <c r="D95" s="200" t="s">
        <v>218</v>
      </c>
      <c r="E95" s="201">
        <v>200.0</v>
      </c>
      <c r="F95" s="200">
        <v>0.0</v>
      </c>
      <c r="G95" s="200" t="s">
        <v>5624</v>
      </c>
      <c r="H95" s="202" t="s">
        <v>5658</v>
      </c>
      <c r="Q95" s="9"/>
      <c r="R95" s="9"/>
      <c r="S95" s="9"/>
      <c r="T95" s="9"/>
    </row>
    <row r="96" ht="19.5" customHeight="1">
      <c r="A96" s="198">
        <v>45757.0</v>
      </c>
      <c r="B96" s="200" t="s">
        <v>5695</v>
      </c>
      <c r="C96" s="200" t="s">
        <v>5351</v>
      </c>
      <c r="D96" s="200" t="s">
        <v>5352</v>
      </c>
      <c r="E96" s="201">
        <v>225.0</v>
      </c>
      <c r="F96" s="200">
        <v>0.0</v>
      </c>
      <c r="G96" s="199" t="s">
        <v>5682</v>
      </c>
      <c r="H96" s="202" t="s">
        <v>5681</v>
      </c>
      <c r="Q96" s="9"/>
      <c r="R96" s="9"/>
      <c r="S96" s="9"/>
      <c r="T96" s="9"/>
    </row>
    <row r="97" ht="19.5" customHeight="1">
      <c r="A97" s="198">
        <v>45757.0</v>
      </c>
      <c r="B97" s="200" t="s">
        <v>5695</v>
      </c>
      <c r="C97" s="199" t="s">
        <v>5487</v>
      </c>
      <c r="D97" s="200" t="s">
        <v>5608</v>
      </c>
      <c r="E97" s="201">
        <v>36.0</v>
      </c>
      <c r="F97" s="200">
        <v>0.0</v>
      </c>
      <c r="G97" s="199" t="s">
        <v>5687</v>
      </c>
      <c r="H97" s="202" t="s">
        <v>5681</v>
      </c>
      <c r="Q97" s="9"/>
      <c r="R97" s="9"/>
      <c r="S97" s="9"/>
      <c r="T97" s="9"/>
    </row>
    <row r="98" ht="19.5" customHeight="1">
      <c r="A98" s="198">
        <v>45757.0</v>
      </c>
      <c r="B98" s="200" t="s">
        <v>5695</v>
      </c>
      <c r="C98" s="200" t="s">
        <v>5317</v>
      </c>
      <c r="D98" s="200" t="s">
        <v>5318</v>
      </c>
      <c r="E98" s="201">
        <v>150.0</v>
      </c>
      <c r="F98" s="200">
        <v>0.0</v>
      </c>
      <c r="G98" s="200" t="s">
        <v>5319</v>
      </c>
      <c r="H98" s="202" t="s">
        <v>5681</v>
      </c>
      <c r="Q98" s="9"/>
      <c r="R98" s="9"/>
      <c r="S98" s="9"/>
      <c r="T98" s="9"/>
    </row>
    <row r="99" ht="19.5" customHeight="1">
      <c r="A99" s="198">
        <v>45757.0</v>
      </c>
      <c r="B99" s="200" t="s">
        <v>5695</v>
      </c>
      <c r="C99" s="200" t="s">
        <v>5323</v>
      </c>
      <c r="D99" s="200" t="s">
        <v>5324</v>
      </c>
      <c r="E99" s="201">
        <v>100.0</v>
      </c>
      <c r="F99" s="200">
        <v>0.0</v>
      </c>
      <c r="G99" s="200" t="s">
        <v>5312</v>
      </c>
      <c r="H99" s="202" t="s">
        <v>5681</v>
      </c>
      <c r="Q99" s="9"/>
      <c r="R99" s="9"/>
      <c r="S99" s="9"/>
      <c r="T99" s="9"/>
    </row>
    <row r="100" ht="19.5" customHeight="1">
      <c r="A100" s="198">
        <v>45757.0</v>
      </c>
      <c r="B100" s="200" t="s">
        <v>5695</v>
      </c>
      <c r="C100" s="200" t="s">
        <v>5323</v>
      </c>
      <c r="D100" s="200" t="s">
        <v>5324</v>
      </c>
      <c r="E100" s="201">
        <v>150.0</v>
      </c>
      <c r="F100" s="200">
        <v>0.0</v>
      </c>
      <c r="G100" s="200" t="s">
        <v>5409</v>
      </c>
      <c r="H100" s="202" t="s">
        <v>5681</v>
      </c>
      <c r="Q100" s="9"/>
      <c r="R100" s="9"/>
      <c r="S100" s="9"/>
      <c r="T100" s="9"/>
    </row>
    <row r="101" ht="19.5" customHeight="1">
      <c r="A101" s="198">
        <v>45757.0</v>
      </c>
      <c r="B101" s="200" t="s">
        <v>5695</v>
      </c>
      <c r="C101" s="199" t="s">
        <v>5488</v>
      </c>
      <c r="D101" s="200" t="s">
        <v>5348</v>
      </c>
      <c r="E101" s="201">
        <v>84.0</v>
      </c>
      <c r="F101" s="200">
        <v>0.0</v>
      </c>
      <c r="G101" s="200" t="s">
        <v>5429</v>
      </c>
      <c r="H101" s="202" t="s">
        <v>5681</v>
      </c>
      <c r="Q101" s="9"/>
      <c r="R101" s="9"/>
      <c r="S101" s="9"/>
      <c r="T101" s="9"/>
    </row>
    <row r="102" ht="19.5" customHeight="1">
      <c r="A102" s="198">
        <v>45757.0</v>
      </c>
      <c r="B102" s="200" t="s">
        <v>5695</v>
      </c>
      <c r="C102" s="200" t="s">
        <v>5351</v>
      </c>
      <c r="D102" s="200" t="s">
        <v>5352</v>
      </c>
      <c r="E102" s="201">
        <v>25.0</v>
      </c>
      <c r="F102" s="200">
        <v>0.0</v>
      </c>
      <c r="G102" s="200" t="s">
        <v>5347</v>
      </c>
      <c r="H102" s="202" t="s">
        <v>5681</v>
      </c>
      <c r="Q102" s="9"/>
      <c r="R102" s="9"/>
      <c r="S102" s="9"/>
      <c r="T102" s="9"/>
    </row>
    <row r="103" ht="19.5" customHeight="1">
      <c r="A103" s="198">
        <v>45757.0</v>
      </c>
      <c r="B103" s="200" t="s">
        <v>5695</v>
      </c>
      <c r="C103" s="199" t="s">
        <v>5471</v>
      </c>
      <c r="D103" s="200" t="s">
        <v>5367</v>
      </c>
      <c r="E103" s="201">
        <v>30.0</v>
      </c>
      <c r="F103" s="200">
        <v>0.0</v>
      </c>
      <c r="G103" s="200" t="s">
        <v>5368</v>
      </c>
      <c r="H103" s="202" t="s">
        <v>5681</v>
      </c>
      <c r="Q103" s="9"/>
      <c r="R103" s="9"/>
      <c r="S103" s="9"/>
      <c r="T103" s="9"/>
    </row>
    <row r="104" ht="19.5" customHeight="1">
      <c r="A104" s="198">
        <v>45757.0</v>
      </c>
      <c r="B104" s="200" t="s">
        <v>5695</v>
      </c>
      <c r="C104" s="199" t="s">
        <v>5683</v>
      </c>
      <c r="D104" s="200" t="s">
        <v>5380</v>
      </c>
      <c r="E104" s="201">
        <v>18.0</v>
      </c>
      <c r="F104" s="200">
        <v>0.0</v>
      </c>
      <c r="G104" s="200" t="s">
        <v>5684</v>
      </c>
      <c r="H104" s="202" t="s">
        <v>5681</v>
      </c>
      <c r="Q104" s="9"/>
      <c r="R104" s="9"/>
      <c r="S104" s="9"/>
      <c r="T104" s="9"/>
    </row>
    <row r="105" ht="19.5" customHeight="1">
      <c r="A105" s="198">
        <v>45757.0</v>
      </c>
      <c r="B105" s="200" t="s">
        <v>5695</v>
      </c>
      <c r="C105" s="200" t="s">
        <v>5351</v>
      </c>
      <c r="D105" s="200" t="s">
        <v>5352</v>
      </c>
      <c r="E105" s="201">
        <v>225.0</v>
      </c>
      <c r="F105" s="200">
        <v>0.0</v>
      </c>
      <c r="G105" s="199" t="s">
        <v>5554</v>
      </c>
      <c r="H105" s="202" t="s">
        <v>5681</v>
      </c>
      <c r="Q105" s="9"/>
      <c r="R105" s="9"/>
      <c r="S105" s="9"/>
      <c r="T105" s="9"/>
    </row>
    <row r="106" ht="19.5" customHeight="1">
      <c r="A106" s="198">
        <v>45757.0</v>
      </c>
      <c r="B106" s="200" t="s">
        <v>5695</v>
      </c>
      <c r="C106" s="199" t="s">
        <v>5487</v>
      </c>
      <c r="D106" s="200" t="s">
        <v>5608</v>
      </c>
      <c r="E106" s="201">
        <v>36.0</v>
      </c>
      <c r="F106" s="200">
        <v>0.0</v>
      </c>
      <c r="G106" s="199" t="s">
        <v>5426</v>
      </c>
      <c r="H106" s="202" t="s">
        <v>5681</v>
      </c>
      <c r="Q106" s="9"/>
      <c r="R106" s="9"/>
      <c r="S106" s="9"/>
      <c r="T106" s="9"/>
    </row>
    <row r="107" ht="19.5" customHeight="1">
      <c r="A107" s="198">
        <v>45757.0</v>
      </c>
      <c r="B107" s="200" t="s">
        <v>5695</v>
      </c>
      <c r="C107" s="200" t="s">
        <v>5383</v>
      </c>
      <c r="D107" s="200" t="s">
        <v>5384</v>
      </c>
      <c r="E107" s="201">
        <v>1.0</v>
      </c>
      <c r="F107" s="200">
        <v>0.0</v>
      </c>
      <c r="G107" s="200" t="s">
        <v>5586</v>
      </c>
      <c r="H107" s="202" t="s">
        <v>5681</v>
      </c>
      <c r="Q107" s="9"/>
      <c r="R107" s="9"/>
      <c r="S107" s="9"/>
      <c r="T107" s="9"/>
    </row>
    <row r="108" ht="19.5" customHeight="1">
      <c r="A108" s="198">
        <v>45757.0</v>
      </c>
      <c r="B108" s="200" t="s">
        <v>5695</v>
      </c>
      <c r="C108" s="200" t="s">
        <v>5317</v>
      </c>
      <c r="D108" s="200" t="s">
        <v>5318</v>
      </c>
      <c r="E108" s="201">
        <v>150.0</v>
      </c>
      <c r="F108" s="200">
        <v>0.0</v>
      </c>
      <c r="G108" s="200" t="s">
        <v>5319</v>
      </c>
      <c r="H108" s="202" t="s">
        <v>5681</v>
      </c>
      <c r="Q108" s="9"/>
      <c r="R108" s="9"/>
      <c r="S108" s="9"/>
      <c r="T108" s="9"/>
    </row>
    <row r="109" ht="19.5" customHeight="1">
      <c r="A109" s="198">
        <v>45757.0</v>
      </c>
      <c r="B109" s="200" t="s">
        <v>5695</v>
      </c>
      <c r="C109" s="200" t="s">
        <v>5323</v>
      </c>
      <c r="D109" s="200" t="s">
        <v>5324</v>
      </c>
      <c r="E109" s="201">
        <v>100.0</v>
      </c>
      <c r="F109" s="200">
        <v>0.0</v>
      </c>
      <c r="G109" s="200" t="s">
        <v>5312</v>
      </c>
      <c r="H109" s="202" t="s">
        <v>5681</v>
      </c>
      <c r="Q109" s="9"/>
      <c r="R109" s="9"/>
      <c r="S109" s="9"/>
      <c r="T109" s="9"/>
    </row>
    <row r="110" ht="19.5" customHeight="1">
      <c r="A110" s="198">
        <v>45757.0</v>
      </c>
      <c r="B110" s="200" t="s">
        <v>5695</v>
      </c>
      <c r="C110" s="200" t="s">
        <v>5323</v>
      </c>
      <c r="D110" s="200" t="s">
        <v>5324</v>
      </c>
      <c r="E110" s="201">
        <v>150.0</v>
      </c>
      <c r="F110" s="200">
        <v>0.0</v>
      </c>
      <c r="G110" s="200" t="s">
        <v>5409</v>
      </c>
      <c r="H110" s="202" t="s">
        <v>5681</v>
      </c>
      <c r="Q110" s="9"/>
      <c r="R110" s="9"/>
      <c r="S110" s="9"/>
      <c r="T110" s="9"/>
    </row>
    <row r="111" ht="19.5" customHeight="1">
      <c r="A111" s="198">
        <v>45757.0</v>
      </c>
      <c r="B111" s="200" t="s">
        <v>5695</v>
      </c>
      <c r="C111" s="199" t="s">
        <v>5488</v>
      </c>
      <c r="D111" s="200" t="s">
        <v>5348</v>
      </c>
      <c r="E111" s="201">
        <v>84.0</v>
      </c>
      <c r="F111" s="200">
        <v>0.0</v>
      </c>
      <c r="G111" s="200" t="s">
        <v>5429</v>
      </c>
      <c r="H111" s="202" t="s">
        <v>5681</v>
      </c>
      <c r="Q111" s="9"/>
      <c r="R111" s="9"/>
      <c r="S111" s="9"/>
      <c r="T111" s="9"/>
    </row>
    <row r="112" ht="19.5" customHeight="1">
      <c r="A112" s="198">
        <v>45757.0</v>
      </c>
      <c r="B112" s="200" t="s">
        <v>5695</v>
      </c>
      <c r="C112" s="199" t="s">
        <v>240</v>
      </c>
      <c r="D112" s="200" t="s">
        <v>239</v>
      </c>
      <c r="E112" s="201">
        <v>125.0</v>
      </c>
      <c r="F112" s="200">
        <v>0.0</v>
      </c>
      <c r="G112" s="200" t="s">
        <v>5628</v>
      </c>
      <c r="H112" s="202" t="s">
        <v>5681</v>
      </c>
      <c r="Q112" s="9"/>
      <c r="R112" s="9"/>
      <c r="S112" s="9"/>
      <c r="T112" s="9"/>
    </row>
    <row r="113" ht="19.5" customHeight="1">
      <c r="A113" s="198">
        <v>45757.0</v>
      </c>
      <c r="B113" s="200" t="s">
        <v>5695</v>
      </c>
      <c r="C113" s="200" t="s">
        <v>5351</v>
      </c>
      <c r="D113" s="200" t="s">
        <v>5352</v>
      </c>
      <c r="E113" s="201">
        <v>25.0</v>
      </c>
      <c r="F113" s="200">
        <v>0.0</v>
      </c>
      <c r="G113" s="200" t="s">
        <v>5347</v>
      </c>
      <c r="H113" s="202" t="s">
        <v>5681</v>
      </c>
      <c r="Q113" s="9"/>
      <c r="R113" s="9"/>
      <c r="S113" s="9"/>
      <c r="T113" s="9"/>
    </row>
    <row r="114" ht="19.5" customHeight="1">
      <c r="A114" s="198">
        <v>45757.0</v>
      </c>
      <c r="B114" s="200" t="s">
        <v>5695</v>
      </c>
      <c r="C114" s="199" t="s">
        <v>5688</v>
      </c>
      <c r="D114" s="200" t="s">
        <v>5477</v>
      </c>
      <c r="E114" s="201">
        <v>24.0</v>
      </c>
      <c r="F114" s="200">
        <v>0.0</v>
      </c>
      <c r="G114" s="200" t="s">
        <v>5689</v>
      </c>
      <c r="H114" s="202" t="s">
        <v>5681</v>
      </c>
      <c r="Q114" s="9"/>
      <c r="R114" s="9"/>
      <c r="S114" s="9"/>
      <c r="T114" s="9"/>
    </row>
    <row r="115" ht="19.5" customHeight="1">
      <c r="A115" s="198">
        <v>45757.0</v>
      </c>
      <c r="B115" s="200" t="s">
        <v>5695</v>
      </c>
      <c r="C115" s="199" t="s">
        <v>5471</v>
      </c>
      <c r="D115" s="200" t="s">
        <v>5367</v>
      </c>
      <c r="E115" s="201">
        <v>30.0</v>
      </c>
      <c r="F115" s="200">
        <v>0.0</v>
      </c>
      <c r="G115" s="200" t="s">
        <v>5368</v>
      </c>
      <c r="H115" s="202" t="s">
        <v>5681</v>
      </c>
      <c r="Q115" s="9"/>
      <c r="R115" s="9"/>
      <c r="S115" s="9"/>
      <c r="T115" s="9"/>
    </row>
    <row r="116" ht="19.5" customHeight="1">
      <c r="A116" s="198">
        <v>45757.0</v>
      </c>
      <c r="B116" s="200" t="s">
        <v>5695</v>
      </c>
      <c r="C116" s="199" t="s">
        <v>5683</v>
      </c>
      <c r="D116" s="200" t="s">
        <v>5380</v>
      </c>
      <c r="E116" s="201">
        <v>18.0</v>
      </c>
      <c r="F116" s="200">
        <v>0.0</v>
      </c>
      <c r="G116" s="200" t="s">
        <v>5684</v>
      </c>
      <c r="H116" s="202" t="s">
        <v>5681</v>
      </c>
      <c r="Q116" s="9"/>
      <c r="R116" s="9"/>
      <c r="S116" s="9"/>
      <c r="T116" s="9"/>
    </row>
    <row r="117" ht="19.5" customHeight="1">
      <c r="A117" s="198">
        <v>45757.0</v>
      </c>
      <c r="B117" s="200" t="s">
        <v>5695</v>
      </c>
      <c r="C117" s="200" t="s">
        <v>5383</v>
      </c>
      <c r="D117" s="200" t="s">
        <v>5384</v>
      </c>
      <c r="E117" s="201">
        <v>1.0</v>
      </c>
      <c r="F117" s="200">
        <v>0.0</v>
      </c>
      <c r="G117" s="200" t="s">
        <v>5586</v>
      </c>
      <c r="H117" s="202" t="s">
        <v>5681</v>
      </c>
      <c r="Q117" s="9"/>
      <c r="R117" s="9"/>
      <c r="S117" s="9"/>
      <c r="T117" s="9"/>
    </row>
    <row r="118" ht="19.5" customHeight="1">
      <c r="A118" s="198">
        <v>45757.0</v>
      </c>
      <c r="B118" s="200" t="s">
        <v>5695</v>
      </c>
      <c r="C118" s="199" t="s">
        <v>240</v>
      </c>
      <c r="D118" s="200" t="s">
        <v>239</v>
      </c>
      <c r="E118" s="201">
        <v>125.0</v>
      </c>
      <c r="F118" s="200">
        <v>0.0</v>
      </c>
      <c r="G118" s="200" t="s">
        <v>5628</v>
      </c>
      <c r="H118" s="202" t="s">
        <v>5681</v>
      </c>
      <c r="Q118" s="9"/>
      <c r="R118" s="9"/>
      <c r="S118" s="9"/>
      <c r="T118" s="9"/>
    </row>
    <row r="119" ht="19.5" customHeight="1">
      <c r="A119" s="198">
        <v>45757.0</v>
      </c>
      <c r="B119" s="200" t="s">
        <v>5695</v>
      </c>
      <c r="C119" s="199" t="s">
        <v>5688</v>
      </c>
      <c r="D119" s="200" t="s">
        <v>5477</v>
      </c>
      <c r="E119" s="201">
        <v>24.0</v>
      </c>
      <c r="F119" s="200">
        <v>0.0</v>
      </c>
      <c r="G119" s="200" t="s">
        <v>5689</v>
      </c>
      <c r="H119" s="202" t="s">
        <v>5681</v>
      </c>
      <c r="Q119" s="9"/>
      <c r="R119" s="9"/>
      <c r="S119" s="9"/>
      <c r="T119" s="9"/>
    </row>
    <row r="120" ht="19.5" customHeight="1">
      <c r="A120" s="198">
        <v>45758.0</v>
      </c>
      <c r="B120" s="200" t="s">
        <v>5696</v>
      </c>
      <c r="C120" s="199" t="s">
        <v>207</v>
      </c>
      <c r="D120" s="200" t="s">
        <v>206</v>
      </c>
      <c r="E120" s="201">
        <v>350.0</v>
      </c>
      <c r="F120" s="200">
        <v>0.0</v>
      </c>
      <c r="G120" s="200" t="s">
        <v>5373</v>
      </c>
      <c r="H120" s="202" t="s">
        <v>5653</v>
      </c>
      <c r="Q120" s="9"/>
      <c r="R120" s="9"/>
      <c r="S120" s="9"/>
      <c r="T120" s="9"/>
    </row>
    <row r="121" ht="19.5" customHeight="1">
      <c r="A121" s="198">
        <v>45758.0</v>
      </c>
      <c r="B121" s="200" t="s">
        <v>5696</v>
      </c>
      <c r="C121" s="199" t="s">
        <v>207</v>
      </c>
      <c r="D121" s="200" t="s">
        <v>206</v>
      </c>
      <c r="E121" s="201">
        <v>150.0</v>
      </c>
      <c r="F121" s="200">
        <v>0.0</v>
      </c>
      <c r="G121" s="200" t="s">
        <v>5561</v>
      </c>
      <c r="H121" s="202" t="s">
        <v>5653</v>
      </c>
      <c r="Q121" s="9"/>
      <c r="R121" s="9"/>
      <c r="S121" s="9"/>
      <c r="T121" s="9"/>
    </row>
    <row r="122" ht="19.5" customHeight="1">
      <c r="A122" s="198">
        <v>45758.0</v>
      </c>
      <c r="B122" s="200" t="s">
        <v>5696</v>
      </c>
      <c r="C122" s="199" t="s">
        <v>213</v>
      </c>
      <c r="D122" s="200" t="s">
        <v>212</v>
      </c>
      <c r="E122" s="201">
        <v>325.0</v>
      </c>
      <c r="F122" s="200">
        <v>0.0</v>
      </c>
      <c r="G122" s="200" t="s">
        <v>5346</v>
      </c>
      <c r="H122" s="202" t="s">
        <v>5653</v>
      </c>
      <c r="Q122" s="9"/>
      <c r="R122" s="9"/>
      <c r="S122" s="9"/>
      <c r="T122" s="9"/>
    </row>
    <row r="123" ht="19.5" customHeight="1">
      <c r="A123" s="198">
        <v>45758.0</v>
      </c>
      <c r="B123" s="200" t="s">
        <v>5696</v>
      </c>
      <c r="C123" s="199" t="s">
        <v>5479</v>
      </c>
      <c r="D123" s="200" t="s">
        <v>5314</v>
      </c>
      <c r="E123" s="201">
        <v>3.0</v>
      </c>
      <c r="F123" s="200">
        <v>0.0</v>
      </c>
      <c r="G123" s="200" t="s">
        <v>5315</v>
      </c>
      <c r="H123" s="202" t="s">
        <v>5653</v>
      </c>
      <c r="Q123" s="9"/>
      <c r="R123" s="9"/>
      <c r="S123" s="9"/>
      <c r="T123" s="9"/>
    </row>
    <row r="124" ht="19.5" customHeight="1">
      <c r="A124" s="198">
        <v>45758.0</v>
      </c>
      <c r="B124" s="200" t="s">
        <v>5696</v>
      </c>
      <c r="C124" s="199" t="s">
        <v>1377</v>
      </c>
      <c r="D124" s="200" t="s">
        <v>1378</v>
      </c>
      <c r="E124" s="201">
        <v>21.0</v>
      </c>
      <c r="F124" s="200">
        <v>0.0</v>
      </c>
      <c r="G124" s="200" t="s">
        <v>5308</v>
      </c>
      <c r="H124" s="202" t="s">
        <v>5653</v>
      </c>
      <c r="Q124" s="9"/>
      <c r="R124" s="9"/>
      <c r="S124" s="9"/>
      <c r="T124" s="9"/>
    </row>
    <row r="125" ht="19.5" customHeight="1">
      <c r="A125" s="198">
        <v>45758.0</v>
      </c>
      <c r="B125" s="200" t="s">
        <v>5696</v>
      </c>
      <c r="C125" s="199" t="s">
        <v>219</v>
      </c>
      <c r="D125" s="200" t="s">
        <v>218</v>
      </c>
      <c r="E125" s="201">
        <v>125.0</v>
      </c>
      <c r="F125" s="200">
        <v>0.0</v>
      </c>
      <c r="G125" s="200" t="s">
        <v>5620</v>
      </c>
      <c r="H125" s="202" t="s">
        <v>5653</v>
      </c>
      <c r="Q125" s="9"/>
      <c r="R125" s="9"/>
      <c r="S125" s="9"/>
      <c r="T125" s="9"/>
    </row>
    <row r="126" ht="19.5" customHeight="1">
      <c r="A126" s="198">
        <v>45758.0</v>
      </c>
      <c r="B126" s="200" t="s">
        <v>5696</v>
      </c>
      <c r="C126" s="199" t="s">
        <v>219</v>
      </c>
      <c r="D126" s="200" t="s">
        <v>218</v>
      </c>
      <c r="E126" s="201">
        <v>200.0</v>
      </c>
      <c r="F126" s="200">
        <v>0.0</v>
      </c>
      <c r="G126" s="200" t="s">
        <v>5375</v>
      </c>
      <c r="H126" s="202" t="s">
        <v>5653</v>
      </c>
      <c r="Q126" s="9"/>
      <c r="R126" s="9"/>
      <c r="S126" s="9"/>
      <c r="T126" s="9"/>
    </row>
    <row r="127" ht="19.5" customHeight="1">
      <c r="A127" s="198">
        <v>45758.0</v>
      </c>
      <c r="B127" s="200" t="s">
        <v>5696</v>
      </c>
      <c r="C127" s="199" t="s">
        <v>219</v>
      </c>
      <c r="D127" s="200" t="s">
        <v>218</v>
      </c>
      <c r="E127" s="201">
        <v>200.0</v>
      </c>
      <c r="F127" s="200">
        <v>0.0</v>
      </c>
      <c r="G127" s="200" t="s">
        <v>5621</v>
      </c>
      <c r="H127" s="202" t="s">
        <v>5653</v>
      </c>
      <c r="Q127" s="9"/>
      <c r="R127" s="9"/>
      <c r="S127" s="9"/>
      <c r="T127" s="9"/>
    </row>
    <row r="128" ht="19.5" customHeight="1">
      <c r="A128" s="198">
        <v>45758.0</v>
      </c>
      <c r="B128" s="200" t="s">
        <v>5696</v>
      </c>
      <c r="C128" s="199" t="s">
        <v>219</v>
      </c>
      <c r="D128" s="200" t="s">
        <v>218</v>
      </c>
      <c r="E128" s="201">
        <v>200.0</v>
      </c>
      <c r="F128" s="200">
        <v>0.0</v>
      </c>
      <c r="G128" s="200" t="s">
        <v>5414</v>
      </c>
      <c r="H128" s="202" t="s">
        <v>5653</v>
      </c>
      <c r="Q128" s="9"/>
      <c r="R128" s="9"/>
      <c r="S128" s="9"/>
      <c r="T128" s="9"/>
    </row>
    <row r="129" ht="19.5" customHeight="1">
      <c r="A129" s="198">
        <v>45758.0</v>
      </c>
      <c r="B129" s="200" t="s">
        <v>5696</v>
      </c>
      <c r="C129" s="199" t="s">
        <v>207</v>
      </c>
      <c r="D129" s="200" t="s">
        <v>206</v>
      </c>
      <c r="E129" s="201">
        <v>350.0</v>
      </c>
      <c r="F129" s="200">
        <v>0.0</v>
      </c>
      <c r="G129" s="200" t="s">
        <v>5373</v>
      </c>
      <c r="H129" s="202" t="s">
        <v>5653</v>
      </c>
      <c r="Q129" s="9"/>
      <c r="R129" s="9"/>
      <c r="S129" s="9"/>
      <c r="T129" s="9"/>
    </row>
    <row r="130" ht="19.5" customHeight="1">
      <c r="A130" s="198">
        <v>45758.0</v>
      </c>
      <c r="B130" s="200" t="s">
        <v>5696</v>
      </c>
      <c r="C130" s="199" t="s">
        <v>219</v>
      </c>
      <c r="D130" s="200" t="s">
        <v>218</v>
      </c>
      <c r="E130" s="201">
        <v>200.0</v>
      </c>
      <c r="F130" s="200">
        <v>0.0</v>
      </c>
      <c r="G130" s="200" t="s">
        <v>5405</v>
      </c>
      <c r="H130" s="202" t="s">
        <v>5653</v>
      </c>
      <c r="Q130" s="9"/>
      <c r="R130" s="9"/>
      <c r="S130" s="9"/>
      <c r="T130" s="9"/>
    </row>
    <row r="131" ht="19.5" customHeight="1">
      <c r="A131" s="198">
        <v>45758.0</v>
      </c>
      <c r="B131" s="200" t="s">
        <v>5696</v>
      </c>
      <c r="C131" s="199" t="s">
        <v>207</v>
      </c>
      <c r="D131" s="200" t="s">
        <v>206</v>
      </c>
      <c r="E131" s="201">
        <v>150.0</v>
      </c>
      <c r="F131" s="200">
        <v>0.0</v>
      </c>
      <c r="G131" s="200" t="s">
        <v>5561</v>
      </c>
      <c r="H131" s="202" t="s">
        <v>5653</v>
      </c>
      <c r="Q131" s="9"/>
      <c r="R131" s="9"/>
      <c r="S131" s="9"/>
      <c r="T131" s="9"/>
    </row>
    <row r="132" ht="19.5" customHeight="1">
      <c r="A132" s="198">
        <v>45758.0</v>
      </c>
      <c r="B132" s="200" t="s">
        <v>5696</v>
      </c>
      <c r="C132" s="199" t="s">
        <v>219</v>
      </c>
      <c r="D132" s="200" t="s">
        <v>218</v>
      </c>
      <c r="E132" s="201">
        <v>200.0</v>
      </c>
      <c r="F132" s="200">
        <v>0.0</v>
      </c>
      <c r="G132" s="200" t="s">
        <v>5622</v>
      </c>
      <c r="H132" s="202" t="s">
        <v>5653</v>
      </c>
      <c r="Q132" s="9"/>
      <c r="R132" s="9"/>
      <c r="S132" s="9"/>
      <c r="T132" s="9"/>
    </row>
    <row r="133" ht="19.5" customHeight="1">
      <c r="A133" s="198">
        <v>45758.0</v>
      </c>
      <c r="B133" s="200" t="s">
        <v>5696</v>
      </c>
      <c r="C133" s="199" t="s">
        <v>213</v>
      </c>
      <c r="D133" s="200" t="s">
        <v>212</v>
      </c>
      <c r="E133" s="201">
        <v>325.0</v>
      </c>
      <c r="F133" s="200">
        <v>0.0</v>
      </c>
      <c r="G133" s="200" t="s">
        <v>5346</v>
      </c>
      <c r="H133" s="202" t="s">
        <v>5653</v>
      </c>
      <c r="Q133" s="9"/>
      <c r="R133" s="9"/>
      <c r="S133" s="9"/>
      <c r="T133" s="9"/>
    </row>
    <row r="134" ht="19.5" customHeight="1">
      <c r="A134" s="198">
        <v>45758.0</v>
      </c>
      <c r="B134" s="200" t="s">
        <v>5696</v>
      </c>
      <c r="C134" s="199" t="s">
        <v>5479</v>
      </c>
      <c r="D134" s="200" t="s">
        <v>5314</v>
      </c>
      <c r="E134" s="201">
        <v>3.0</v>
      </c>
      <c r="F134" s="200">
        <v>0.0</v>
      </c>
      <c r="G134" s="200" t="s">
        <v>5315</v>
      </c>
      <c r="H134" s="202" t="s">
        <v>5653</v>
      </c>
      <c r="Q134" s="9"/>
      <c r="R134" s="9"/>
      <c r="S134" s="9"/>
      <c r="T134" s="9"/>
    </row>
    <row r="135" ht="19.5" customHeight="1">
      <c r="A135" s="198">
        <v>45758.0</v>
      </c>
      <c r="B135" s="200" t="s">
        <v>5696</v>
      </c>
      <c r="C135" s="199" t="s">
        <v>1377</v>
      </c>
      <c r="D135" s="200" t="s">
        <v>1378</v>
      </c>
      <c r="E135" s="201">
        <v>21.0</v>
      </c>
      <c r="F135" s="200">
        <v>0.0</v>
      </c>
      <c r="G135" s="200" t="s">
        <v>5308</v>
      </c>
      <c r="H135" s="202" t="s">
        <v>5653</v>
      </c>
      <c r="Q135" s="9"/>
      <c r="R135" s="9"/>
      <c r="S135" s="9"/>
      <c r="T135" s="9"/>
    </row>
    <row r="136" ht="19.5" customHeight="1">
      <c r="A136" s="198">
        <v>45758.0</v>
      </c>
      <c r="B136" s="200" t="s">
        <v>5696</v>
      </c>
      <c r="C136" s="199" t="s">
        <v>219</v>
      </c>
      <c r="D136" s="200" t="s">
        <v>218</v>
      </c>
      <c r="E136" s="201">
        <v>125.0</v>
      </c>
      <c r="F136" s="200">
        <v>0.0</v>
      </c>
      <c r="G136" s="200" t="s">
        <v>5620</v>
      </c>
      <c r="H136" s="202" t="s">
        <v>5653</v>
      </c>
      <c r="Q136" s="9"/>
      <c r="R136" s="9"/>
      <c r="S136" s="9"/>
      <c r="T136" s="9"/>
    </row>
    <row r="137" ht="19.5" customHeight="1">
      <c r="A137" s="198">
        <v>45758.0</v>
      </c>
      <c r="B137" s="200" t="s">
        <v>5696</v>
      </c>
      <c r="C137" s="199" t="s">
        <v>219</v>
      </c>
      <c r="D137" s="200" t="s">
        <v>218</v>
      </c>
      <c r="E137" s="201">
        <v>200.0</v>
      </c>
      <c r="F137" s="200">
        <v>0.0</v>
      </c>
      <c r="G137" s="200" t="s">
        <v>5375</v>
      </c>
      <c r="H137" s="202" t="s">
        <v>5653</v>
      </c>
      <c r="Q137" s="9"/>
      <c r="R137" s="9"/>
      <c r="S137" s="9"/>
      <c r="T137" s="9"/>
    </row>
    <row r="138" ht="19.5" customHeight="1">
      <c r="A138" s="198">
        <v>45758.0</v>
      </c>
      <c r="B138" s="200" t="s">
        <v>5696</v>
      </c>
      <c r="C138" s="199" t="s">
        <v>219</v>
      </c>
      <c r="D138" s="200" t="s">
        <v>218</v>
      </c>
      <c r="E138" s="201">
        <v>200.0</v>
      </c>
      <c r="F138" s="200">
        <v>0.0</v>
      </c>
      <c r="G138" s="200" t="s">
        <v>5621</v>
      </c>
      <c r="H138" s="202" t="s">
        <v>5653</v>
      </c>
      <c r="Q138" s="9"/>
      <c r="R138" s="9"/>
      <c r="S138" s="9"/>
      <c r="T138" s="9"/>
    </row>
    <row r="139" ht="19.5" customHeight="1">
      <c r="A139" s="198">
        <v>45758.0</v>
      </c>
      <c r="B139" s="200" t="s">
        <v>5696</v>
      </c>
      <c r="C139" s="199" t="s">
        <v>219</v>
      </c>
      <c r="D139" s="200" t="s">
        <v>218</v>
      </c>
      <c r="E139" s="201">
        <v>200.0</v>
      </c>
      <c r="F139" s="200">
        <v>0.0</v>
      </c>
      <c r="G139" s="200" t="s">
        <v>5414</v>
      </c>
      <c r="H139" s="202" t="s">
        <v>5653</v>
      </c>
      <c r="Q139" s="9"/>
      <c r="R139" s="9"/>
      <c r="S139" s="9"/>
      <c r="T139" s="9"/>
    </row>
    <row r="140" ht="19.5" customHeight="1">
      <c r="A140" s="198">
        <v>45758.0</v>
      </c>
      <c r="B140" s="200" t="s">
        <v>5696</v>
      </c>
      <c r="C140" s="199" t="s">
        <v>219</v>
      </c>
      <c r="D140" s="200" t="s">
        <v>218</v>
      </c>
      <c r="E140" s="201">
        <v>200.0</v>
      </c>
      <c r="F140" s="200">
        <v>0.0</v>
      </c>
      <c r="G140" s="200" t="s">
        <v>5405</v>
      </c>
      <c r="H140" s="202" t="s">
        <v>5653</v>
      </c>
      <c r="Q140" s="9"/>
      <c r="R140" s="9"/>
      <c r="S140" s="9"/>
      <c r="T140" s="9"/>
    </row>
    <row r="141" ht="19.5" customHeight="1">
      <c r="A141" s="198">
        <v>45758.0</v>
      </c>
      <c r="B141" s="200" t="s">
        <v>5696</v>
      </c>
      <c r="C141" s="199" t="s">
        <v>219</v>
      </c>
      <c r="D141" s="200" t="s">
        <v>218</v>
      </c>
      <c r="E141" s="201">
        <v>200.0</v>
      </c>
      <c r="F141" s="200">
        <v>0.0</v>
      </c>
      <c r="G141" s="200" t="s">
        <v>5622</v>
      </c>
      <c r="H141" s="202" t="s">
        <v>5653</v>
      </c>
      <c r="Q141" s="9"/>
      <c r="R141" s="9"/>
      <c r="S141" s="9"/>
      <c r="T141" s="9"/>
    </row>
    <row r="142" ht="19.5" customHeight="1">
      <c r="A142" s="198">
        <v>45761.0</v>
      </c>
      <c r="B142" s="200" t="s">
        <v>5697</v>
      </c>
      <c r="C142" s="199" t="s">
        <v>5488</v>
      </c>
      <c r="D142" s="200" t="s">
        <v>5348</v>
      </c>
      <c r="E142" s="201">
        <v>12.0</v>
      </c>
      <c r="F142" s="200">
        <v>0.0</v>
      </c>
      <c r="G142" s="200" t="s">
        <v>5429</v>
      </c>
      <c r="H142" s="202" t="s">
        <v>5698</v>
      </c>
      <c r="Q142" s="9"/>
      <c r="R142" s="9"/>
      <c r="S142" s="9"/>
      <c r="T142" s="9"/>
    </row>
    <row r="143" ht="19.5" customHeight="1">
      <c r="A143" s="198">
        <v>45761.0</v>
      </c>
      <c r="B143" s="200" t="s">
        <v>5697</v>
      </c>
      <c r="C143" s="199" t="s">
        <v>5479</v>
      </c>
      <c r="D143" s="200" t="s">
        <v>5314</v>
      </c>
      <c r="E143" s="201">
        <v>8.0</v>
      </c>
      <c r="F143" s="200">
        <v>0.0</v>
      </c>
      <c r="G143" s="200" t="s">
        <v>5315</v>
      </c>
      <c r="H143" s="202" t="s">
        <v>5698</v>
      </c>
      <c r="Q143" s="9"/>
      <c r="R143" s="9"/>
      <c r="S143" s="9"/>
      <c r="T143" s="9"/>
    </row>
    <row r="144" ht="19.5" customHeight="1">
      <c r="A144" s="198">
        <v>45758.0</v>
      </c>
      <c r="B144" s="200" t="s">
        <v>5699</v>
      </c>
      <c r="C144" s="199" t="s">
        <v>225</v>
      </c>
      <c r="D144" s="200" t="s">
        <v>224</v>
      </c>
      <c r="E144" s="201">
        <v>225.0</v>
      </c>
      <c r="F144" s="200">
        <v>0.0</v>
      </c>
      <c r="G144" s="200" t="s">
        <v>5594</v>
      </c>
      <c r="H144" s="202" t="s">
        <v>5653</v>
      </c>
      <c r="Q144" s="9"/>
      <c r="R144" s="9"/>
      <c r="S144" s="9"/>
      <c r="T144" s="9"/>
    </row>
    <row r="145" ht="19.5" customHeight="1">
      <c r="A145" s="198">
        <v>45762.0</v>
      </c>
      <c r="B145" s="200" t="s">
        <v>5700</v>
      </c>
      <c r="C145" s="200" t="s">
        <v>5369</v>
      </c>
      <c r="D145" s="200" t="s">
        <v>206</v>
      </c>
      <c r="E145" s="201">
        <v>250.0</v>
      </c>
      <c r="F145" s="200">
        <v>0.0</v>
      </c>
      <c r="G145" s="200" t="s">
        <v>5363</v>
      </c>
      <c r="H145" s="202" t="s">
        <v>5653</v>
      </c>
      <c r="Q145" s="9"/>
      <c r="R145" s="9"/>
      <c r="S145" s="9"/>
      <c r="T145" s="9"/>
    </row>
    <row r="146" ht="19.5" customHeight="1">
      <c r="A146" s="198">
        <v>45762.0</v>
      </c>
      <c r="B146" s="200" t="s">
        <v>5700</v>
      </c>
      <c r="C146" s="200" t="s">
        <v>5408</v>
      </c>
      <c r="D146" s="200" t="s">
        <v>212</v>
      </c>
      <c r="E146" s="201">
        <v>11.0</v>
      </c>
      <c r="F146" s="200">
        <v>0.0</v>
      </c>
      <c r="G146" s="200" t="s">
        <v>5350</v>
      </c>
      <c r="H146" s="202" t="s">
        <v>5653</v>
      </c>
      <c r="Q146" s="9"/>
      <c r="R146" s="9"/>
      <c r="S146" s="9"/>
      <c r="T146" s="9"/>
    </row>
    <row r="147" ht="19.5" customHeight="1">
      <c r="A147" s="198">
        <v>45762.0</v>
      </c>
      <c r="B147" s="200" t="s">
        <v>5700</v>
      </c>
      <c r="C147" s="199" t="s">
        <v>240</v>
      </c>
      <c r="D147" s="200" t="s">
        <v>239</v>
      </c>
      <c r="E147" s="201">
        <v>60.0</v>
      </c>
      <c r="F147" s="200">
        <v>0.0</v>
      </c>
      <c r="G147" s="200" t="s">
        <v>5342</v>
      </c>
      <c r="H147" s="202" t="s">
        <v>5653</v>
      </c>
      <c r="Q147" s="9"/>
      <c r="R147" s="9"/>
      <c r="S147" s="9"/>
      <c r="T147" s="9"/>
    </row>
    <row r="148" ht="19.5" customHeight="1">
      <c r="A148" s="198">
        <v>45762.0</v>
      </c>
      <c r="B148" s="200" t="s">
        <v>5700</v>
      </c>
      <c r="C148" s="199" t="s">
        <v>5479</v>
      </c>
      <c r="D148" s="200" t="s">
        <v>5314</v>
      </c>
      <c r="E148" s="201">
        <v>18.0</v>
      </c>
      <c r="F148" s="200">
        <v>0.0</v>
      </c>
      <c r="G148" s="200" t="s">
        <v>5315</v>
      </c>
      <c r="H148" s="202" t="s">
        <v>5653</v>
      </c>
      <c r="Q148" s="9"/>
      <c r="R148" s="9"/>
      <c r="S148" s="9"/>
      <c r="T148" s="9"/>
    </row>
    <row r="149" ht="19.5" customHeight="1">
      <c r="A149" s="198">
        <v>45762.0</v>
      </c>
      <c r="B149" s="200" t="s">
        <v>5700</v>
      </c>
      <c r="C149" s="200" t="s">
        <v>5408</v>
      </c>
      <c r="D149" s="200" t="s">
        <v>212</v>
      </c>
      <c r="E149" s="201">
        <v>264.0</v>
      </c>
      <c r="F149" s="200">
        <v>0.0</v>
      </c>
      <c r="G149" s="200" t="s">
        <v>5350</v>
      </c>
      <c r="H149" s="202" t="s">
        <v>5653</v>
      </c>
      <c r="Q149" s="9"/>
      <c r="R149" s="9"/>
      <c r="S149" s="9"/>
      <c r="T149" s="9"/>
    </row>
    <row r="150" ht="19.5" customHeight="1">
      <c r="A150" s="198">
        <v>45770.0</v>
      </c>
      <c r="B150" s="199" t="s">
        <v>5701</v>
      </c>
      <c r="C150" s="199" t="s">
        <v>235</v>
      </c>
      <c r="D150" s="200" t="s">
        <v>8</v>
      </c>
      <c r="E150" s="201">
        <v>35.0</v>
      </c>
      <c r="F150" s="200">
        <v>0.0</v>
      </c>
      <c r="G150" s="199" t="s">
        <v>5702</v>
      </c>
      <c r="H150" s="202" t="s">
        <v>5649</v>
      </c>
      <c r="Q150" s="9"/>
      <c r="R150" s="9"/>
      <c r="S150" s="9"/>
      <c r="T150" s="9"/>
    </row>
    <row r="151" ht="19.5" customHeight="1">
      <c r="A151" s="198">
        <v>45770.0</v>
      </c>
      <c r="B151" s="199" t="s">
        <v>5701</v>
      </c>
      <c r="C151" s="200" t="s">
        <v>5369</v>
      </c>
      <c r="D151" s="200" t="s">
        <v>206</v>
      </c>
      <c r="E151" s="201">
        <v>175.0</v>
      </c>
      <c r="F151" s="200">
        <v>0.0</v>
      </c>
      <c r="G151" s="200" t="s">
        <v>5363</v>
      </c>
      <c r="H151" s="202" t="s">
        <v>5649</v>
      </c>
      <c r="Q151" s="9"/>
      <c r="R151" s="9"/>
      <c r="S151" s="9"/>
      <c r="T151" s="9"/>
    </row>
    <row r="152" ht="19.5" customHeight="1">
      <c r="A152" s="198">
        <v>45770.0</v>
      </c>
      <c r="B152" s="199" t="s">
        <v>5701</v>
      </c>
      <c r="C152" s="200" t="s">
        <v>5408</v>
      </c>
      <c r="D152" s="200" t="s">
        <v>212</v>
      </c>
      <c r="E152" s="201">
        <v>200.0</v>
      </c>
      <c r="F152" s="200">
        <v>0.0</v>
      </c>
      <c r="G152" s="200" t="s">
        <v>5350</v>
      </c>
      <c r="H152" s="202" t="s">
        <v>5649</v>
      </c>
      <c r="Q152" s="9"/>
      <c r="R152" s="9"/>
      <c r="S152" s="9"/>
      <c r="T152" s="9"/>
    </row>
    <row r="153" ht="19.5" customHeight="1">
      <c r="A153" s="198">
        <v>45770.0</v>
      </c>
      <c r="B153" s="199" t="s">
        <v>5701</v>
      </c>
      <c r="C153" s="200" t="s">
        <v>5369</v>
      </c>
      <c r="D153" s="200" t="s">
        <v>206</v>
      </c>
      <c r="E153" s="201">
        <v>25.0</v>
      </c>
      <c r="F153" s="200">
        <v>0.0</v>
      </c>
      <c r="G153" s="200" t="s">
        <v>5346</v>
      </c>
      <c r="H153" s="202" t="s">
        <v>5649</v>
      </c>
      <c r="Q153" s="9"/>
      <c r="R153" s="9"/>
      <c r="S153" s="9"/>
      <c r="T153" s="9"/>
    </row>
    <row r="154" ht="19.5" customHeight="1">
      <c r="A154" s="198">
        <v>45770.0</v>
      </c>
      <c r="B154" s="199" t="s">
        <v>5701</v>
      </c>
      <c r="C154" s="199" t="s">
        <v>5479</v>
      </c>
      <c r="D154" s="200" t="s">
        <v>5314</v>
      </c>
      <c r="E154" s="201">
        <v>14.0</v>
      </c>
      <c r="F154" s="200">
        <v>0.0</v>
      </c>
      <c r="G154" s="200" t="s">
        <v>5315</v>
      </c>
      <c r="H154" s="202" t="s">
        <v>5649</v>
      </c>
      <c r="Q154" s="9"/>
      <c r="R154" s="9"/>
      <c r="S154" s="9"/>
      <c r="T154" s="9"/>
    </row>
    <row r="155" ht="19.5" customHeight="1">
      <c r="A155" s="198">
        <v>45770.0</v>
      </c>
      <c r="B155" s="199" t="s">
        <v>5701</v>
      </c>
      <c r="C155" s="199" t="s">
        <v>1377</v>
      </c>
      <c r="D155" s="200" t="s">
        <v>1378</v>
      </c>
      <c r="E155" s="201">
        <v>6.0</v>
      </c>
      <c r="F155" s="200">
        <v>0.0</v>
      </c>
      <c r="G155" s="200" t="s">
        <v>5308</v>
      </c>
      <c r="H155" s="202" t="s">
        <v>5649</v>
      </c>
      <c r="Q155" s="9"/>
      <c r="R155" s="9"/>
      <c r="S155" s="9"/>
      <c r="T155" s="9"/>
    </row>
    <row r="156" ht="19.5" customHeight="1">
      <c r="A156" s="198">
        <v>45770.0</v>
      </c>
      <c r="B156" s="199" t="s">
        <v>5701</v>
      </c>
      <c r="C156" s="199" t="s">
        <v>225</v>
      </c>
      <c r="D156" s="200" t="s">
        <v>224</v>
      </c>
      <c r="E156" s="201">
        <v>75.0</v>
      </c>
      <c r="F156" s="200">
        <v>0.0</v>
      </c>
      <c r="G156" s="200" t="s">
        <v>5341</v>
      </c>
      <c r="H156" s="202" t="s">
        <v>5649</v>
      </c>
      <c r="Q156" s="9"/>
      <c r="R156" s="9"/>
      <c r="S156" s="9"/>
      <c r="T156" s="9"/>
    </row>
    <row r="157" ht="19.5" customHeight="1">
      <c r="A157" s="198">
        <v>45770.0</v>
      </c>
      <c r="B157" s="199" t="s">
        <v>5701</v>
      </c>
      <c r="C157" s="199" t="s">
        <v>235</v>
      </c>
      <c r="D157" s="200" t="s">
        <v>8</v>
      </c>
      <c r="E157" s="201">
        <v>35.0</v>
      </c>
      <c r="F157" s="200">
        <v>0.0</v>
      </c>
      <c r="G157" s="199" t="s">
        <v>5702</v>
      </c>
      <c r="H157" s="202" t="s">
        <v>5649</v>
      </c>
      <c r="Q157" s="9"/>
      <c r="R157" s="9"/>
      <c r="S157" s="9"/>
      <c r="T157" s="9"/>
    </row>
    <row r="158" ht="19.5" customHeight="1">
      <c r="A158" s="198">
        <v>45770.0</v>
      </c>
      <c r="B158" s="199" t="s">
        <v>5701</v>
      </c>
      <c r="C158" s="200" t="s">
        <v>5369</v>
      </c>
      <c r="D158" s="200" t="s">
        <v>206</v>
      </c>
      <c r="E158" s="201">
        <v>175.0</v>
      </c>
      <c r="F158" s="200">
        <v>0.0</v>
      </c>
      <c r="G158" s="200" t="s">
        <v>5363</v>
      </c>
      <c r="H158" s="202" t="s">
        <v>5649</v>
      </c>
      <c r="Q158" s="9"/>
      <c r="R158" s="9"/>
      <c r="S158" s="9"/>
      <c r="T158" s="9"/>
    </row>
    <row r="159" ht="19.5" customHeight="1">
      <c r="A159" s="198">
        <v>45770.0</v>
      </c>
      <c r="B159" s="199" t="s">
        <v>5701</v>
      </c>
      <c r="C159" s="200" t="s">
        <v>5408</v>
      </c>
      <c r="D159" s="200" t="s">
        <v>212</v>
      </c>
      <c r="E159" s="201">
        <v>200.0</v>
      </c>
      <c r="F159" s="200">
        <v>0.0</v>
      </c>
      <c r="G159" s="200" t="s">
        <v>5350</v>
      </c>
      <c r="H159" s="202" t="s">
        <v>5649</v>
      </c>
      <c r="Q159" s="9"/>
      <c r="R159" s="9"/>
      <c r="S159" s="9"/>
      <c r="T159" s="9"/>
    </row>
    <row r="160" ht="19.5" customHeight="1">
      <c r="A160" s="198">
        <v>45770.0</v>
      </c>
      <c r="B160" s="199" t="s">
        <v>5701</v>
      </c>
      <c r="C160" s="200" t="s">
        <v>5369</v>
      </c>
      <c r="D160" s="200" t="s">
        <v>206</v>
      </c>
      <c r="E160" s="201">
        <v>25.0</v>
      </c>
      <c r="F160" s="200">
        <v>0.0</v>
      </c>
      <c r="G160" s="200" t="s">
        <v>5346</v>
      </c>
      <c r="H160" s="202" t="s">
        <v>5649</v>
      </c>
      <c r="Q160" s="9"/>
      <c r="R160" s="9"/>
      <c r="S160" s="9"/>
      <c r="T160" s="9"/>
    </row>
    <row r="161" ht="19.5" customHeight="1">
      <c r="A161" s="198">
        <v>45770.0</v>
      </c>
      <c r="B161" s="199" t="s">
        <v>5701</v>
      </c>
      <c r="C161" s="199" t="s">
        <v>5479</v>
      </c>
      <c r="D161" s="200" t="s">
        <v>5314</v>
      </c>
      <c r="E161" s="201">
        <v>14.0</v>
      </c>
      <c r="F161" s="200">
        <v>0.0</v>
      </c>
      <c r="G161" s="200" t="s">
        <v>5315</v>
      </c>
      <c r="H161" s="202" t="s">
        <v>5649</v>
      </c>
      <c r="Q161" s="9"/>
      <c r="R161" s="9"/>
      <c r="S161" s="9"/>
      <c r="T161" s="9"/>
    </row>
    <row r="162" ht="19.5" customHeight="1">
      <c r="A162" s="198">
        <v>45770.0</v>
      </c>
      <c r="B162" s="199" t="s">
        <v>5701</v>
      </c>
      <c r="C162" s="199" t="s">
        <v>1377</v>
      </c>
      <c r="D162" s="200" t="s">
        <v>1378</v>
      </c>
      <c r="E162" s="201">
        <v>6.0</v>
      </c>
      <c r="F162" s="200">
        <v>0.0</v>
      </c>
      <c r="G162" s="200" t="s">
        <v>5308</v>
      </c>
      <c r="H162" s="202" t="s">
        <v>5649</v>
      </c>
      <c r="Q162" s="9"/>
      <c r="R162" s="9"/>
      <c r="S162" s="9"/>
      <c r="T162" s="9"/>
    </row>
    <row r="163" ht="19.5" customHeight="1">
      <c r="A163" s="198">
        <v>45770.0</v>
      </c>
      <c r="B163" s="199" t="s">
        <v>5701</v>
      </c>
      <c r="C163" s="199" t="s">
        <v>225</v>
      </c>
      <c r="D163" s="200" t="s">
        <v>224</v>
      </c>
      <c r="E163" s="201">
        <v>75.0</v>
      </c>
      <c r="F163" s="200">
        <v>0.0</v>
      </c>
      <c r="G163" s="200" t="s">
        <v>5341</v>
      </c>
      <c r="H163" s="202" t="s">
        <v>5649</v>
      </c>
      <c r="Q163" s="9"/>
      <c r="R163" s="9"/>
      <c r="S163" s="9"/>
      <c r="T163" s="9"/>
    </row>
    <row r="164" ht="19.5" customHeight="1">
      <c r="A164" s="198">
        <v>45769.0</v>
      </c>
      <c r="B164" s="199" t="s">
        <v>5703</v>
      </c>
      <c r="C164" s="199" t="s">
        <v>231</v>
      </c>
      <c r="D164" s="200" t="s">
        <v>230</v>
      </c>
      <c r="E164" s="201">
        <v>200.0</v>
      </c>
      <c r="F164" s="200">
        <v>0.0</v>
      </c>
      <c r="G164" s="199" t="s">
        <v>5704</v>
      </c>
      <c r="H164" s="202" t="s">
        <v>5669</v>
      </c>
      <c r="Q164" s="9"/>
      <c r="R164" s="9"/>
      <c r="S164" s="9"/>
      <c r="T164" s="9"/>
    </row>
    <row r="165" ht="19.5" customHeight="1">
      <c r="A165" s="198">
        <v>45769.0</v>
      </c>
      <c r="B165" s="199" t="s">
        <v>5703</v>
      </c>
      <c r="C165" s="199" t="s">
        <v>240</v>
      </c>
      <c r="D165" s="200" t="s">
        <v>239</v>
      </c>
      <c r="E165" s="201">
        <v>500.0</v>
      </c>
      <c r="F165" s="200">
        <v>0.0</v>
      </c>
      <c r="G165" s="199" t="s">
        <v>5705</v>
      </c>
      <c r="H165" s="202" t="s">
        <v>5669</v>
      </c>
      <c r="Q165" s="9"/>
      <c r="R165" s="9"/>
      <c r="S165" s="9"/>
      <c r="T165" s="9"/>
    </row>
    <row r="166" ht="19.5" customHeight="1">
      <c r="A166" s="198">
        <v>45768.0</v>
      </c>
      <c r="B166" s="199" t="s">
        <v>5706</v>
      </c>
      <c r="C166" s="200" t="s">
        <v>5383</v>
      </c>
      <c r="D166" s="200" t="s">
        <v>5384</v>
      </c>
      <c r="E166" s="201">
        <v>1.0</v>
      </c>
      <c r="F166" s="200">
        <v>0.0</v>
      </c>
      <c r="G166" s="200" t="s">
        <v>5382</v>
      </c>
      <c r="H166" s="202" t="s">
        <v>5707</v>
      </c>
      <c r="Q166" s="9"/>
      <c r="R166" s="9"/>
      <c r="S166" s="9"/>
      <c r="T166" s="9"/>
    </row>
    <row r="167" ht="19.5" customHeight="1">
      <c r="A167" s="198">
        <v>45769.0</v>
      </c>
      <c r="B167" s="200" t="s">
        <v>5708</v>
      </c>
      <c r="C167" s="200" t="s">
        <v>5383</v>
      </c>
      <c r="D167" s="200" t="s">
        <v>5384</v>
      </c>
      <c r="E167" s="201">
        <v>1.0</v>
      </c>
      <c r="F167" s="200">
        <v>0.0</v>
      </c>
      <c r="G167" s="200" t="s">
        <v>5382</v>
      </c>
      <c r="H167" s="202" t="s">
        <v>5709</v>
      </c>
      <c r="Q167" s="9"/>
      <c r="R167" s="9"/>
      <c r="S167" s="9"/>
      <c r="T167" s="9"/>
    </row>
    <row r="168" ht="19.5" customHeight="1">
      <c r="A168" s="198">
        <v>45769.0</v>
      </c>
      <c r="B168" s="199" t="s">
        <v>5710</v>
      </c>
      <c r="C168" s="199" t="s">
        <v>5487</v>
      </c>
      <c r="D168" s="200" t="s">
        <v>5608</v>
      </c>
      <c r="E168" s="201">
        <v>24.0</v>
      </c>
      <c r="F168" s="200">
        <v>0.0</v>
      </c>
      <c r="G168" s="199" t="s">
        <v>5687</v>
      </c>
      <c r="H168" s="202" t="s">
        <v>5711</v>
      </c>
      <c r="Q168" s="9"/>
      <c r="R168" s="9"/>
      <c r="S168" s="9"/>
      <c r="T168" s="9"/>
    </row>
    <row r="169" ht="19.5" customHeight="1">
      <c r="A169" s="198">
        <v>45769.0</v>
      </c>
      <c r="B169" s="199" t="s">
        <v>5710</v>
      </c>
      <c r="C169" s="200" t="s">
        <v>5461</v>
      </c>
      <c r="D169" s="200" t="s">
        <v>5318</v>
      </c>
      <c r="E169" s="201">
        <v>60.0</v>
      </c>
      <c r="F169" s="200">
        <v>0.0</v>
      </c>
      <c r="G169" s="200" t="s">
        <v>5712</v>
      </c>
      <c r="H169" s="202" t="s">
        <v>5711</v>
      </c>
      <c r="Q169" s="9"/>
      <c r="R169" s="9"/>
      <c r="S169" s="9"/>
      <c r="T169" s="9"/>
    </row>
    <row r="170" ht="19.5" customHeight="1">
      <c r="A170" s="198">
        <v>45769.0</v>
      </c>
      <c r="B170" s="199" t="s">
        <v>5710</v>
      </c>
      <c r="C170" s="200" t="s">
        <v>5423</v>
      </c>
      <c r="D170" s="200" t="s">
        <v>5324</v>
      </c>
      <c r="E170" s="201">
        <v>60.0</v>
      </c>
      <c r="F170" s="200">
        <v>0.0</v>
      </c>
      <c r="G170" s="200" t="s">
        <v>5312</v>
      </c>
      <c r="H170" s="202" t="s">
        <v>5711</v>
      </c>
      <c r="Q170" s="9"/>
      <c r="R170" s="9"/>
      <c r="S170" s="9"/>
      <c r="T170" s="9"/>
    </row>
    <row r="171" ht="19.5" customHeight="1">
      <c r="A171" s="198">
        <v>45769.0</v>
      </c>
      <c r="B171" s="199" t="s">
        <v>5710</v>
      </c>
      <c r="C171" s="199" t="s">
        <v>5467</v>
      </c>
      <c r="D171" s="200" t="s">
        <v>5406</v>
      </c>
      <c r="E171" s="201">
        <v>60.0</v>
      </c>
      <c r="F171" s="200">
        <v>0.0</v>
      </c>
      <c r="G171" s="200" t="s">
        <v>5342</v>
      </c>
      <c r="H171" s="202" t="s">
        <v>5711</v>
      </c>
      <c r="Q171" s="9"/>
      <c r="R171" s="9"/>
      <c r="S171" s="9"/>
      <c r="T171" s="9"/>
    </row>
    <row r="172" ht="19.5" customHeight="1">
      <c r="A172" s="198">
        <v>45769.0</v>
      </c>
      <c r="B172" s="199" t="s">
        <v>5710</v>
      </c>
      <c r="C172" s="199" t="s">
        <v>5488</v>
      </c>
      <c r="D172" s="200" t="s">
        <v>5348</v>
      </c>
      <c r="E172" s="201">
        <v>12.0</v>
      </c>
      <c r="F172" s="200">
        <v>0.0</v>
      </c>
      <c r="G172" s="200" t="s">
        <v>5429</v>
      </c>
      <c r="H172" s="202" t="s">
        <v>5711</v>
      </c>
      <c r="Q172" s="9"/>
      <c r="R172" s="9"/>
      <c r="S172" s="9"/>
      <c r="T172" s="9"/>
    </row>
    <row r="173" ht="19.5" customHeight="1">
      <c r="A173" s="198">
        <v>45769.0</v>
      </c>
      <c r="B173" s="199" t="s">
        <v>5710</v>
      </c>
      <c r="C173" s="199" t="s">
        <v>5481</v>
      </c>
      <c r="D173" s="200" t="s">
        <v>5388</v>
      </c>
      <c r="E173" s="201">
        <v>36.0</v>
      </c>
      <c r="F173" s="200">
        <v>0.0</v>
      </c>
      <c r="G173" s="200" t="s">
        <v>5378</v>
      </c>
      <c r="H173" s="202" t="s">
        <v>5711</v>
      </c>
      <c r="Q173" s="9"/>
      <c r="R173" s="9"/>
      <c r="S173" s="9"/>
      <c r="T173" s="9"/>
    </row>
    <row r="174" ht="19.5" customHeight="1">
      <c r="A174" s="198">
        <v>45770.0</v>
      </c>
      <c r="B174" s="199" t="s">
        <v>5701</v>
      </c>
      <c r="C174" s="199" t="s">
        <v>377</v>
      </c>
      <c r="D174" s="200" t="s">
        <v>376</v>
      </c>
      <c r="E174" s="201">
        <v>26.0</v>
      </c>
      <c r="F174" s="200">
        <v>0.0</v>
      </c>
      <c r="G174" s="200" t="s">
        <v>5366</v>
      </c>
      <c r="H174" s="202" t="s">
        <v>5649</v>
      </c>
      <c r="Q174" s="9"/>
      <c r="R174" s="9"/>
      <c r="S174" s="9"/>
      <c r="T174" s="9"/>
    </row>
    <row r="175" ht="19.5" customHeight="1">
      <c r="A175" s="198">
        <v>45770.0</v>
      </c>
      <c r="B175" s="200" t="s">
        <v>5713</v>
      </c>
      <c r="C175" s="200" t="s">
        <v>5383</v>
      </c>
      <c r="D175" s="200" t="s">
        <v>5384</v>
      </c>
      <c r="E175" s="201">
        <v>1.0</v>
      </c>
      <c r="F175" s="200">
        <v>0.0</v>
      </c>
      <c r="G175" s="200" t="s">
        <v>5382</v>
      </c>
      <c r="H175" s="202" t="s">
        <v>5711</v>
      </c>
      <c r="Q175" s="9"/>
      <c r="R175" s="9"/>
      <c r="S175" s="9"/>
      <c r="T175" s="9"/>
    </row>
    <row r="176" ht="19.5" customHeight="1">
      <c r="A176" s="198">
        <v>45771.0</v>
      </c>
      <c r="B176" s="199" t="s">
        <v>5714</v>
      </c>
      <c r="C176" s="200" t="s">
        <v>5423</v>
      </c>
      <c r="D176" s="200" t="s">
        <v>5324</v>
      </c>
      <c r="E176" s="201">
        <v>40.0</v>
      </c>
      <c r="F176" s="200">
        <v>0.0</v>
      </c>
      <c r="G176" s="200" t="s">
        <v>5312</v>
      </c>
      <c r="H176" s="202" t="s">
        <v>5715</v>
      </c>
      <c r="Q176" s="9"/>
      <c r="R176" s="9"/>
      <c r="S176" s="9"/>
      <c r="T176" s="9"/>
    </row>
    <row r="177" ht="19.5" customHeight="1">
      <c r="A177" s="198">
        <v>45771.0</v>
      </c>
      <c r="B177" s="199" t="s">
        <v>5714</v>
      </c>
      <c r="C177" s="199" t="s">
        <v>5467</v>
      </c>
      <c r="D177" s="200" t="s">
        <v>5406</v>
      </c>
      <c r="E177" s="201">
        <v>60.0</v>
      </c>
      <c r="F177" s="200">
        <v>0.0</v>
      </c>
      <c r="G177" s="200" t="s">
        <v>5342</v>
      </c>
      <c r="H177" s="202" t="s">
        <v>5715</v>
      </c>
      <c r="Q177" s="9"/>
      <c r="R177" s="9"/>
      <c r="S177" s="9"/>
      <c r="T177" s="9"/>
    </row>
    <row r="178" ht="19.5" customHeight="1">
      <c r="A178" s="198">
        <v>45771.0</v>
      </c>
      <c r="B178" s="199" t="s">
        <v>5714</v>
      </c>
      <c r="C178" s="200" t="s">
        <v>5453</v>
      </c>
      <c r="D178" s="200" t="s">
        <v>5352</v>
      </c>
      <c r="E178" s="201">
        <v>35.0</v>
      </c>
      <c r="F178" s="200">
        <v>0.0</v>
      </c>
      <c r="G178" s="200" t="s">
        <v>5575</v>
      </c>
      <c r="H178" s="202" t="s">
        <v>5715</v>
      </c>
      <c r="Q178" s="9"/>
      <c r="R178" s="9"/>
      <c r="S178" s="9"/>
      <c r="T178" s="9"/>
    </row>
    <row r="179" ht="19.5" customHeight="1">
      <c r="A179" s="198">
        <v>45771.0</v>
      </c>
      <c r="B179" s="199" t="s">
        <v>5714</v>
      </c>
      <c r="C179" s="199" t="s">
        <v>5483</v>
      </c>
      <c r="D179" s="200" t="s">
        <v>5377</v>
      </c>
      <c r="E179" s="201">
        <v>12.0</v>
      </c>
      <c r="F179" s="200">
        <v>0.0</v>
      </c>
      <c r="G179" s="200" t="s">
        <v>5378</v>
      </c>
      <c r="H179" s="202" t="s">
        <v>5715</v>
      </c>
      <c r="Q179" s="9"/>
      <c r="R179" s="9"/>
      <c r="S179" s="9"/>
      <c r="T179" s="9"/>
    </row>
    <row r="180" ht="19.5" customHeight="1">
      <c r="A180" s="198">
        <v>45771.0</v>
      </c>
      <c r="B180" s="199" t="s">
        <v>5714</v>
      </c>
      <c r="C180" s="200" t="s">
        <v>5423</v>
      </c>
      <c r="D180" s="200" t="s">
        <v>5324</v>
      </c>
      <c r="E180" s="201">
        <v>20.0</v>
      </c>
      <c r="F180" s="200">
        <v>0.0</v>
      </c>
      <c r="G180" s="200" t="s">
        <v>5716</v>
      </c>
      <c r="H180" s="202" t="s">
        <v>5715</v>
      </c>
      <c r="Q180" s="9"/>
      <c r="R180" s="9"/>
      <c r="S180" s="9"/>
      <c r="T180" s="9"/>
    </row>
    <row r="181" ht="19.5" customHeight="1">
      <c r="A181" s="198">
        <v>45771.0</v>
      </c>
      <c r="B181" s="199" t="s">
        <v>5714</v>
      </c>
      <c r="C181" s="200" t="s">
        <v>5453</v>
      </c>
      <c r="D181" s="200" t="s">
        <v>5352</v>
      </c>
      <c r="E181" s="201">
        <v>25.0</v>
      </c>
      <c r="F181" s="200">
        <v>0.0</v>
      </c>
      <c r="G181" s="200" t="s">
        <v>5717</v>
      </c>
      <c r="H181" s="202" t="s">
        <v>5715</v>
      </c>
      <c r="Q181" s="9"/>
      <c r="R181" s="9"/>
      <c r="S181" s="9"/>
      <c r="T181" s="9"/>
    </row>
    <row r="182" ht="19.5" customHeight="1">
      <c r="A182" s="198">
        <v>45771.0</v>
      </c>
      <c r="B182" s="200" t="s">
        <v>5718</v>
      </c>
      <c r="C182" s="199" t="s">
        <v>5479</v>
      </c>
      <c r="D182" s="200" t="s">
        <v>5314</v>
      </c>
      <c r="E182" s="201">
        <v>7.0</v>
      </c>
      <c r="F182" s="200">
        <v>0.0</v>
      </c>
      <c r="G182" s="200" t="s">
        <v>5315</v>
      </c>
      <c r="H182" s="202" t="s">
        <v>5660</v>
      </c>
      <c r="Q182" s="9"/>
      <c r="R182" s="9"/>
      <c r="S182" s="9"/>
      <c r="T182" s="9"/>
    </row>
    <row r="183" ht="19.5" customHeight="1">
      <c r="A183" s="198">
        <v>45771.0</v>
      </c>
      <c r="B183" s="200" t="s">
        <v>5718</v>
      </c>
      <c r="C183" s="199" t="s">
        <v>377</v>
      </c>
      <c r="D183" s="200" t="s">
        <v>376</v>
      </c>
      <c r="E183" s="201">
        <v>4.0</v>
      </c>
      <c r="F183" s="200">
        <v>0.0</v>
      </c>
      <c r="G183" s="200" t="s">
        <v>5366</v>
      </c>
      <c r="H183" s="202" t="s">
        <v>5660</v>
      </c>
      <c r="Q183" s="9"/>
      <c r="R183" s="9"/>
      <c r="S183" s="9"/>
      <c r="T183" s="9"/>
    </row>
    <row r="184" ht="19.5" customHeight="1">
      <c r="A184" s="198">
        <v>45771.0</v>
      </c>
      <c r="B184" s="199" t="s">
        <v>5719</v>
      </c>
      <c r="C184" s="199" t="s">
        <v>1377</v>
      </c>
      <c r="D184" s="200" t="s">
        <v>1378</v>
      </c>
      <c r="E184" s="201">
        <v>52.0</v>
      </c>
      <c r="F184" s="200">
        <v>0.0</v>
      </c>
      <c r="G184" s="200" t="s">
        <v>5308</v>
      </c>
      <c r="H184" s="202" t="s">
        <v>5660</v>
      </c>
      <c r="Q184" s="9"/>
      <c r="R184" s="9"/>
      <c r="S184" s="9"/>
      <c r="T184" s="9"/>
    </row>
    <row r="185" ht="19.5" customHeight="1">
      <c r="A185" s="198">
        <v>45771.0</v>
      </c>
      <c r="B185" s="199" t="s">
        <v>5719</v>
      </c>
      <c r="C185" s="200" t="s">
        <v>5403</v>
      </c>
      <c r="D185" s="200" t="s">
        <v>218</v>
      </c>
      <c r="E185" s="201">
        <v>200.0</v>
      </c>
      <c r="F185" s="200">
        <v>0.0</v>
      </c>
      <c r="G185" s="200" t="s">
        <v>5617</v>
      </c>
      <c r="H185" s="202" t="s">
        <v>5649</v>
      </c>
      <c r="Q185" s="9"/>
      <c r="R185" s="9"/>
      <c r="S185" s="9"/>
      <c r="T185" s="9"/>
    </row>
    <row r="186" ht="19.5" customHeight="1">
      <c r="A186" s="198">
        <v>45771.0</v>
      </c>
      <c r="B186" s="199" t="s">
        <v>5719</v>
      </c>
      <c r="C186" s="200" t="s">
        <v>5403</v>
      </c>
      <c r="D186" s="200" t="s">
        <v>218</v>
      </c>
      <c r="E186" s="201">
        <v>200.0</v>
      </c>
      <c r="F186" s="200">
        <v>0.0</v>
      </c>
      <c r="G186" s="200" t="s">
        <v>5374</v>
      </c>
      <c r="H186" s="202" t="s">
        <v>5649</v>
      </c>
      <c r="Q186" s="9"/>
      <c r="R186" s="9"/>
      <c r="S186" s="9"/>
      <c r="T186" s="9"/>
    </row>
    <row r="187" ht="19.5" customHeight="1">
      <c r="A187" s="198">
        <v>45772.0</v>
      </c>
      <c r="B187" s="199" t="s">
        <v>5719</v>
      </c>
      <c r="C187" s="199" t="s">
        <v>245</v>
      </c>
      <c r="D187" s="200" t="s">
        <v>5464</v>
      </c>
      <c r="E187" s="201">
        <v>10.0</v>
      </c>
      <c r="F187" s="200">
        <v>0.0</v>
      </c>
      <c r="G187" s="199" t="s">
        <v>5720</v>
      </c>
      <c r="H187" s="202" t="s">
        <v>5721</v>
      </c>
      <c r="Q187" s="9"/>
      <c r="R187" s="9"/>
      <c r="S187" s="9"/>
      <c r="T187" s="9"/>
    </row>
    <row r="188" ht="19.5" customHeight="1">
      <c r="A188" s="198">
        <v>45772.0</v>
      </c>
      <c r="B188" s="199" t="s">
        <v>5722</v>
      </c>
      <c r="C188" s="200" t="s">
        <v>5408</v>
      </c>
      <c r="D188" s="200" t="s">
        <v>212</v>
      </c>
      <c r="E188" s="201">
        <v>300.0</v>
      </c>
      <c r="F188" s="200">
        <v>0.0</v>
      </c>
      <c r="G188" s="200" t="s">
        <v>5316</v>
      </c>
      <c r="H188" s="202" t="s">
        <v>5649</v>
      </c>
      <c r="Q188" s="9"/>
      <c r="R188" s="9"/>
      <c r="S188" s="9"/>
      <c r="T188" s="9"/>
    </row>
    <row r="189" ht="19.5" customHeight="1">
      <c r="A189" s="198">
        <v>45772.0</v>
      </c>
      <c r="B189" s="199" t="s">
        <v>5722</v>
      </c>
      <c r="C189" s="200" t="s">
        <v>5369</v>
      </c>
      <c r="D189" s="200" t="s">
        <v>206</v>
      </c>
      <c r="E189" s="201">
        <v>400.0</v>
      </c>
      <c r="F189" s="200">
        <v>0.0</v>
      </c>
      <c r="G189" s="200" t="s">
        <v>5346</v>
      </c>
      <c r="H189" s="202" t="s">
        <v>5649</v>
      </c>
      <c r="Q189" s="9"/>
      <c r="R189" s="9"/>
      <c r="S189" s="9"/>
      <c r="T189" s="9"/>
    </row>
    <row r="190" ht="19.5" customHeight="1">
      <c r="A190" s="198">
        <v>45772.0</v>
      </c>
      <c r="B190" s="199" t="s">
        <v>5722</v>
      </c>
      <c r="C190" s="199" t="s">
        <v>5479</v>
      </c>
      <c r="D190" s="200" t="s">
        <v>5314</v>
      </c>
      <c r="E190" s="201">
        <v>4.0</v>
      </c>
      <c r="F190" s="200">
        <v>0.0</v>
      </c>
      <c r="G190" s="200" t="s">
        <v>5315</v>
      </c>
      <c r="H190" s="202" t="s">
        <v>5649</v>
      </c>
      <c r="Q190" s="9"/>
      <c r="R190" s="9"/>
      <c r="S190" s="9"/>
      <c r="T190" s="9"/>
    </row>
    <row r="191" ht="19.5" customHeight="1">
      <c r="A191" s="198">
        <v>45772.0</v>
      </c>
      <c r="B191" s="199" t="s">
        <v>5722</v>
      </c>
      <c r="C191" s="199" t="s">
        <v>377</v>
      </c>
      <c r="D191" s="200" t="s">
        <v>376</v>
      </c>
      <c r="E191" s="201">
        <v>4.0</v>
      </c>
      <c r="F191" s="200">
        <v>0.0</v>
      </c>
      <c r="G191" s="200" t="s">
        <v>5366</v>
      </c>
      <c r="H191" s="202" t="s">
        <v>5649</v>
      </c>
      <c r="Q191" s="9"/>
      <c r="R191" s="9"/>
      <c r="S191" s="9"/>
      <c r="T191" s="9"/>
    </row>
    <row r="192" ht="19.5" customHeight="1">
      <c r="A192" s="198">
        <v>45772.0</v>
      </c>
      <c r="B192" s="199" t="s">
        <v>5722</v>
      </c>
      <c r="C192" s="199" t="s">
        <v>225</v>
      </c>
      <c r="D192" s="200" t="s">
        <v>224</v>
      </c>
      <c r="E192" s="201">
        <v>150.0</v>
      </c>
      <c r="F192" s="200">
        <v>0.0</v>
      </c>
      <c r="G192" s="200" t="s">
        <v>5420</v>
      </c>
      <c r="H192" s="202" t="s">
        <v>5649</v>
      </c>
      <c r="Q192" s="9"/>
      <c r="R192" s="9"/>
      <c r="S192" s="9"/>
      <c r="T192" s="9"/>
    </row>
    <row r="193" ht="19.5" customHeight="1">
      <c r="A193" s="198">
        <v>45772.0</v>
      </c>
      <c r="B193" s="199" t="s">
        <v>5722</v>
      </c>
      <c r="C193" s="199" t="s">
        <v>225</v>
      </c>
      <c r="D193" s="200" t="s">
        <v>224</v>
      </c>
      <c r="E193" s="201">
        <v>100.0</v>
      </c>
      <c r="F193" s="200">
        <v>0.0</v>
      </c>
      <c r="G193" s="200" t="s">
        <v>5421</v>
      </c>
      <c r="H193" s="202" t="s">
        <v>5649</v>
      </c>
      <c r="Q193" s="9"/>
      <c r="R193" s="9"/>
      <c r="S193" s="9"/>
      <c r="T193" s="9"/>
    </row>
    <row r="194" ht="19.5" customHeight="1">
      <c r="A194" s="198">
        <v>45772.0</v>
      </c>
      <c r="B194" s="199" t="s">
        <v>5723</v>
      </c>
      <c r="C194" s="200" t="s">
        <v>5403</v>
      </c>
      <c r="D194" s="200" t="s">
        <v>218</v>
      </c>
      <c r="E194" s="201">
        <v>200.0</v>
      </c>
      <c r="F194" s="200">
        <v>0.0</v>
      </c>
      <c r="G194" s="200" t="s">
        <v>5617</v>
      </c>
      <c r="H194" s="202" t="s">
        <v>5649</v>
      </c>
      <c r="Q194" s="9"/>
      <c r="R194" s="9"/>
      <c r="S194" s="9"/>
      <c r="T194" s="9"/>
    </row>
    <row r="195" ht="19.5" customHeight="1">
      <c r="A195" s="198">
        <v>45772.0</v>
      </c>
      <c r="B195" s="199" t="s">
        <v>5723</v>
      </c>
      <c r="C195" s="200" t="s">
        <v>5403</v>
      </c>
      <c r="D195" s="200" t="s">
        <v>218</v>
      </c>
      <c r="E195" s="201">
        <v>200.0</v>
      </c>
      <c r="F195" s="200">
        <v>0.0</v>
      </c>
      <c r="G195" s="200" t="s">
        <v>5374</v>
      </c>
      <c r="H195" s="202" t="s">
        <v>5649</v>
      </c>
      <c r="Q195" s="9"/>
      <c r="R195" s="9"/>
      <c r="S195" s="9"/>
      <c r="T195" s="9"/>
    </row>
    <row r="196" ht="19.5" customHeight="1">
      <c r="A196" s="198">
        <v>45772.0</v>
      </c>
      <c r="B196" s="199" t="s">
        <v>5723</v>
      </c>
      <c r="C196" s="200" t="s">
        <v>5403</v>
      </c>
      <c r="D196" s="200" t="s">
        <v>218</v>
      </c>
      <c r="E196" s="201">
        <v>200.0</v>
      </c>
      <c r="F196" s="200">
        <v>0.0</v>
      </c>
      <c r="G196" s="200" t="s">
        <v>5375</v>
      </c>
      <c r="H196" s="202" t="s">
        <v>5649</v>
      </c>
      <c r="Q196" s="9"/>
      <c r="R196" s="9"/>
      <c r="S196" s="9"/>
      <c r="T196" s="9"/>
    </row>
    <row r="197" ht="19.5" customHeight="1">
      <c r="A197" s="198">
        <v>45772.0</v>
      </c>
      <c r="B197" s="199" t="s">
        <v>5723</v>
      </c>
      <c r="C197" s="200" t="s">
        <v>5403</v>
      </c>
      <c r="D197" s="200" t="s">
        <v>218</v>
      </c>
      <c r="E197" s="201">
        <v>200.0</v>
      </c>
      <c r="F197" s="200">
        <v>0.0</v>
      </c>
      <c r="G197" s="200" t="s">
        <v>5621</v>
      </c>
      <c r="H197" s="202" t="s">
        <v>5649</v>
      </c>
      <c r="Q197" s="9"/>
      <c r="R197" s="9"/>
      <c r="S197" s="9"/>
      <c r="T197" s="9"/>
    </row>
    <row r="198" ht="19.5" customHeight="1">
      <c r="A198" s="198">
        <v>45772.0</v>
      </c>
      <c r="B198" s="199" t="s">
        <v>5723</v>
      </c>
      <c r="C198" s="200" t="s">
        <v>5403</v>
      </c>
      <c r="D198" s="200" t="s">
        <v>218</v>
      </c>
      <c r="E198" s="201">
        <v>200.0</v>
      </c>
      <c r="F198" s="200">
        <v>0.0</v>
      </c>
      <c r="G198" s="200" t="s">
        <v>5414</v>
      </c>
      <c r="H198" s="202" t="s">
        <v>5649</v>
      </c>
      <c r="Q198" s="9"/>
      <c r="R198" s="9"/>
      <c r="S198" s="9"/>
      <c r="T198" s="9"/>
    </row>
    <row r="199" ht="19.5" customHeight="1">
      <c r="A199" s="198">
        <v>45772.0</v>
      </c>
      <c r="B199" s="199" t="s">
        <v>5723</v>
      </c>
      <c r="C199" s="200" t="s">
        <v>5403</v>
      </c>
      <c r="D199" s="200" t="s">
        <v>218</v>
      </c>
      <c r="E199" s="201">
        <v>200.0</v>
      </c>
      <c r="F199" s="200">
        <v>0.0</v>
      </c>
      <c r="G199" s="200" t="s">
        <v>5405</v>
      </c>
      <c r="H199" s="202" t="s">
        <v>5649</v>
      </c>
      <c r="Q199" s="9"/>
      <c r="R199" s="9"/>
      <c r="S199" s="9"/>
      <c r="T199" s="9"/>
    </row>
    <row r="200" ht="19.5" customHeight="1">
      <c r="A200" s="198">
        <v>45772.0</v>
      </c>
      <c r="B200" s="199" t="s">
        <v>5723</v>
      </c>
      <c r="C200" s="200" t="s">
        <v>5403</v>
      </c>
      <c r="D200" s="200" t="s">
        <v>218</v>
      </c>
      <c r="E200" s="201">
        <v>100.0</v>
      </c>
      <c r="F200" s="200">
        <v>0.0</v>
      </c>
      <c r="G200" s="200" t="s">
        <v>5622</v>
      </c>
      <c r="H200" s="202" t="s">
        <v>5649</v>
      </c>
      <c r="Q200" s="9"/>
      <c r="R200" s="9"/>
      <c r="S200" s="9"/>
      <c r="T200" s="9"/>
    </row>
    <row r="201" ht="19.5" customHeight="1">
      <c r="A201" s="198">
        <v>45775.0</v>
      </c>
      <c r="B201" s="199" t="s">
        <v>5724</v>
      </c>
      <c r="C201" s="199" t="s">
        <v>1377</v>
      </c>
      <c r="D201" s="200" t="s">
        <v>1378</v>
      </c>
      <c r="E201" s="201">
        <v>12.0</v>
      </c>
      <c r="F201" s="200">
        <v>0.0</v>
      </c>
      <c r="G201" s="200" t="s">
        <v>5308</v>
      </c>
      <c r="H201" s="202" t="s">
        <v>5660</v>
      </c>
      <c r="Q201" s="9"/>
      <c r="R201" s="9"/>
      <c r="S201" s="9"/>
      <c r="T201" s="9"/>
    </row>
    <row r="202" ht="19.5" customHeight="1">
      <c r="A202" s="198">
        <v>45775.0</v>
      </c>
      <c r="B202" s="199" t="s">
        <v>5725</v>
      </c>
      <c r="C202" s="199" t="s">
        <v>1377</v>
      </c>
      <c r="D202" s="200" t="s">
        <v>1378</v>
      </c>
      <c r="E202" s="201">
        <v>12.0</v>
      </c>
      <c r="F202" s="200">
        <v>0.0</v>
      </c>
      <c r="G202" s="200" t="s">
        <v>5308</v>
      </c>
      <c r="H202" s="202" t="s">
        <v>5649</v>
      </c>
      <c r="Q202" s="9"/>
      <c r="R202" s="9"/>
      <c r="S202" s="9"/>
      <c r="T202" s="9"/>
    </row>
    <row r="203" ht="19.5" customHeight="1">
      <c r="A203" s="198">
        <v>45775.0</v>
      </c>
      <c r="B203" s="199" t="s">
        <v>5726</v>
      </c>
      <c r="C203" s="199" t="s">
        <v>1377</v>
      </c>
      <c r="D203" s="200" t="s">
        <v>1378</v>
      </c>
      <c r="E203" s="201">
        <v>24.0</v>
      </c>
      <c r="F203" s="200">
        <v>0.0</v>
      </c>
      <c r="G203" s="200" t="s">
        <v>5308</v>
      </c>
      <c r="H203" s="202" t="s">
        <v>5649</v>
      </c>
      <c r="Q203" s="9"/>
      <c r="R203" s="9"/>
      <c r="S203" s="9"/>
      <c r="T203" s="9"/>
    </row>
    <row r="204" ht="19.5" customHeight="1">
      <c r="A204" s="198">
        <v>45775.0</v>
      </c>
      <c r="B204" s="199" t="s">
        <v>5727</v>
      </c>
      <c r="C204" s="199" t="s">
        <v>1377</v>
      </c>
      <c r="D204" s="200" t="s">
        <v>1378</v>
      </c>
      <c r="E204" s="201">
        <v>12.0</v>
      </c>
      <c r="F204" s="200">
        <v>0.0</v>
      </c>
      <c r="G204" s="200" t="s">
        <v>5308</v>
      </c>
      <c r="H204" s="202" t="s">
        <v>5649</v>
      </c>
      <c r="Q204" s="9"/>
      <c r="R204" s="9"/>
      <c r="S204" s="9"/>
      <c r="T204" s="9"/>
    </row>
    <row r="205" ht="19.5" customHeight="1">
      <c r="A205" s="198">
        <v>45776.0</v>
      </c>
      <c r="B205" s="199" t="s">
        <v>5728</v>
      </c>
      <c r="C205" s="200" t="s">
        <v>5423</v>
      </c>
      <c r="D205" s="200" t="s">
        <v>5324</v>
      </c>
      <c r="E205" s="201">
        <v>150.0</v>
      </c>
      <c r="F205" s="200">
        <v>0.0</v>
      </c>
      <c r="G205" s="199" t="s">
        <v>5338</v>
      </c>
      <c r="H205" s="202" t="s">
        <v>5711</v>
      </c>
      <c r="Q205" s="9"/>
      <c r="R205" s="9"/>
      <c r="S205" s="9"/>
      <c r="T205" s="9"/>
    </row>
    <row r="206" ht="19.5" customHeight="1">
      <c r="A206" s="198">
        <v>45776.0</v>
      </c>
      <c r="B206" s="199" t="s">
        <v>5728</v>
      </c>
      <c r="C206" s="199" t="s">
        <v>5487</v>
      </c>
      <c r="D206" s="200" t="s">
        <v>5608</v>
      </c>
      <c r="E206" s="201">
        <v>48.0</v>
      </c>
      <c r="F206" s="200">
        <v>0.0</v>
      </c>
      <c r="G206" s="199" t="s">
        <v>5687</v>
      </c>
      <c r="H206" s="202" t="s">
        <v>5711</v>
      </c>
      <c r="Q206" s="9"/>
      <c r="R206" s="9"/>
      <c r="S206" s="9"/>
      <c r="T206" s="9"/>
    </row>
    <row r="207" ht="19.5" customHeight="1">
      <c r="A207" s="198">
        <v>45776.0</v>
      </c>
      <c r="B207" s="199" t="s">
        <v>5728</v>
      </c>
      <c r="C207" s="199" t="s">
        <v>5492</v>
      </c>
      <c r="D207" s="200" t="s">
        <v>5493</v>
      </c>
      <c r="E207" s="201">
        <v>100.0</v>
      </c>
      <c r="F207" s="200">
        <v>0.0</v>
      </c>
      <c r="G207" s="200" t="s">
        <v>5557</v>
      </c>
      <c r="H207" s="202" t="s">
        <v>5711</v>
      </c>
      <c r="Q207" s="9"/>
      <c r="R207" s="9"/>
      <c r="S207" s="9"/>
      <c r="T207" s="9"/>
    </row>
    <row r="208" ht="19.5" customHeight="1">
      <c r="A208" s="198">
        <v>45776.0</v>
      </c>
      <c r="B208" s="199" t="s">
        <v>5728</v>
      </c>
      <c r="C208" s="200" t="s">
        <v>5461</v>
      </c>
      <c r="D208" s="200" t="s">
        <v>5318</v>
      </c>
      <c r="E208" s="201">
        <v>150.0</v>
      </c>
      <c r="F208" s="200">
        <v>0.0</v>
      </c>
      <c r="G208" s="200" t="s">
        <v>5319</v>
      </c>
      <c r="H208" s="202" t="s">
        <v>5711</v>
      </c>
      <c r="Q208" s="9"/>
      <c r="R208" s="9"/>
      <c r="S208" s="9"/>
      <c r="T208" s="9"/>
    </row>
    <row r="209" ht="19.5" customHeight="1">
      <c r="A209" s="198">
        <v>45776.0</v>
      </c>
      <c r="B209" s="199" t="s">
        <v>5728</v>
      </c>
      <c r="C209" s="200" t="s">
        <v>5461</v>
      </c>
      <c r="D209" s="200" t="s">
        <v>5318</v>
      </c>
      <c r="E209" s="201">
        <v>139.0</v>
      </c>
      <c r="F209" s="200">
        <v>0.0</v>
      </c>
      <c r="G209" s="200" t="s">
        <v>5712</v>
      </c>
      <c r="H209" s="202" t="s">
        <v>5711</v>
      </c>
      <c r="Q209" s="9"/>
      <c r="R209" s="9"/>
      <c r="S209" s="9"/>
      <c r="T209" s="9"/>
    </row>
    <row r="210" ht="19.5" customHeight="1">
      <c r="A210" s="198">
        <v>45776.0</v>
      </c>
      <c r="B210" s="199" t="s">
        <v>5728</v>
      </c>
      <c r="C210" s="200" t="s">
        <v>5423</v>
      </c>
      <c r="D210" s="200" t="s">
        <v>5324</v>
      </c>
      <c r="E210" s="201">
        <v>168.0</v>
      </c>
      <c r="F210" s="200">
        <v>0.0</v>
      </c>
      <c r="G210" s="200" t="s">
        <v>5312</v>
      </c>
      <c r="H210" s="202" t="s">
        <v>5711</v>
      </c>
      <c r="Q210" s="9"/>
      <c r="R210" s="9"/>
      <c r="S210" s="9"/>
      <c r="T210" s="9"/>
    </row>
    <row r="211" ht="19.5" customHeight="1">
      <c r="A211" s="198">
        <v>45776.0</v>
      </c>
      <c r="B211" s="199" t="s">
        <v>5728</v>
      </c>
      <c r="C211" s="199" t="s">
        <v>5467</v>
      </c>
      <c r="D211" s="200" t="s">
        <v>5406</v>
      </c>
      <c r="E211" s="201">
        <v>240.0</v>
      </c>
      <c r="F211" s="200">
        <v>0.0</v>
      </c>
      <c r="G211" s="200" t="s">
        <v>5342</v>
      </c>
      <c r="H211" s="202" t="s">
        <v>5711</v>
      </c>
      <c r="Q211" s="9"/>
      <c r="R211" s="9"/>
      <c r="S211" s="9"/>
      <c r="T211" s="9"/>
    </row>
    <row r="212" ht="19.5" customHeight="1">
      <c r="A212" s="198">
        <v>45776.0</v>
      </c>
      <c r="B212" s="199" t="s">
        <v>5728</v>
      </c>
      <c r="C212" s="200" t="s">
        <v>5453</v>
      </c>
      <c r="D212" s="200" t="s">
        <v>5352</v>
      </c>
      <c r="E212" s="201">
        <v>300.0</v>
      </c>
      <c r="F212" s="200">
        <v>0.0</v>
      </c>
      <c r="G212" s="200" t="s">
        <v>5575</v>
      </c>
      <c r="H212" s="202" t="s">
        <v>5711</v>
      </c>
      <c r="Q212" s="9"/>
      <c r="R212" s="9"/>
      <c r="S212" s="9"/>
      <c r="T212" s="9"/>
    </row>
    <row r="213" ht="19.5" customHeight="1">
      <c r="A213" s="198">
        <v>45776.0</v>
      </c>
      <c r="B213" s="199" t="s">
        <v>5728</v>
      </c>
      <c r="C213" s="199" t="s">
        <v>5488</v>
      </c>
      <c r="D213" s="200" t="s">
        <v>5348</v>
      </c>
      <c r="E213" s="201">
        <v>48.0</v>
      </c>
      <c r="F213" s="200">
        <v>0.0</v>
      </c>
      <c r="G213" s="200" t="s">
        <v>5429</v>
      </c>
      <c r="H213" s="202" t="s">
        <v>5711</v>
      </c>
      <c r="Q213" s="9"/>
      <c r="R213" s="9"/>
      <c r="S213" s="9"/>
      <c r="T213" s="9"/>
    </row>
    <row r="214" ht="19.5" customHeight="1">
      <c r="A214" s="198">
        <v>45776.0</v>
      </c>
      <c r="B214" s="199" t="s">
        <v>5728</v>
      </c>
      <c r="C214" s="199" t="s">
        <v>5483</v>
      </c>
      <c r="D214" s="200" t="s">
        <v>5377</v>
      </c>
      <c r="E214" s="201">
        <v>48.0</v>
      </c>
      <c r="F214" s="200">
        <v>0.0</v>
      </c>
      <c r="G214" s="200" t="s">
        <v>5387</v>
      </c>
      <c r="H214" s="202" t="s">
        <v>5711</v>
      </c>
      <c r="Q214" s="9"/>
      <c r="R214" s="9"/>
      <c r="S214" s="9"/>
      <c r="T214" s="9"/>
    </row>
    <row r="215" ht="19.5" customHeight="1">
      <c r="A215" s="198">
        <v>45776.0</v>
      </c>
      <c r="B215" s="199" t="s">
        <v>5728</v>
      </c>
      <c r="C215" s="199" t="s">
        <v>5489</v>
      </c>
      <c r="D215" s="200" t="s">
        <v>5380</v>
      </c>
      <c r="E215" s="201">
        <v>48.0</v>
      </c>
      <c r="F215" s="200">
        <v>0.0</v>
      </c>
      <c r="G215" s="200" t="s">
        <v>5381</v>
      </c>
      <c r="H215" s="202" t="s">
        <v>5711</v>
      </c>
      <c r="Q215" s="9"/>
      <c r="R215" s="9"/>
      <c r="S215" s="9"/>
      <c r="T215" s="9"/>
    </row>
    <row r="216" ht="19.5" customHeight="1">
      <c r="A216" s="198">
        <v>45776.0</v>
      </c>
      <c r="B216" s="199" t="s">
        <v>5728</v>
      </c>
      <c r="C216" s="199" t="s">
        <v>5481</v>
      </c>
      <c r="D216" s="200" t="s">
        <v>5388</v>
      </c>
      <c r="E216" s="201">
        <v>12.0</v>
      </c>
      <c r="F216" s="200">
        <v>0.0</v>
      </c>
      <c r="G216" s="200" t="s">
        <v>5579</v>
      </c>
      <c r="H216" s="202" t="s">
        <v>5711</v>
      </c>
      <c r="Q216" s="9"/>
      <c r="R216" s="9"/>
      <c r="S216" s="9"/>
      <c r="T216" s="9"/>
    </row>
    <row r="217" ht="19.5" customHeight="1">
      <c r="A217" s="198">
        <v>45776.0</v>
      </c>
      <c r="B217" s="199" t="s">
        <v>5728</v>
      </c>
      <c r="C217" s="199" t="s">
        <v>5481</v>
      </c>
      <c r="D217" s="200" t="s">
        <v>5388</v>
      </c>
      <c r="E217" s="201">
        <v>22.0</v>
      </c>
      <c r="F217" s="200">
        <v>0.0</v>
      </c>
      <c r="G217" s="200" t="s">
        <v>5379</v>
      </c>
      <c r="H217" s="202" t="s">
        <v>5711</v>
      </c>
      <c r="Q217" s="9"/>
      <c r="R217" s="9"/>
      <c r="S217" s="9"/>
      <c r="T217" s="9"/>
    </row>
    <row r="218" ht="19.5" customHeight="1">
      <c r="A218" s="198">
        <v>45776.0</v>
      </c>
      <c r="B218" s="199" t="s">
        <v>5728</v>
      </c>
      <c r="C218" s="199" t="s">
        <v>5492</v>
      </c>
      <c r="D218" s="200" t="s">
        <v>5493</v>
      </c>
      <c r="E218" s="201">
        <v>12.0</v>
      </c>
      <c r="F218" s="200">
        <v>0.0</v>
      </c>
      <c r="G218" s="200" t="s">
        <v>5729</v>
      </c>
      <c r="H218" s="202" t="s">
        <v>5711</v>
      </c>
      <c r="Q218" s="9"/>
      <c r="R218" s="9"/>
      <c r="S218" s="9"/>
      <c r="T218" s="9"/>
    </row>
    <row r="219" ht="19.5" customHeight="1">
      <c r="A219" s="198">
        <v>45776.0</v>
      </c>
      <c r="B219" s="199" t="s">
        <v>5728</v>
      </c>
      <c r="C219" s="200" t="s">
        <v>5504</v>
      </c>
      <c r="D219" s="200" t="s">
        <v>5505</v>
      </c>
      <c r="E219" s="201">
        <v>24.0</v>
      </c>
      <c r="F219" s="200">
        <v>0.0</v>
      </c>
      <c r="G219" s="200" t="s">
        <v>5730</v>
      </c>
      <c r="H219" s="202" t="s">
        <v>5711</v>
      </c>
      <c r="Q219" s="9"/>
      <c r="R219" s="9"/>
      <c r="S219" s="9"/>
      <c r="T219" s="9"/>
    </row>
    <row r="220" ht="19.5" customHeight="1">
      <c r="A220" s="198">
        <v>45776.0</v>
      </c>
      <c r="B220" s="199" t="s">
        <v>5728</v>
      </c>
      <c r="C220" s="199" t="s">
        <v>5490</v>
      </c>
      <c r="D220" s="200" t="s">
        <v>5434</v>
      </c>
      <c r="E220" s="201">
        <v>12.0</v>
      </c>
      <c r="F220" s="200">
        <v>0.0</v>
      </c>
      <c r="G220" s="200" t="s">
        <v>5731</v>
      </c>
      <c r="H220" s="202" t="s">
        <v>5711</v>
      </c>
      <c r="Q220" s="9"/>
      <c r="R220" s="9"/>
      <c r="S220" s="9"/>
      <c r="T220" s="9"/>
    </row>
    <row r="221" ht="19.5" customHeight="1">
      <c r="A221" s="198">
        <v>45776.0</v>
      </c>
      <c r="B221" s="199" t="s">
        <v>5719</v>
      </c>
      <c r="C221" s="200" t="s">
        <v>5461</v>
      </c>
      <c r="D221" s="200" t="s">
        <v>5318</v>
      </c>
      <c r="E221" s="201">
        <v>10.0</v>
      </c>
      <c r="F221" s="200">
        <v>0.0</v>
      </c>
      <c r="G221" s="200" t="s">
        <v>5319</v>
      </c>
      <c r="H221" s="202" t="s">
        <v>5715</v>
      </c>
      <c r="Q221" s="9"/>
      <c r="R221" s="9"/>
      <c r="S221" s="9"/>
      <c r="T221" s="9"/>
    </row>
    <row r="222" ht="19.5" customHeight="1">
      <c r="A222" s="198">
        <v>45777.0</v>
      </c>
      <c r="B222" s="199" t="s">
        <v>5728</v>
      </c>
      <c r="C222" s="199" t="s">
        <v>235</v>
      </c>
      <c r="D222" s="200" t="s">
        <v>8</v>
      </c>
      <c r="E222" s="201">
        <v>35.0</v>
      </c>
      <c r="F222" s="200">
        <v>0.0</v>
      </c>
      <c r="G222" s="199" t="s">
        <v>5702</v>
      </c>
      <c r="H222" s="202" t="s">
        <v>5732</v>
      </c>
      <c r="Q222" s="9"/>
      <c r="R222" s="9"/>
      <c r="S222" s="9"/>
      <c r="T222" s="9"/>
    </row>
    <row r="223" ht="19.5" customHeight="1">
      <c r="A223" s="198">
        <v>45777.0</v>
      </c>
      <c r="B223" s="199" t="s">
        <v>5728</v>
      </c>
      <c r="C223" s="200" t="s">
        <v>5369</v>
      </c>
      <c r="D223" s="200" t="s">
        <v>206</v>
      </c>
      <c r="E223" s="201">
        <v>200.0</v>
      </c>
      <c r="F223" s="200">
        <v>0.0</v>
      </c>
      <c r="G223" s="200" t="s">
        <v>5428</v>
      </c>
      <c r="H223" s="202" t="s">
        <v>5732</v>
      </c>
      <c r="Q223" s="9"/>
      <c r="R223" s="9"/>
      <c r="S223" s="9"/>
      <c r="T223" s="9"/>
    </row>
    <row r="224" ht="19.5" customHeight="1">
      <c r="A224" s="198">
        <v>45777.0</v>
      </c>
      <c r="B224" s="199" t="s">
        <v>5728</v>
      </c>
      <c r="C224" s="200" t="s">
        <v>5369</v>
      </c>
      <c r="D224" s="200" t="s">
        <v>206</v>
      </c>
      <c r="E224" s="201">
        <v>250.0</v>
      </c>
      <c r="F224" s="200">
        <v>0.0</v>
      </c>
      <c r="G224" s="200" t="s">
        <v>5320</v>
      </c>
      <c r="H224" s="202" t="s">
        <v>5732</v>
      </c>
      <c r="Q224" s="9"/>
      <c r="R224" s="9"/>
      <c r="S224" s="9"/>
      <c r="T224" s="9"/>
    </row>
    <row r="225" ht="19.5" customHeight="1">
      <c r="A225" s="198">
        <v>45777.0</v>
      </c>
      <c r="B225" s="199" t="s">
        <v>5728</v>
      </c>
      <c r="C225" s="200" t="s">
        <v>5408</v>
      </c>
      <c r="D225" s="200" t="s">
        <v>212</v>
      </c>
      <c r="E225" s="201">
        <v>175.0</v>
      </c>
      <c r="F225" s="200">
        <v>0.0</v>
      </c>
      <c r="G225" s="200" t="s">
        <v>5316</v>
      </c>
      <c r="H225" s="202" t="s">
        <v>5732</v>
      </c>
      <c r="Q225" s="9"/>
      <c r="R225" s="9"/>
      <c r="S225" s="9"/>
      <c r="T225" s="9"/>
    </row>
    <row r="226" ht="19.5" customHeight="1">
      <c r="A226" s="198">
        <v>45777.0</v>
      </c>
      <c r="B226" s="199" t="s">
        <v>5728</v>
      </c>
      <c r="C226" s="200" t="s">
        <v>5408</v>
      </c>
      <c r="D226" s="200" t="s">
        <v>212</v>
      </c>
      <c r="E226" s="201">
        <v>200.0</v>
      </c>
      <c r="F226" s="200">
        <v>0.0</v>
      </c>
      <c r="G226" s="200" t="s">
        <v>5331</v>
      </c>
      <c r="H226" s="202" t="s">
        <v>5732</v>
      </c>
      <c r="Q226" s="9"/>
      <c r="R226" s="9"/>
      <c r="S226" s="9"/>
      <c r="T226" s="9"/>
    </row>
    <row r="227" ht="19.5" customHeight="1">
      <c r="A227" s="198">
        <v>45777.0</v>
      </c>
      <c r="B227" s="199" t="s">
        <v>5728</v>
      </c>
      <c r="C227" s="200" t="s">
        <v>5369</v>
      </c>
      <c r="D227" s="200" t="s">
        <v>206</v>
      </c>
      <c r="E227" s="201">
        <v>100.0</v>
      </c>
      <c r="F227" s="200">
        <v>0.0</v>
      </c>
      <c r="G227" s="200" t="s">
        <v>5346</v>
      </c>
      <c r="H227" s="202" t="s">
        <v>5732</v>
      </c>
      <c r="Q227" s="9"/>
      <c r="R227" s="9"/>
      <c r="S227" s="9"/>
      <c r="T227" s="9"/>
    </row>
    <row r="228" ht="19.5" customHeight="1">
      <c r="A228" s="198">
        <v>45777.0</v>
      </c>
      <c r="B228" s="199" t="s">
        <v>5728</v>
      </c>
      <c r="C228" s="199" t="s">
        <v>1377</v>
      </c>
      <c r="D228" s="200" t="s">
        <v>1378</v>
      </c>
      <c r="E228" s="201">
        <v>160.0</v>
      </c>
      <c r="F228" s="200">
        <v>0.0</v>
      </c>
      <c r="G228" s="200" t="s">
        <v>5629</v>
      </c>
      <c r="H228" s="202" t="s">
        <v>5732</v>
      </c>
      <c r="Q228" s="9"/>
      <c r="R228" s="9"/>
      <c r="S228" s="9"/>
      <c r="T228" s="9"/>
    </row>
    <row r="229" ht="19.5" customHeight="1">
      <c r="A229" s="198">
        <v>45777.0</v>
      </c>
      <c r="B229" s="199" t="s">
        <v>5728</v>
      </c>
      <c r="C229" s="199" t="s">
        <v>377</v>
      </c>
      <c r="D229" s="200" t="s">
        <v>376</v>
      </c>
      <c r="E229" s="201">
        <v>2.0</v>
      </c>
      <c r="F229" s="200">
        <v>0.0</v>
      </c>
      <c r="G229" s="200" t="s">
        <v>5364</v>
      </c>
      <c r="H229" s="202" t="s">
        <v>5732</v>
      </c>
      <c r="Q229" s="9"/>
      <c r="R229" s="9"/>
      <c r="S229" s="9"/>
      <c r="T229" s="9"/>
    </row>
    <row r="230" ht="19.5" customHeight="1">
      <c r="A230" s="198">
        <v>45777.0</v>
      </c>
      <c r="B230" s="199" t="s">
        <v>5728</v>
      </c>
      <c r="C230" s="200" t="s">
        <v>5403</v>
      </c>
      <c r="D230" s="200" t="s">
        <v>5311</v>
      </c>
      <c r="E230" s="201">
        <v>6.0</v>
      </c>
      <c r="F230" s="200">
        <v>0.0</v>
      </c>
      <c r="G230" s="200" t="s">
        <v>5733</v>
      </c>
      <c r="H230" s="202" t="s">
        <v>5732</v>
      </c>
      <c r="Q230" s="9"/>
      <c r="R230" s="9"/>
      <c r="S230" s="9"/>
      <c r="T230" s="9"/>
    </row>
    <row r="231" ht="19.5" customHeight="1">
      <c r="A231" s="198">
        <v>45777.0</v>
      </c>
      <c r="B231" s="199" t="s">
        <v>5728</v>
      </c>
      <c r="C231" s="200" t="s">
        <v>5403</v>
      </c>
      <c r="D231" s="200" t="s">
        <v>218</v>
      </c>
      <c r="E231" s="201">
        <v>50.0</v>
      </c>
      <c r="F231" s="200">
        <v>0.0</v>
      </c>
      <c r="G231" s="200" t="s">
        <v>5622</v>
      </c>
      <c r="H231" s="202" t="s">
        <v>5732</v>
      </c>
      <c r="Q231" s="9"/>
      <c r="R231" s="9"/>
      <c r="S231" s="9"/>
      <c r="T231" s="9"/>
    </row>
    <row r="232" ht="19.5" customHeight="1">
      <c r="A232" s="198">
        <v>45777.0</v>
      </c>
      <c r="B232" s="199" t="s">
        <v>5728</v>
      </c>
      <c r="C232" s="200" t="s">
        <v>5403</v>
      </c>
      <c r="D232" s="200" t="s">
        <v>218</v>
      </c>
      <c r="E232" s="201">
        <v>200.0</v>
      </c>
      <c r="F232" s="200">
        <v>0.0</v>
      </c>
      <c r="G232" s="200" t="s">
        <v>5628</v>
      </c>
      <c r="H232" s="202" t="s">
        <v>5732</v>
      </c>
      <c r="Q232" s="9"/>
      <c r="R232" s="9"/>
      <c r="S232" s="9"/>
      <c r="T232" s="9"/>
    </row>
    <row r="233" ht="19.5" customHeight="1">
      <c r="A233" s="198">
        <v>45777.0</v>
      </c>
      <c r="B233" s="199" t="s">
        <v>5728</v>
      </c>
      <c r="C233" s="200" t="s">
        <v>5403</v>
      </c>
      <c r="D233" s="200" t="s">
        <v>218</v>
      </c>
      <c r="E233" s="201">
        <v>200.0</v>
      </c>
      <c r="F233" s="200">
        <v>0.0</v>
      </c>
      <c r="G233" s="200" t="s">
        <v>5374</v>
      </c>
      <c r="H233" s="202" t="s">
        <v>5649</v>
      </c>
      <c r="Q233" s="9"/>
      <c r="R233" s="9"/>
      <c r="S233" s="9"/>
      <c r="T233" s="9"/>
    </row>
    <row r="234" ht="19.5" customHeight="1">
      <c r="A234" s="198">
        <v>45777.0</v>
      </c>
      <c r="B234" s="199" t="s">
        <v>5728</v>
      </c>
      <c r="C234" s="200" t="s">
        <v>5403</v>
      </c>
      <c r="D234" s="200" t="s">
        <v>218</v>
      </c>
      <c r="E234" s="201">
        <v>200.0</v>
      </c>
      <c r="F234" s="200">
        <v>0.0</v>
      </c>
      <c r="G234" s="200" t="s">
        <v>5375</v>
      </c>
      <c r="H234" s="202" t="s">
        <v>5649</v>
      </c>
      <c r="Q234" s="9"/>
      <c r="R234" s="9"/>
      <c r="S234" s="9"/>
      <c r="T234" s="9"/>
    </row>
    <row r="235" ht="19.5" customHeight="1">
      <c r="A235" s="198">
        <v>45777.0</v>
      </c>
      <c r="B235" s="199" t="s">
        <v>5728</v>
      </c>
      <c r="C235" s="200" t="s">
        <v>5403</v>
      </c>
      <c r="D235" s="200" t="s">
        <v>218</v>
      </c>
      <c r="E235" s="201">
        <v>200.0</v>
      </c>
      <c r="F235" s="200">
        <v>0.0</v>
      </c>
      <c r="G235" s="200" t="s">
        <v>5621</v>
      </c>
      <c r="H235" s="202" t="s">
        <v>5649</v>
      </c>
      <c r="Q235" s="9"/>
      <c r="R235" s="9"/>
      <c r="S235" s="9"/>
      <c r="T235" s="9"/>
    </row>
    <row r="236" ht="19.5" customHeight="1">
      <c r="A236" s="198">
        <v>45777.0</v>
      </c>
      <c r="B236" s="199" t="s">
        <v>5728</v>
      </c>
      <c r="C236" s="200" t="s">
        <v>5403</v>
      </c>
      <c r="D236" s="200" t="s">
        <v>218</v>
      </c>
      <c r="E236" s="201">
        <v>175.0</v>
      </c>
      <c r="F236" s="200">
        <v>0.0</v>
      </c>
      <c r="G236" s="200" t="s">
        <v>5414</v>
      </c>
      <c r="H236" s="202" t="s">
        <v>5649</v>
      </c>
      <c r="Q236" s="9"/>
      <c r="R236" s="9"/>
      <c r="S236" s="9"/>
      <c r="T236" s="9"/>
    </row>
    <row r="237" ht="19.5" customHeight="1">
      <c r="A237" s="198">
        <v>45777.0</v>
      </c>
      <c r="B237" s="199" t="s">
        <v>5728</v>
      </c>
      <c r="C237" s="199" t="s">
        <v>225</v>
      </c>
      <c r="D237" s="200" t="s">
        <v>224</v>
      </c>
      <c r="E237" s="201">
        <v>150.0</v>
      </c>
      <c r="F237" s="200">
        <v>0.0</v>
      </c>
      <c r="G237" s="200" t="s">
        <v>5404</v>
      </c>
      <c r="H237" s="202" t="s">
        <v>5649</v>
      </c>
      <c r="Q237" s="9"/>
      <c r="R237" s="9"/>
      <c r="S237" s="9"/>
      <c r="T237" s="9"/>
    </row>
    <row r="238" ht="19.5" customHeight="1">
      <c r="A238" s="198">
        <v>45777.0</v>
      </c>
      <c r="B238" s="199" t="s">
        <v>5728</v>
      </c>
      <c r="C238" s="199" t="s">
        <v>225</v>
      </c>
      <c r="D238" s="200" t="s">
        <v>224</v>
      </c>
      <c r="E238" s="201">
        <v>100.0</v>
      </c>
      <c r="F238" s="200">
        <v>0.0</v>
      </c>
      <c r="G238" s="200" t="s">
        <v>5632</v>
      </c>
      <c r="H238" s="202" t="s">
        <v>5649</v>
      </c>
      <c r="Q238" s="9"/>
      <c r="R238" s="9"/>
      <c r="S238" s="9"/>
      <c r="T238" s="9"/>
    </row>
    <row r="239" ht="19.5" customHeight="1">
      <c r="A239" s="198">
        <v>45779.0</v>
      </c>
      <c r="B239" s="199" t="s">
        <v>5734</v>
      </c>
      <c r="C239" s="200" t="s">
        <v>5423</v>
      </c>
      <c r="D239" s="200" t="s">
        <v>5324</v>
      </c>
      <c r="E239" s="201">
        <v>120.0</v>
      </c>
      <c r="F239" s="200">
        <v>0.0</v>
      </c>
      <c r="G239" s="199" t="s">
        <v>5338</v>
      </c>
      <c r="H239" s="202" t="s">
        <v>5711</v>
      </c>
      <c r="Q239" s="9"/>
      <c r="R239" s="9"/>
      <c r="S239" s="9"/>
      <c r="T239" s="9"/>
    </row>
    <row r="240" ht="19.5" customHeight="1">
      <c r="A240" s="198">
        <v>45779.0</v>
      </c>
      <c r="B240" s="199" t="s">
        <v>5734</v>
      </c>
      <c r="C240" s="199" t="s">
        <v>5487</v>
      </c>
      <c r="D240" s="200" t="s">
        <v>5608</v>
      </c>
      <c r="E240" s="201">
        <v>24.0</v>
      </c>
      <c r="F240" s="200">
        <v>0.0</v>
      </c>
      <c r="G240" s="199" t="s">
        <v>5687</v>
      </c>
      <c r="H240" s="202" t="s">
        <v>5711</v>
      </c>
      <c r="Q240" s="9"/>
      <c r="R240" s="9"/>
      <c r="S240" s="9"/>
      <c r="T240" s="9"/>
    </row>
    <row r="241" ht="19.5" customHeight="1">
      <c r="A241" s="198">
        <v>45779.0</v>
      </c>
      <c r="B241" s="199" t="s">
        <v>5734</v>
      </c>
      <c r="C241" s="200" t="s">
        <v>5461</v>
      </c>
      <c r="D241" s="200" t="s">
        <v>5318</v>
      </c>
      <c r="E241" s="201">
        <v>120.0</v>
      </c>
      <c r="F241" s="200">
        <v>0.0</v>
      </c>
      <c r="G241" s="200" t="s">
        <v>5319</v>
      </c>
      <c r="H241" s="202" t="s">
        <v>5711</v>
      </c>
      <c r="Q241" s="9"/>
      <c r="R241" s="9"/>
      <c r="S241" s="9"/>
      <c r="T241" s="9"/>
    </row>
    <row r="242" ht="19.5" customHeight="1">
      <c r="A242" s="198">
        <v>45779.0</v>
      </c>
      <c r="B242" s="199" t="s">
        <v>5734</v>
      </c>
      <c r="C242" s="199" t="s">
        <v>5488</v>
      </c>
      <c r="D242" s="200" t="s">
        <v>5348</v>
      </c>
      <c r="E242" s="201">
        <v>84.0</v>
      </c>
      <c r="F242" s="200">
        <v>0.0</v>
      </c>
      <c r="G242" s="200" t="s">
        <v>5429</v>
      </c>
      <c r="H242" s="202" t="s">
        <v>5711</v>
      </c>
      <c r="Q242" s="9"/>
      <c r="R242" s="9"/>
      <c r="S242" s="9"/>
      <c r="T242" s="9"/>
    </row>
    <row r="243" ht="19.5" customHeight="1">
      <c r="A243" s="198">
        <v>45779.0</v>
      </c>
      <c r="B243" s="199" t="s">
        <v>5734</v>
      </c>
      <c r="C243" s="200" t="s">
        <v>5383</v>
      </c>
      <c r="D243" s="200" t="s">
        <v>5384</v>
      </c>
      <c r="E243" s="201">
        <v>2.0</v>
      </c>
      <c r="F243" s="200">
        <v>0.0</v>
      </c>
      <c r="G243" s="200" t="s">
        <v>5586</v>
      </c>
      <c r="H243" s="202" t="s">
        <v>5711</v>
      </c>
      <c r="Q243" s="9"/>
      <c r="R243" s="9"/>
      <c r="S243" s="9"/>
      <c r="T243" s="9"/>
    </row>
    <row r="244" ht="19.5" customHeight="1">
      <c r="A244" s="198">
        <v>45782.0</v>
      </c>
      <c r="B244" s="199" t="s">
        <v>5735</v>
      </c>
      <c r="C244" s="200" t="s">
        <v>5461</v>
      </c>
      <c r="D244" s="200" t="s">
        <v>5318</v>
      </c>
      <c r="E244" s="201">
        <v>50.0</v>
      </c>
      <c r="F244" s="200">
        <v>0.0</v>
      </c>
      <c r="G244" s="199" t="s">
        <v>5736</v>
      </c>
      <c r="H244" s="202" t="s">
        <v>5737</v>
      </c>
      <c r="Q244" s="9"/>
      <c r="R244" s="9"/>
      <c r="S244" s="9"/>
      <c r="T244" s="9"/>
    </row>
    <row r="245" ht="19.5" customHeight="1">
      <c r="A245" s="198">
        <v>45782.0</v>
      </c>
      <c r="B245" s="199" t="s">
        <v>5735</v>
      </c>
      <c r="C245" s="200" t="s">
        <v>5423</v>
      </c>
      <c r="D245" s="200" t="s">
        <v>5324</v>
      </c>
      <c r="E245" s="201">
        <v>125.0</v>
      </c>
      <c r="F245" s="200">
        <v>0.0</v>
      </c>
      <c r="G245" s="199" t="s">
        <v>5338</v>
      </c>
      <c r="H245" s="202" t="s">
        <v>5737</v>
      </c>
      <c r="Q245" s="9"/>
      <c r="R245" s="9"/>
      <c r="S245" s="9"/>
      <c r="T245" s="9"/>
    </row>
    <row r="246" ht="19.5" customHeight="1">
      <c r="A246" s="198">
        <v>45782.0</v>
      </c>
      <c r="B246" s="199" t="s">
        <v>5735</v>
      </c>
      <c r="C246" s="200" t="s">
        <v>5453</v>
      </c>
      <c r="D246" s="200" t="s">
        <v>5352</v>
      </c>
      <c r="E246" s="201">
        <v>125.0</v>
      </c>
      <c r="F246" s="200">
        <v>0.0</v>
      </c>
      <c r="G246" s="199" t="s">
        <v>5682</v>
      </c>
      <c r="H246" s="202" t="s">
        <v>5737</v>
      </c>
      <c r="Q246" s="9"/>
      <c r="R246" s="9"/>
      <c r="S246" s="9"/>
      <c r="T246" s="9"/>
    </row>
    <row r="247" ht="19.5" customHeight="1">
      <c r="A247" s="198">
        <v>45782.0</v>
      </c>
      <c r="B247" s="199" t="s">
        <v>5735</v>
      </c>
      <c r="C247" s="199" t="s">
        <v>5487</v>
      </c>
      <c r="D247" s="200" t="s">
        <v>5608</v>
      </c>
      <c r="E247" s="201">
        <v>24.0</v>
      </c>
      <c r="F247" s="200">
        <v>0.0</v>
      </c>
      <c r="G247" s="199" t="s">
        <v>5687</v>
      </c>
      <c r="H247" s="202" t="s">
        <v>5737</v>
      </c>
      <c r="Q247" s="9"/>
      <c r="R247" s="9"/>
      <c r="S247" s="9"/>
      <c r="T247" s="9"/>
    </row>
    <row r="248" ht="19.5" customHeight="1">
      <c r="A248" s="198">
        <v>45782.0</v>
      </c>
      <c r="B248" s="199" t="s">
        <v>5735</v>
      </c>
      <c r="C248" s="200" t="s">
        <v>5461</v>
      </c>
      <c r="D248" s="200" t="s">
        <v>5318</v>
      </c>
      <c r="E248" s="201">
        <v>70.0</v>
      </c>
      <c r="F248" s="200">
        <v>0.0</v>
      </c>
      <c r="G248" s="200" t="s">
        <v>5319</v>
      </c>
      <c r="H248" s="202" t="s">
        <v>5737</v>
      </c>
      <c r="Q248" s="9"/>
      <c r="R248" s="9"/>
      <c r="S248" s="9"/>
      <c r="T248" s="9"/>
    </row>
    <row r="249" ht="19.5" customHeight="1">
      <c r="A249" s="198">
        <v>45782.0</v>
      </c>
      <c r="B249" s="199" t="s">
        <v>5735</v>
      </c>
      <c r="C249" s="199" t="s">
        <v>5488</v>
      </c>
      <c r="D249" s="200" t="s">
        <v>5348</v>
      </c>
      <c r="E249" s="201">
        <v>24.0</v>
      </c>
      <c r="F249" s="200">
        <v>0.0</v>
      </c>
      <c r="G249" s="200" t="s">
        <v>5429</v>
      </c>
      <c r="H249" s="202" t="s">
        <v>5737</v>
      </c>
      <c r="Q249" s="9"/>
      <c r="R249" s="9"/>
      <c r="S249" s="9"/>
      <c r="T249" s="9"/>
    </row>
    <row r="250" ht="19.5" customHeight="1">
      <c r="A250" s="198">
        <v>45782.0</v>
      </c>
      <c r="B250" s="199" t="s">
        <v>5735</v>
      </c>
      <c r="C250" s="199" t="s">
        <v>5489</v>
      </c>
      <c r="D250" s="200" t="s">
        <v>5380</v>
      </c>
      <c r="E250" s="201">
        <v>24.0</v>
      </c>
      <c r="F250" s="200">
        <v>0.0</v>
      </c>
      <c r="G250" s="200" t="s">
        <v>5381</v>
      </c>
      <c r="H250" s="202" t="s">
        <v>5737</v>
      </c>
      <c r="Q250" s="9"/>
      <c r="R250" s="9"/>
      <c r="S250" s="9"/>
      <c r="T250" s="9"/>
    </row>
    <row r="251" ht="19.5" customHeight="1">
      <c r="A251" s="198">
        <v>45782.0</v>
      </c>
      <c r="B251" s="199" t="s">
        <v>5735</v>
      </c>
      <c r="C251" s="199" t="s">
        <v>5476</v>
      </c>
      <c r="D251" s="200" t="s">
        <v>5477</v>
      </c>
      <c r="E251" s="201">
        <v>24.0</v>
      </c>
      <c r="F251" s="200">
        <v>0.0</v>
      </c>
      <c r="G251" s="200" t="s">
        <v>5738</v>
      </c>
      <c r="H251" s="202" t="s">
        <v>5737</v>
      </c>
      <c r="Q251" s="9"/>
      <c r="R251" s="9"/>
      <c r="S251" s="9"/>
      <c r="T251" s="9"/>
    </row>
    <row r="252" ht="19.5" customHeight="1">
      <c r="A252" s="198">
        <v>45782.0</v>
      </c>
      <c r="B252" s="199" t="s">
        <v>5735</v>
      </c>
      <c r="C252" s="200" t="s">
        <v>5461</v>
      </c>
      <c r="D252" s="200" t="s">
        <v>5318</v>
      </c>
      <c r="E252" s="201">
        <v>50.0</v>
      </c>
      <c r="F252" s="200">
        <v>0.0</v>
      </c>
      <c r="G252" s="199" t="s">
        <v>5736</v>
      </c>
      <c r="H252" s="202" t="s">
        <v>5737</v>
      </c>
      <c r="Q252" s="9"/>
      <c r="R252" s="9"/>
      <c r="S252" s="9"/>
      <c r="T252" s="9"/>
    </row>
    <row r="253" ht="19.5" customHeight="1">
      <c r="A253" s="198">
        <v>45782.0</v>
      </c>
      <c r="B253" s="199" t="s">
        <v>5735</v>
      </c>
      <c r="C253" s="200" t="s">
        <v>5423</v>
      </c>
      <c r="D253" s="200" t="s">
        <v>5324</v>
      </c>
      <c r="E253" s="201">
        <v>125.0</v>
      </c>
      <c r="F253" s="200">
        <v>0.0</v>
      </c>
      <c r="G253" s="199" t="s">
        <v>5338</v>
      </c>
      <c r="H253" s="202" t="s">
        <v>5737</v>
      </c>
      <c r="Q253" s="9"/>
      <c r="R253" s="9"/>
      <c r="S253" s="9"/>
      <c r="T253" s="9"/>
    </row>
    <row r="254" ht="19.5" customHeight="1">
      <c r="A254" s="198">
        <v>45782.0</v>
      </c>
      <c r="B254" s="199" t="s">
        <v>5735</v>
      </c>
      <c r="C254" s="200" t="s">
        <v>5453</v>
      </c>
      <c r="D254" s="200" t="s">
        <v>5352</v>
      </c>
      <c r="E254" s="201">
        <v>125.0</v>
      </c>
      <c r="F254" s="200">
        <v>0.0</v>
      </c>
      <c r="G254" s="199" t="s">
        <v>5682</v>
      </c>
      <c r="H254" s="202" t="s">
        <v>5737</v>
      </c>
      <c r="Q254" s="9"/>
      <c r="R254" s="9"/>
      <c r="S254" s="9"/>
      <c r="T254" s="9"/>
    </row>
    <row r="255" ht="19.5" customHeight="1">
      <c r="A255" s="198">
        <v>45782.0</v>
      </c>
      <c r="B255" s="199" t="s">
        <v>5735</v>
      </c>
      <c r="C255" s="199" t="s">
        <v>5487</v>
      </c>
      <c r="D255" s="200" t="s">
        <v>5608</v>
      </c>
      <c r="E255" s="201">
        <v>24.0</v>
      </c>
      <c r="F255" s="200">
        <v>0.0</v>
      </c>
      <c r="G255" s="199" t="s">
        <v>5687</v>
      </c>
      <c r="H255" s="202" t="s">
        <v>5737</v>
      </c>
      <c r="Q255" s="9"/>
      <c r="R255" s="9"/>
      <c r="S255" s="9"/>
      <c r="T255" s="9"/>
    </row>
    <row r="256" ht="19.5" customHeight="1">
      <c r="A256" s="198">
        <v>45782.0</v>
      </c>
      <c r="B256" s="199" t="s">
        <v>5735</v>
      </c>
      <c r="C256" s="200" t="s">
        <v>5461</v>
      </c>
      <c r="D256" s="200" t="s">
        <v>5318</v>
      </c>
      <c r="E256" s="201">
        <v>70.0</v>
      </c>
      <c r="F256" s="200">
        <v>0.0</v>
      </c>
      <c r="G256" s="200" t="s">
        <v>5319</v>
      </c>
      <c r="H256" s="202" t="s">
        <v>5737</v>
      </c>
      <c r="Q256" s="9"/>
      <c r="R256" s="9"/>
      <c r="S256" s="9"/>
      <c r="T256" s="9"/>
    </row>
    <row r="257" ht="19.5" customHeight="1">
      <c r="A257" s="198">
        <v>45782.0</v>
      </c>
      <c r="B257" s="199" t="s">
        <v>5735</v>
      </c>
      <c r="C257" s="199" t="s">
        <v>5488</v>
      </c>
      <c r="D257" s="200" t="s">
        <v>5348</v>
      </c>
      <c r="E257" s="201">
        <v>24.0</v>
      </c>
      <c r="F257" s="200">
        <v>0.0</v>
      </c>
      <c r="G257" s="200" t="s">
        <v>5429</v>
      </c>
      <c r="H257" s="202" t="s">
        <v>5737</v>
      </c>
      <c r="Q257" s="9"/>
      <c r="R257" s="9"/>
      <c r="S257" s="9"/>
      <c r="T257" s="9"/>
    </row>
    <row r="258" ht="19.5" customHeight="1">
      <c r="A258" s="198">
        <v>45782.0</v>
      </c>
      <c r="B258" s="199" t="s">
        <v>5735</v>
      </c>
      <c r="C258" s="199" t="s">
        <v>5489</v>
      </c>
      <c r="D258" s="200" t="s">
        <v>5380</v>
      </c>
      <c r="E258" s="201">
        <v>24.0</v>
      </c>
      <c r="F258" s="200">
        <v>0.0</v>
      </c>
      <c r="G258" s="200" t="s">
        <v>5381</v>
      </c>
      <c r="H258" s="202" t="s">
        <v>5737</v>
      </c>
      <c r="Q258" s="9"/>
      <c r="R258" s="9"/>
      <c r="S258" s="9"/>
      <c r="T258" s="9"/>
    </row>
    <row r="259" ht="19.5" customHeight="1">
      <c r="A259" s="198">
        <v>45782.0</v>
      </c>
      <c r="B259" s="199" t="s">
        <v>5735</v>
      </c>
      <c r="C259" s="199" t="s">
        <v>5476</v>
      </c>
      <c r="D259" s="200" t="s">
        <v>5477</v>
      </c>
      <c r="E259" s="201">
        <v>24.0</v>
      </c>
      <c r="F259" s="200">
        <v>0.0</v>
      </c>
      <c r="G259" s="200" t="s">
        <v>5738</v>
      </c>
      <c r="H259" s="202" t="s">
        <v>5737</v>
      </c>
      <c r="Q259" s="9"/>
      <c r="R259" s="9"/>
      <c r="S259" s="9"/>
      <c r="T259" s="9"/>
    </row>
    <row r="260" ht="19.5" customHeight="1">
      <c r="A260" s="198">
        <v>45782.0</v>
      </c>
      <c r="B260" s="199" t="s">
        <v>5739</v>
      </c>
      <c r="C260" s="199" t="s">
        <v>245</v>
      </c>
      <c r="D260" s="200" t="s">
        <v>5464</v>
      </c>
      <c r="E260" s="201">
        <v>12.0</v>
      </c>
      <c r="F260" s="200">
        <v>0.0</v>
      </c>
      <c r="G260" s="199" t="s">
        <v>5720</v>
      </c>
      <c r="H260" s="202" t="s">
        <v>5737</v>
      </c>
      <c r="Q260" s="9"/>
      <c r="R260" s="9"/>
      <c r="S260" s="9"/>
      <c r="T260" s="9"/>
    </row>
    <row r="261" ht="19.5" customHeight="1">
      <c r="A261" s="198">
        <v>45782.0</v>
      </c>
      <c r="B261" s="199" t="s">
        <v>5739</v>
      </c>
      <c r="C261" s="199" t="s">
        <v>5467</v>
      </c>
      <c r="D261" s="200" t="s">
        <v>5406</v>
      </c>
      <c r="E261" s="201">
        <v>120.0</v>
      </c>
      <c r="F261" s="200">
        <v>0.0</v>
      </c>
      <c r="G261" s="200" t="s">
        <v>5342</v>
      </c>
      <c r="H261" s="202" t="s">
        <v>5737</v>
      </c>
      <c r="Q261" s="9"/>
      <c r="R261" s="9"/>
      <c r="S261" s="9"/>
      <c r="T261" s="9"/>
    </row>
    <row r="262" ht="19.5" customHeight="1">
      <c r="A262" s="198">
        <v>45782.0</v>
      </c>
      <c r="B262" s="199" t="s">
        <v>5740</v>
      </c>
      <c r="C262" s="199" t="s">
        <v>1377</v>
      </c>
      <c r="D262" s="200" t="s">
        <v>1378</v>
      </c>
      <c r="E262" s="201">
        <v>12.0</v>
      </c>
      <c r="F262" s="200">
        <v>0.0</v>
      </c>
      <c r="G262" s="200" t="s">
        <v>5341</v>
      </c>
      <c r="H262" s="202" t="s">
        <v>5741</v>
      </c>
      <c r="Q262" s="9"/>
      <c r="R262" s="9"/>
      <c r="S262" s="9"/>
      <c r="T262" s="9"/>
    </row>
    <row r="263" ht="19.5" customHeight="1">
      <c r="A263" s="198">
        <v>45782.0</v>
      </c>
      <c r="B263" s="199" t="s">
        <v>5742</v>
      </c>
      <c r="C263" s="199" t="s">
        <v>1377</v>
      </c>
      <c r="D263" s="200" t="s">
        <v>1378</v>
      </c>
      <c r="E263" s="201">
        <v>12.0</v>
      </c>
      <c r="F263" s="200">
        <v>0.0</v>
      </c>
      <c r="G263" s="200" t="s">
        <v>5341</v>
      </c>
      <c r="H263" s="202" t="s">
        <v>5741</v>
      </c>
      <c r="Q263" s="9"/>
      <c r="R263" s="9"/>
      <c r="S263" s="9"/>
      <c r="T263" s="9"/>
    </row>
    <row r="264" ht="19.5" customHeight="1">
      <c r="A264" s="198">
        <v>45782.0</v>
      </c>
      <c r="B264" s="199" t="s">
        <v>5743</v>
      </c>
      <c r="C264" s="199" t="s">
        <v>1377</v>
      </c>
      <c r="D264" s="200" t="s">
        <v>1378</v>
      </c>
      <c r="E264" s="201">
        <v>12.0</v>
      </c>
      <c r="F264" s="200">
        <v>0.0</v>
      </c>
      <c r="G264" s="200" t="s">
        <v>5341</v>
      </c>
      <c r="H264" s="202" t="s">
        <v>5741</v>
      </c>
      <c r="Q264" s="9"/>
      <c r="R264" s="9"/>
      <c r="S264" s="9"/>
      <c r="T264" s="9"/>
    </row>
    <row r="265" ht="19.5" customHeight="1">
      <c r="A265" s="198">
        <v>45782.0</v>
      </c>
      <c r="B265" s="199" t="s">
        <v>5744</v>
      </c>
      <c r="C265" s="199" t="s">
        <v>1377</v>
      </c>
      <c r="D265" s="200" t="s">
        <v>1378</v>
      </c>
      <c r="E265" s="201">
        <v>12.0</v>
      </c>
      <c r="F265" s="200">
        <v>0.0</v>
      </c>
      <c r="G265" s="200" t="s">
        <v>5341</v>
      </c>
      <c r="H265" s="202" t="s">
        <v>5741</v>
      </c>
      <c r="Q265" s="9"/>
      <c r="R265" s="9"/>
      <c r="S265" s="9"/>
      <c r="T265" s="9"/>
    </row>
    <row r="266" ht="19.5" customHeight="1">
      <c r="A266" s="198">
        <v>45783.0</v>
      </c>
      <c r="B266" s="199" t="s">
        <v>5745</v>
      </c>
      <c r="C266" s="200" t="s">
        <v>5461</v>
      </c>
      <c r="D266" s="200" t="s">
        <v>5318</v>
      </c>
      <c r="E266" s="201">
        <v>120.0</v>
      </c>
      <c r="F266" s="200">
        <v>0.0</v>
      </c>
      <c r="G266" s="199" t="s">
        <v>5736</v>
      </c>
      <c r="H266" s="202" t="s">
        <v>5737</v>
      </c>
      <c r="Q266" s="9"/>
      <c r="R266" s="9"/>
      <c r="S266" s="9"/>
      <c r="T266" s="9"/>
    </row>
    <row r="267" ht="19.5" customHeight="1">
      <c r="A267" s="198">
        <v>45783.0</v>
      </c>
      <c r="B267" s="199" t="s">
        <v>5745</v>
      </c>
      <c r="C267" s="200" t="s">
        <v>5423</v>
      </c>
      <c r="D267" s="200" t="s">
        <v>5324</v>
      </c>
      <c r="E267" s="201">
        <v>80.0</v>
      </c>
      <c r="F267" s="200">
        <v>0.0</v>
      </c>
      <c r="G267" s="199" t="s">
        <v>5338</v>
      </c>
      <c r="H267" s="202" t="s">
        <v>5737</v>
      </c>
      <c r="Q267" s="9"/>
      <c r="R267" s="9"/>
      <c r="S267" s="9"/>
      <c r="T267" s="9"/>
    </row>
    <row r="268" ht="19.5" customHeight="1">
      <c r="A268" s="198">
        <v>45783.0</v>
      </c>
      <c r="B268" s="199" t="s">
        <v>5745</v>
      </c>
      <c r="C268" s="199" t="s">
        <v>5487</v>
      </c>
      <c r="D268" s="200" t="s">
        <v>5608</v>
      </c>
      <c r="E268" s="201">
        <v>24.0</v>
      </c>
      <c r="F268" s="200">
        <v>0.0</v>
      </c>
      <c r="G268" s="199" t="s">
        <v>5687</v>
      </c>
      <c r="H268" s="202" t="s">
        <v>5737</v>
      </c>
      <c r="Q268" s="9"/>
      <c r="R268" s="9"/>
      <c r="S268" s="9"/>
      <c r="T268" s="9"/>
    </row>
    <row r="269" ht="19.5" customHeight="1">
      <c r="A269" s="198">
        <v>45783.0</v>
      </c>
      <c r="B269" s="199" t="s">
        <v>5745</v>
      </c>
      <c r="C269" s="200" t="s">
        <v>5453</v>
      </c>
      <c r="D269" s="200" t="s">
        <v>5352</v>
      </c>
      <c r="E269" s="201">
        <v>115.0</v>
      </c>
      <c r="F269" s="200">
        <v>0.0</v>
      </c>
      <c r="G269" s="200" t="s">
        <v>5575</v>
      </c>
      <c r="H269" s="202" t="s">
        <v>5737</v>
      </c>
      <c r="Q269" s="9"/>
      <c r="R269" s="9"/>
      <c r="S269" s="9"/>
      <c r="T269" s="9"/>
    </row>
    <row r="270" ht="19.5" customHeight="1">
      <c r="A270" s="198">
        <v>45783.0</v>
      </c>
      <c r="B270" s="199" t="s">
        <v>5745</v>
      </c>
      <c r="C270" s="199" t="s">
        <v>5488</v>
      </c>
      <c r="D270" s="200" t="s">
        <v>5348</v>
      </c>
      <c r="E270" s="201">
        <v>24.0</v>
      </c>
      <c r="F270" s="200">
        <v>0.0</v>
      </c>
      <c r="G270" s="200" t="s">
        <v>5429</v>
      </c>
      <c r="H270" s="202" t="s">
        <v>5737</v>
      </c>
      <c r="Q270" s="9"/>
      <c r="R270" s="9"/>
      <c r="S270" s="9"/>
      <c r="T270" s="9"/>
    </row>
    <row r="271" ht="19.5" customHeight="1">
      <c r="A271" s="198">
        <v>45783.0</v>
      </c>
      <c r="B271" s="199" t="s">
        <v>5745</v>
      </c>
      <c r="C271" s="199" t="s">
        <v>5483</v>
      </c>
      <c r="D271" s="200" t="s">
        <v>5377</v>
      </c>
      <c r="E271" s="201">
        <v>28.0</v>
      </c>
      <c r="F271" s="200">
        <v>0.0</v>
      </c>
      <c r="G271" s="200" t="s">
        <v>5387</v>
      </c>
      <c r="H271" s="202" t="s">
        <v>5737</v>
      </c>
      <c r="Q271" s="9"/>
      <c r="R271" s="9"/>
      <c r="S271" s="9"/>
      <c r="T271" s="9"/>
    </row>
    <row r="272" ht="19.5" customHeight="1">
      <c r="A272" s="198">
        <v>45783.0</v>
      </c>
      <c r="B272" s="199" t="s">
        <v>5745</v>
      </c>
      <c r="C272" s="199" t="s">
        <v>5489</v>
      </c>
      <c r="D272" s="200" t="s">
        <v>5380</v>
      </c>
      <c r="E272" s="201">
        <v>17.0</v>
      </c>
      <c r="F272" s="200">
        <v>0.0</v>
      </c>
      <c r="G272" s="200" t="s">
        <v>5381</v>
      </c>
      <c r="H272" s="202" t="s">
        <v>5737</v>
      </c>
      <c r="Q272" s="9"/>
      <c r="R272" s="9"/>
      <c r="S272" s="9"/>
      <c r="T272" s="9"/>
    </row>
    <row r="273" ht="19.5" customHeight="1">
      <c r="A273" s="198">
        <v>45783.0</v>
      </c>
      <c r="B273" s="199" t="s">
        <v>5734</v>
      </c>
      <c r="C273" s="199" t="s">
        <v>5467</v>
      </c>
      <c r="D273" s="200" t="s">
        <v>5406</v>
      </c>
      <c r="E273" s="201">
        <v>120.0</v>
      </c>
      <c r="F273" s="200">
        <v>0.0</v>
      </c>
      <c r="G273" s="200" t="s">
        <v>5342</v>
      </c>
      <c r="H273" s="202" t="s">
        <v>5737</v>
      </c>
      <c r="Q273" s="9"/>
      <c r="R273" s="9"/>
      <c r="S273" s="9"/>
      <c r="T273" s="9"/>
    </row>
    <row r="274" ht="19.5" customHeight="1">
      <c r="A274" s="198">
        <v>45783.0</v>
      </c>
      <c r="B274" s="199" t="s">
        <v>5734</v>
      </c>
      <c r="C274" s="199" t="s">
        <v>5489</v>
      </c>
      <c r="D274" s="200" t="s">
        <v>5380</v>
      </c>
      <c r="E274" s="201">
        <v>7.0</v>
      </c>
      <c r="F274" s="200">
        <v>0.0</v>
      </c>
      <c r="G274" s="200" t="s">
        <v>5381</v>
      </c>
      <c r="H274" s="202" t="s">
        <v>5737</v>
      </c>
      <c r="Q274" s="9"/>
      <c r="R274" s="9"/>
      <c r="S274" s="9"/>
      <c r="T274" s="9"/>
    </row>
    <row r="275" ht="19.5" customHeight="1">
      <c r="A275" s="198">
        <v>45785.0</v>
      </c>
      <c r="B275" s="199" t="s">
        <v>5746</v>
      </c>
      <c r="C275" s="199" t="s">
        <v>231</v>
      </c>
      <c r="D275" s="200" t="s">
        <v>230</v>
      </c>
      <c r="E275" s="201">
        <v>600.0</v>
      </c>
      <c r="F275" s="200">
        <v>0.0</v>
      </c>
      <c r="G275" s="200" t="s">
        <v>5328</v>
      </c>
      <c r="H275" s="202" t="s">
        <v>5747</v>
      </c>
      <c r="Q275" s="9"/>
      <c r="R275" s="9"/>
      <c r="S275" s="9"/>
      <c r="T275" s="9"/>
    </row>
    <row r="276" ht="19.5" customHeight="1">
      <c r="A276" s="198">
        <v>45784.0</v>
      </c>
      <c r="B276" s="200" t="s">
        <v>5748</v>
      </c>
      <c r="C276" s="199" t="s">
        <v>240</v>
      </c>
      <c r="D276" s="200" t="s">
        <v>239</v>
      </c>
      <c r="E276" s="201">
        <v>200.0</v>
      </c>
      <c r="F276" s="200">
        <v>0.0</v>
      </c>
      <c r="G276" s="199" t="s">
        <v>5705</v>
      </c>
      <c r="H276" s="202" t="s">
        <v>5669</v>
      </c>
      <c r="Q276" s="9"/>
      <c r="R276" s="9"/>
      <c r="S276" s="9"/>
      <c r="T276" s="9"/>
    </row>
    <row r="277" ht="19.5" customHeight="1">
      <c r="A277" s="198">
        <v>45784.0</v>
      </c>
      <c r="B277" s="200" t="s">
        <v>5748</v>
      </c>
      <c r="C277" s="199" t="s">
        <v>240</v>
      </c>
      <c r="D277" s="200" t="s">
        <v>239</v>
      </c>
      <c r="E277" s="201">
        <v>400.0</v>
      </c>
      <c r="F277" s="200">
        <v>0.0</v>
      </c>
      <c r="G277" s="200" t="s">
        <v>5749</v>
      </c>
      <c r="H277" s="202" t="s">
        <v>5669</v>
      </c>
      <c r="Q277" s="9"/>
      <c r="R277" s="9"/>
      <c r="S277" s="9"/>
      <c r="T277" s="9"/>
    </row>
    <row r="278" ht="19.5" customHeight="1">
      <c r="A278" s="198">
        <v>45785.0</v>
      </c>
      <c r="B278" s="199" t="s">
        <v>5750</v>
      </c>
      <c r="C278" s="199" t="s">
        <v>235</v>
      </c>
      <c r="D278" s="200" t="s">
        <v>8</v>
      </c>
      <c r="E278" s="201">
        <v>70.0</v>
      </c>
      <c r="F278" s="200">
        <v>0.0</v>
      </c>
      <c r="G278" s="199" t="s">
        <v>5702</v>
      </c>
      <c r="H278" s="202" t="s">
        <v>5732</v>
      </c>
      <c r="Q278" s="9"/>
      <c r="R278" s="9"/>
      <c r="S278" s="9"/>
      <c r="T278" s="9"/>
    </row>
    <row r="279" ht="19.5" customHeight="1">
      <c r="A279" s="198">
        <v>45785.0</v>
      </c>
      <c r="B279" s="199" t="s">
        <v>5750</v>
      </c>
      <c r="C279" s="200" t="s">
        <v>5369</v>
      </c>
      <c r="D279" s="200" t="s">
        <v>206</v>
      </c>
      <c r="E279" s="201">
        <v>425.0</v>
      </c>
      <c r="F279" s="200">
        <v>0.0</v>
      </c>
      <c r="G279" s="200" t="s">
        <v>5320</v>
      </c>
      <c r="H279" s="202" t="s">
        <v>5732</v>
      </c>
      <c r="Q279" s="9"/>
      <c r="R279" s="9"/>
      <c r="S279" s="9"/>
      <c r="T279" s="9"/>
    </row>
    <row r="280" ht="19.5" customHeight="1">
      <c r="A280" s="198">
        <v>45785.0</v>
      </c>
      <c r="B280" s="199" t="s">
        <v>5750</v>
      </c>
      <c r="C280" s="200" t="s">
        <v>5408</v>
      </c>
      <c r="D280" s="200" t="s">
        <v>212</v>
      </c>
      <c r="E280" s="201">
        <v>200.0</v>
      </c>
      <c r="F280" s="200">
        <v>0.0</v>
      </c>
      <c r="G280" s="200" t="s">
        <v>5329</v>
      </c>
      <c r="H280" s="202" t="s">
        <v>5732</v>
      </c>
      <c r="Q280" s="9"/>
      <c r="R280" s="9"/>
      <c r="S280" s="9"/>
      <c r="T280" s="9"/>
    </row>
    <row r="281" ht="19.5" customHeight="1">
      <c r="A281" s="198">
        <v>45785.0</v>
      </c>
      <c r="B281" s="199" t="s">
        <v>5750</v>
      </c>
      <c r="C281" s="199" t="s">
        <v>5479</v>
      </c>
      <c r="D281" s="200" t="s">
        <v>5314</v>
      </c>
      <c r="E281" s="201">
        <v>33.0</v>
      </c>
      <c r="F281" s="200">
        <v>0.0</v>
      </c>
      <c r="G281" s="200" t="s">
        <v>5382</v>
      </c>
      <c r="H281" s="202" t="s">
        <v>5732</v>
      </c>
      <c r="Q281" s="9"/>
      <c r="R281" s="9"/>
      <c r="S281" s="9"/>
      <c r="T281" s="9"/>
    </row>
    <row r="282" ht="19.5" customHeight="1">
      <c r="A282" s="198">
        <v>45785.0</v>
      </c>
      <c r="B282" s="199" t="s">
        <v>5750</v>
      </c>
      <c r="C282" s="199" t="s">
        <v>1377</v>
      </c>
      <c r="D282" s="200" t="s">
        <v>1378</v>
      </c>
      <c r="E282" s="201">
        <v>108.0</v>
      </c>
      <c r="F282" s="200">
        <v>0.0</v>
      </c>
      <c r="G282" s="200" t="s">
        <v>5341</v>
      </c>
      <c r="H282" s="202" t="s">
        <v>5732</v>
      </c>
      <c r="Q282" s="9"/>
      <c r="R282" s="9"/>
      <c r="S282" s="9"/>
      <c r="T282" s="9"/>
    </row>
    <row r="283" ht="19.5" customHeight="1">
      <c r="A283" s="198">
        <v>45785.0</v>
      </c>
      <c r="B283" s="199" t="s">
        <v>5750</v>
      </c>
      <c r="C283" s="200" t="s">
        <v>5403</v>
      </c>
      <c r="D283" s="200" t="s">
        <v>218</v>
      </c>
      <c r="E283" s="201">
        <v>100.0</v>
      </c>
      <c r="F283" s="200">
        <v>0.0</v>
      </c>
      <c r="G283" s="200" t="s">
        <v>5391</v>
      </c>
      <c r="H283" s="202" t="s">
        <v>5732</v>
      </c>
      <c r="Q283" s="9"/>
      <c r="R283" s="9"/>
      <c r="S283" s="9"/>
      <c r="T283" s="9"/>
    </row>
    <row r="284" ht="19.5" customHeight="1">
      <c r="A284" s="198">
        <v>45785.0</v>
      </c>
      <c r="B284" s="199" t="s">
        <v>5750</v>
      </c>
      <c r="C284" s="200" t="s">
        <v>5403</v>
      </c>
      <c r="D284" s="200" t="s">
        <v>218</v>
      </c>
      <c r="E284" s="201">
        <v>225.0</v>
      </c>
      <c r="F284" s="200">
        <v>0.0</v>
      </c>
      <c r="G284" s="200" t="s">
        <v>5392</v>
      </c>
      <c r="H284" s="202" t="s">
        <v>5732</v>
      </c>
      <c r="Q284" s="9"/>
      <c r="R284" s="9"/>
      <c r="S284" s="9"/>
      <c r="T284" s="9"/>
    </row>
    <row r="285" ht="19.5" customHeight="1">
      <c r="A285" s="198">
        <v>45785.0</v>
      </c>
      <c r="B285" s="199" t="s">
        <v>5750</v>
      </c>
      <c r="C285" s="199" t="s">
        <v>225</v>
      </c>
      <c r="D285" s="200" t="s">
        <v>224</v>
      </c>
      <c r="E285" s="201">
        <v>50.0</v>
      </c>
      <c r="F285" s="200">
        <v>0.0</v>
      </c>
      <c r="G285" s="200" t="s">
        <v>5632</v>
      </c>
      <c r="H285" s="202" t="s">
        <v>5732</v>
      </c>
      <c r="Q285" s="9"/>
      <c r="R285" s="9"/>
      <c r="S285" s="9"/>
      <c r="T285" s="9"/>
    </row>
    <row r="286" ht="19.5" customHeight="1">
      <c r="A286" s="198">
        <v>45785.0</v>
      </c>
      <c r="B286" s="199" t="s">
        <v>5750</v>
      </c>
      <c r="C286" s="199" t="s">
        <v>225</v>
      </c>
      <c r="D286" s="200" t="s">
        <v>224</v>
      </c>
      <c r="E286" s="201">
        <v>100.0</v>
      </c>
      <c r="F286" s="200">
        <v>0.0</v>
      </c>
      <c r="G286" s="200" t="s">
        <v>5339</v>
      </c>
      <c r="H286" s="202" t="s">
        <v>5732</v>
      </c>
      <c r="Q286" s="9"/>
      <c r="R286" s="9"/>
      <c r="S286" s="9"/>
      <c r="T286" s="9"/>
    </row>
    <row r="287" ht="19.5" customHeight="1">
      <c r="A287" s="198">
        <v>45785.0</v>
      </c>
      <c r="B287" s="199" t="s">
        <v>5750</v>
      </c>
      <c r="C287" s="200" t="s">
        <v>5403</v>
      </c>
      <c r="D287" s="200" t="s">
        <v>218</v>
      </c>
      <c r="E287" s="201">
        <v>200.0</v>
      </c>
      <c r="F287" s="200">
        <v>0.0</v>
      </c>
      <c r="G287" s="200" t="s">
        <v>5623</v>
      </c>
      <c r="H287" s="202" t="s">
        <v>5732</v>
      </c>
      <c r="Q287" s="9"/>
      <c r="R287" s="9"/>
      <c r="S287" s="9"/>
      <c r="T287" s="9"/>
    </row>
    <row r="288" ht="19.5" customHeight="1">
      <c r="A288" s="198">
        <v>45785.0</v>
      </c>
      <c r="B288" s="199" t="s">
        <v>5750</v>
      </c>
      <c r="C288" s="200" t="s">
        <v>5403</v>
      </c>
      <c r="D288" s="200" t="s">
        <v>218</v>
      </c>
      <c r="E288" s="201">
        <v>200.0</v>
      </c>
      <c r="F288" s="200">
        <v>0.0</v>
      </c>
      <c r="G288" s="200" t="s">
        <v>5624</v>
      </c>
      <c r="H288" s="202" t="s">
        <v>5732</v>
      </c>
      <c r="Q288" s="9"/>
      <c r="R288" s="9"/>
      <c r="S288" s="9"/>
      <c r="T288" s="9"/>
    </row>
    <row r="289" ht="19.5" customHeight="1">
      <c r="A289" s="198">
        <v>45785.0</v>
      </c>
      <c r="B289" s="199" t="s">
        <v>5750</v>
      </c>
      <c r="C289" s="200" t="s">
        <v>5403</v>
      </c>
      <c r="D289" s="200" t="s">
        <v>218</v>
      </c>
      <c r="E289" s="201">
        <v>200.0</v>
      </c>
      <c r="F289" s="200">
        <v>0.0</v>
      </c>
      <c r="G289" s="200" t="s">
        <v>5416</v>
      </c>
      <c r="H289" s="202" t="s">
        <v>5732</v>
      </c>
      <c r="Q289" s="9"/>
      <c r="R289" s="9"/>
      <c r="S289" s="9"/>
      <c r="T289" s="9"/>
    </row>
    <row r="290" ht="19.5" customHeight="1">
      <c r="A290" s="198">
        <v>45785.0</v>
      </c>
      <c r="B290" s="199" t="s">
        <v>5750</v>
      </c>
      <c r="C290" s="200" t="s">
        <v>5403</v>
      </c>
      <c r="D290" s="200" t="s">
        <v>218</v>
      </c>
      <c r="E290" s="201">
        <v>200.0</v>
      </c>
      <c r="F290" s="200">
        <v>0.0</v>
      </c>
      <c r="G290" s="200" t="s">
        <v>5625</v>
      </c>
      <c r="H290" s="202" t="s">
        <v>5732</v>
      </c>
      <c r="Q290" s="9"/>
      <c r="R290" s="9"/>
      <c r="S290" s="9"/>
      <c r="T290" s="9"/>
    </row>
    <row r="291" ht="19.5" customHeight="1">
      <c r="A291" s="198">
        <v>45785.0</v>
      </c>
      <c r="B291" s="199" t="s">
        <v>5750</v>
      </c>
      <c r="C291" s="200" t="s">
        <v>5403</v>
      </c>
      <c r="D291" s="200" t="s">
        <v>218</v>
      </c>
      <c r="E291" s="201">
        <v>200.0</v>
      </c>
      <c r="F291" s="200">
        <v>0.0</v>
      </c>
      <c r="G291" s="200" t="s">
        <v>5417</v>
      </c>
      <c r="H291" s="202" t="s">
        <v>5732</v>
      </c>
      <c r="Q291" s="9"/>
      <c r="R291" s="9"/>
      <c r="S291" s="9"/>
      <c r="T291" s="9"/>
    </row>
    <row r="292" ht="19.5" customHeight="1">
      <c r="A292" s="198">
        <v>45785.0</v>
      </c>
      <c r="B292" s="199" t="s">
        <v>5750</v>
      </c>
      <c r="C292" s="200" t="s">
        <v>5403</v>
      </c>
      <c r="D292" s="200" t="s">
        <v>218</v>
      </c>
      <c r="E292" s="201">
        <v>200.0</v>
      </c>
      <c r="F292" s="200">
        <v>0.0</v>
      </c>
      <c r="G292" s="200" t="s">
        <v>5615</v>
      </c>
      <c r="H292" s="202" t="s">
        <v>5732</v>
      </c>
      <c r="Q292" s="9"/>
      <c r="R292" s="9"/>
      <c r="S292" s="9"/>
      <c r="T292" s="9"/>
    </row>
    <row r="293" ht="19.5" customHeight="1">
      <c r="A293" s="198">
        <v>45786.0</v>
      </c>
      <c r="B293" s="199" t="s">
        <v>5751</v>
      </c>
      <c r="C293" s="200" t="s">
        <v>5453</v>
      </c>
      <c r="D293" s="200" t="s">
        <v>5352</v>
      </c>
      <c r="E293" s="201">
        <v>120.0</v>
      </c>
      <c r="F293" s="200">
        <v>0.0</v>
      </c>
      <c r="G293" s="199" t="s">
        <v>5752</v>
      </c>
      <c r="H293" s="202" t="s">
        <v>5711</v>
      </c>
      <c r="Q293" s="9"/>
      <c r="R293" s="9"/>
      <c r="S293" s="9"/>
      <c r="T293" s="9"/>
    </row>
    <row r="294" ht="19.5" customHeight="1">
      <c r="A294" s="198">
        <v>45786.0</v>
      </c>
      <c r="B294" s="199" t="s">
        <v>5751</v>
      </c>
      <c r="C294" s="200" t="s">
        <v>5423</v>
      </c>
      <c r="D294" s="200" t="s">
        <v>5324</v>
      </c>
      <c r="E294" s="201">
        <v>120.0</v>
      </c>
      <c r="F294" s="200">
        <v>0.0</v>
      </c>
      <c r="G294" s="199" t="s">
        <v>5340</v>
      </c>
      <c r="H294" s="202" t="s">
        <v>5711</v>
      </c>
      <c r="Q294" s="9"/>
      <c r="R294" s="9"/>
      <c r="S294" s="9"/>
      <c r="T294" s="9"/>
    </row>
    <row r="295" ht="19.5" customHeight="1">
      <c r="A295" s="198">
        <v>45786.0</v>
      </c>
      <c r="B295" s="199" t="s">
        <v>5751</v>
      </c>
      <c r="C295" s="199" t="s">
        <v>5467</v>
      </c>
      <c r="D295" s="200" t="s">
        <v>5406</v>
      </c>
      <c r="E295" s="201">
        <v>120.0</v>
      </c>
      <c r="F295" s="200">
        <v>0.0</v>
      </c>
      <c r="G295" s="199" t="s">
        <v>5344</v>
      </c>
      <c r="H295" s="202" t="s">
        <v>5711</v>
      </c>
      <c r="Q295" s="9"/>
      <c r="R295" s="9"/>
      <c r="S295" s="9"/>
      <c r="T295" s="9"/>
    </row>
    <row r="296" ht="19.5" customHeight="1">
      <c r="A296" s="198">
        <v>45786.0</v>
      </c>
      <c r="B296" s="199" t="s">
        <v>5751</v>
      </c>
      <c r="C296" s="199" t="s">
        <v>5487</v>
      </c>
      <c r="D296" s="200" t="s">
        <v>5608</v>
      </c>
      <c r="E296" s="201">
        <v>24.0</v>
      </c>
      <c r="F296" s="200">
        <v>0.0</v>
      </c>
      <c r="G296" s="199" t="s">
        <v>5687</v>
      </c>
      <c r="H296" s="202" t="s">
        <v>5711</v>
      </c>
      <c r="Q296" s="9"/>
      <c r="R296" s="9"/>
      <c r="S296" s="9"/>
      <c r="T296" s="9"/>
    </row>
    <row r="297" ht="19.5" customHeight="1">
      <c r="A297" s="198">
        <v>45786.0</v>
      </c>
      <c r="B297" s="199" t="s">
        <v>5751</v>
      </c>
      <c r="C297" s="199" t="s">
        <v>5488</v>
      </c>
      <c r="D297" s="200" t="s">
        <v>5348</v>
      </c>
      <c r="E297" s="201">
        <v>36.0</v>
      </c>
      <c r="F297" s="200">
        <v>0.0</v>
      </c>
      <c r="G297" s="200" t="s">
        <v>5429</v>
      </c>
      <c r="H297" s="202" t="s">
        <v>5711</v>
      </c>
      <c r="Q297" s="9"/>
      <c r="R297" s="9"/>
      <c r="S297" s="9"/>
      <c r="T297" s="9"/>
    </row>
    <row r="298" ht="19.5" customHeight="1">
      <c r="A298" s="198">
        <v>45789.0</v>
      </c>
      <c r="B298" s="199" t="s">
        <v>5753</v>
      </c>
      <c r="C298" s="199" t="s">
        <v>1377</v>
      </c>
      <c r="D298" s="200" t="s">
        <v>1378</v>
      </c>
      <c r="E298" s="201">
        <v>12.0</v>
      </c>
      <c r="F298" s="200">
        <v>0.0</v>
      </c>
      <c r="G298" s="200" t="s">
        <v>5341</v>
      </c>
      <c r="H298" s="202" t="s">
        <v>5741</v>
      </c>
      <c r="Q298" s="9"/>
      <c r="R298" s="9"/>
      <c r="S298" s="9"/>
      <c r="T298" s="9"/>
    </row>
    <row r="299" ht="19.5" customHeight="1">
      <c r="A299" s="198">
        <v>45789.0</v>
      </c>
      <c r="B299" s="199" t="s">
        <v>5754</v>
      </c>
      <c r="C299" s="199" t="s">
        <v>1377</v>
      </c>
      <c r="D299" s="200" t="s">
        <v>1378</v>
      </c>
      <c r="E299" s="201">
        <v>12.0</v>
      </c>
      <c r="F299" s="200">
        <v>0.0</v>
      </c>
      <c r="G299" s="200" t="s">
        <v>5341</v>
      </c>
      <c r="H299" s="202" t="s">
        <v>5741</v>
      </c>
      <c r="Q299" s="9"/>
      <c r="R299" s="9"/>
      <c r="S299" s="9"/>
      <c r="T299" s="9"/>
    </row>
    <row r="300" ht="19.5" customHeight="1">
      <c r="A300" s="198">
        <v>45789.0</v>
      </c>
      <c r="B300" s="199" t="s">
        <v>5755</v>
      </c>
      <c r="C300" s="199" t="s">
        <v>1377</v>
      </c>
      <c r="D300" s="200" t="s">
        <v>1378</v>
      </c>
      <c r="E300" s="201">
        <v>12.0</v>
      </c>
      <c r="F300" s="200">
        <v>0.0</v>
      </c>
      <c r="G300" s="200" t="s">
        <v>5341</v>
      </c>
      <c r="H300" s="202" t="s">
        <v>5741</v>
      </c>
      <c r="Q300" s="9"/>
      <c r="R300" s="9"/>
      <c r="S300" s="9"/>
      <c r="T300" s="9"/>
    </row>
    <row r="301" ht="19.5" customHeight="1">
      <c r="A301" s="198">
        <v>45789.0</v>
      </c>
      <c r="B301" s="199" t="s">
        <v>5756</v>
      </c>
      <c r="C301" s="199" t="s">
        <v>1377</v>
      </c>
      <c r="D301" s="200" t="s">
        <v>1378</v>
      </c>
      <c r="E301" s="201">
        <v>12.0</v>
      </c>
      <c r="F301" s="200">
        <v>0.0</v>
      </c>
      <c r="G301" s="200" t="s">
        <v>5341</v>
      </c>
      <c r="H301" s="202" t="s">
        <v>5741</v>
      </c>
      <c r="Q301" s="9"/>
      <c r="R301" s="9"/>
      <c r="S301" s="9"/>
      <c r="T301" s="9"/>
    </row>
    <row r="302" ht="19.5" customHeight="1">
      <c r="A302" s="198">
        <v>45789.0</v>
      </c>
      <c r="B302" s="199" t="s">
        <v>5757</v>
      </c>
      <c r="C302" s="199" t="s">
        <v>1377</v>
      </c>
      <c r="D302" s="200" t="s">
        <v>1378</v>
      </c>
      <c r="E302" s="201">
        <v>12.0</v>
      </c>
      <c r="F302" s="200">
        <v>0.0</v>
      </c>
      <c r="G302" s="200" t="s">
        <v>5341</v>
      </c>
      <c r="H302" s="202" t="s">
        <v>5741</v>
      </c>
      <c r="Q302" s="9"/>
      <c r="R302" s="9"/>
      <c r="S302" s="9"/>
      <c r="T302" s="9"/>
    </row>
    <row r="303" ht="19.5" customHeight="1">
      <c r="A303" s="198">
        <v>45789.0</v>
      </c>
      <c r="B303" s="199" t="s">
        <v>5758</v>
      </c>
      <c r="C303" s="199" t="s">
        <v>1377</v>
      </c>
      <c r="D303" s="200" t="s">
        <v>1378</v>
      </c>
      <c r="E303" s="201">
        <v>12.0</v>
      </c>
      <c r="F303" s="200">
        <v>0.0</v>
      </c>
      <c r="G303" s="200" t="s">
        <v>5341</v>
      </c>
      <c r="H303" s="202" t="s">
        <v>5741</v>
      </c>
      <c r="Q303" s="9"/>
      <c r="R303" s="9"/>
      <c r="S303" s="9"/>
      <c r="T303" s="9"/>
    </row>
    <row r="304" ht="19.5" customHeight="1">
      <c r="A304" s="198">
        <v>45790.0</v>
      </c>
      <c r="B304" s="199" t="s">
        <v>5759</v>
      </c>
      <c r="C304" s="199" t="s">
        <v>235</v>
      </c>
      <c r="D304" s="200" t="s">
        <v>8</v>
      </c>
      <c r="E304" s="201">
        <v>35.0</v>
      </c>
      <c r="F304" s="200">
        <v>0.0</v>
      </c>
      <c r="G304" s="199" t="s">
        <v>5702</v>
      </c>
      <c r="H304" s="202" t="s">
        <v>5732</v>
      </c>
      <c r="Q304" s="9"/>
      <c r="R304" s="9"/>
      <c r="S304" s="9"/>
      <c r="T304" s="9"/>
    </row>
    <row r="305" ht="19.5" customHeight="1">
      <c r="A305" s="198">
        <v>45790.0</v>
      </c>
      <c r="B305" s="199" t="s">
        <v>5759</v>
      </c>
      <c r="C305" s="200" t="s">
        <v>5369</v>
      </c>
      <c r="D305" s="200" t="s">
        <v>206</v>
      </c>
      <c r="E305" s="201">
        <v>250.0</v>
      </c>
      <c r="F305" s="200">
        <v>0.0</v>
      </c>
      <c r="G305" s="200" t="s">
        <v>5373</v>
      </c>
      <c r="H305" s="202" t="s">
        <v>5732</v>
      </c>
      <c r="Q305" s="9"/>
      <c r="R305" s="9"/>
      <c r="S305" s="9"/>
      <c r="T305" s="9"/>
    </row>
    <row r="306" ht="19.5" customHeight="1">
      <c r="A306" s="198">
        <v>45790.0</v>
      </c>
      <c r="B306" s="199" t="s">
        <v>5759</v>
      </c>
      <c r="C306" s="200" t="s">
        <v>5408</v>
      </c>
      <c r="D306" s="200" t="s">
        <v>212</v>
      </c>
      <c r="E306" s="201">
        <v>175.0</v>
      </c>
      <c r="F306" s="200">
        <v>0.0</v>
      </c>
      <c r="G306" s="200" t="s">
        <v>5350</v>
      </c>
      <c r="H306" s="202" t="s">
        <v>5732</v>
      </c>
      <c r="Q306" s="9"/>
      <c r="R306" s="9"/>
      <c r="S306" s="9"/>
      <c r="T306" s="9"/>
    </row>
    <row r="307" ht="19.5" customHeight="1">
      <c r="A307" s="198">
        <v>45790.0</v>
      </c>
      <c r="B307" s="199" t="s">
        <v>5759</v>
      </c>
      <c r="C307" s="200" t="s">
        <v>5403</v>
      </c>
      <c r="D307" s="200" t="s">
        <v>218</v>
      </c>
      <c r="E307" s="201">
        <v>350.0</v>
      </c>
      <c r="F307" s="200">
        <v>0.0</v>
      </c>
      <c r="G307" s="200" t="s">
        <v>5346</v>
      </c>
      <c r="H307" s="202" t="s">
        <v>5732</v>
      </c>
      <c r="Q307" s="9"/>
      <c r="R307" s="9"/>
      <c r="S307" s="9"/>
      <c r="T307" s="9"/>
    </row>
    <row r="308" ht="19.5" customHeight="1">
      <c r="A308" s="198">
        <v>45790.0</v>
      </c>
      <c r="B308" s="199" t="s">
        <v>5759</v>
      </c>
      <c r="C308" s="199" t="s">
        <v>5479</v>
      </c>
      <c r="D308" s="200" t="s">
        <v>5314</v>
      </c>
      <c r="E308" s="201">
        <v>4.0</v>
      </c>
      <c r="F308" s="200">
        <v>0.0</v>
      </c>
      <c r="G308" s="200" t="s">
        <v>5315</v>
      </c>
      <c r="H308" s="202" t="s">
        <v>5732</v>
      </c>
      <c r="Q308" s="9"/>
      <c r="R308" s="9"/>
      <c r="S308" s="9"/>
      <c r="T308" s="9"/>
    </row>
    <row r="309" ht="19.5" customHeight="1">
      <c r="A309" s="198">
        <v>45790.0</v>
      </c>
      <c r="B309" s="199" t="s">
        <v>5759</v>
      </c>
      <c r="C309" s="199" t="s">
        <v>1377</v>
      </c>
      <c r="D309" s="200" t="s">
        <v>1378</v>
      </c>
      <c r="E309" s="201">
        <v>72.0</v>
      </c>
      <c r="F309" s="200">
        <v>0.0</v>
      </c>
      <c r="G309" s="200" t="s">
        <v>5341</v>
      </c>
      <c r="H309" s="202" t="s">
        <v>5732</v>
      </c>
      <c r="Q309" s="9"/>
      <c r="R309" s="9"/>
      <c r="S309" s="9"/>
      <c r="T309" s="9"/>
    </row>
    <row r="310" ht="19.5" customHeight="1">
      <c r="A310" s="198">
        <v>45790.0</v>
      </c>
      <c r="B310" s="199" t="s">
        <v>5760</v>
      </c>
      <c r="C310" s="200" t="s">
        <v>5369</v>
      </c>
      <c r="D310" s="200" t="s">
        <v>206</v>
      </c>
      <c r="E310" s="201">
        <v>175.0</v>
      </c>
      <c r="F310" s="200">
        <v>0.0</v>
      </c>
      <c r="G310" s="200" t="s">
        <v>5373</v>
      </c>
      <c r="H310" s="202" t="s">
        <v>5741</v>
      </c>
      <c r="Q310" s="9"/>
      <c r="R310" s="9"/>
      <c r="S310" s="9"/>
      <c r="T310" s="9"/>
    </row>
    <row r="311" ht="19.5" customHeight="1">
      <c r="A311" s="198">
        <v>45790.0</v>
      </c>
      <c r="B311" s="199" t="s">
        <v>5760</v>
      </c>
      <c r="C311" s="200" t="s">
        <v>5408</v>
      </c>
      <c r="D311" s="200" t="s">
        <v>212</v>
      </c>
      <c r="E311" s="201">
        <v>50.0</v>
      </c>
      <c r="F311" s="200">
        <v>0.0</v>
      </c>
      <c r="G311" s="200" t="s">
        <v>5330</v>
      </c>
      <c r="H311" s="202" t="s">
        <v>5741</v>
      </c>
      <c r="Q311" s="9"/>
      <c r="R311" s="9"/>
      <c r="S311" s="9"/>
      <c r="T311" s="9"/>
    </row>
    <row r="312" ht="19.5" customHeight="1">
      <c r="A312" s="198">
        <v>45790.0</v>
      </c>
      <c r="B312" s="199" t="s">
        <v>5760</v>
      </c>
      <c r="C312" s="200" t="s">
        <v>5408</v>
      </c>
      <c r="D312" s="200" t="s">
        <v>212</v>
      </c>
      <c r="E312" s="201">
        <v>275.0</v>
      </c>
      <c r="F312" s="200">
        <v>0.0</v>
      </c>
      <c r="G312" s="200" t="s">
        <v>5329</v>
      </c>
      <c r="H312" s="202" t="s">
        <v>5741</v>
      </c>
      <c r="Q312" s="9"/>
      <c r="R312" s="9"/>
      <c r="S312" s="9"/>
      <c r="T312" s="9"/>
    </row>
    <row r="313" ht="19.5" customHeight="1">
      <c r="A313" s="198">
        <v>45790.0</v>
      </c>
      <c r="B313" s="199" t="s">
        <v>5760</v>
      </c>
      <c r="C313" s="200" t="s">
        <v>5403</v>
      </c>
      <c r="D313" s="200" t="s">
        <v>218</v>
      </c>
      <c r="E313" s="201">
        <v>240.0</v>
      </c>
      <c r="F313" s="200">
        <v>0.0</v>
      </c>
      <c r="G313" s="200" t="s">
        <v>5316</v>
      </c>
      <c r="H313" s="202" t="s">
        <v>5741</v>
      </c>
      <c r="Q313" s="9"/>
      <c r="R313" s="9"/>
      <c r="S313" s="9"/>
      <c r="T313" s="9"/>
    </row>
    <row r="314" ht="19.5" customHeight="1">
      <c r="A314" s="198">
        <v>45790.0</v>
      </c>
      <c r="B314" s="199" t="s">
        <v>5759</v>
      </c>
      <c r="C314" s="200" t="s">
        <v>5403</v>
      </c>
      <c r="D314" s="200" t="s">
        <v>218</v>
      </c>
      <c r="E314" s="201">
        <v>300.0</v>
      </c>
      <c r="F314" s="200">
        <v>0.0</v>
      </c>
      <c r="G314" s="200" t="s">
        <v>5342</v>
      </c>
      <c r="H314" s="202" t="s">
        <v>5761</v>
      </c>
      <c r="Q314" s="9"/>
      <c r="R314" s="9"/>
      <c r="S314" s="9"/>
      <c r="T314" s="9"/>
    </row>
    <row r="315" ht="19.5" customHeight="1">
      <c r="A315" s="198">
        <v>45790.0</v>
      </c>
      <c r="B315" s="199" t="s">
        <v>5760</v>
      </c>
      <c r="C315" s="199" t="s">
        <v>235</v>
      </c>
      <c r="D315" s="200" t="s">
        <v>8</v>
      </c>
      <c r="E315" s="201">
        <v>35.0</v>
      </c>
      <c r="F315" s="200">
        <v>0.0</v>
      </c>
      <c r="G315" s="199" t="s">
        <v>5702</v>
      </c>
      <c r="H315" s="202" t="s">
        <v>5732</v>
      </c>
      <c r="Q315" s="9"/>
      <c r="R315" s="9"/>
      <c r="S315" s="9"/>
      <c r="T315" s="9"/>
    </row>
    <row r="316" ht="19.5" customHeight="1">
      <c r="A316" s="198">
        <v>45790.0</v>
      </c>
      <c r="B316" s="199" t="s">
        <v>5760</v>
      </c>
      <c r="C316" s="199" t="s">
        <v>5479</v>
      </c>
      <c r="D316" s="200" t="s">
        <v>5314</v>
      </c>
      <c r="E316" s="201">
        <v>26.0</v>
      </c>
      <c r="F316" s="200">
        <v>0.0</v>
      </c>
      <c r="G316" s="200" t="s">
        <v>5315</v>
      </c>
      <c r="H316" s="202" t="s">
        <v>5732</v>
      </c>
      <c r="Q316" s="9"/>
      <c r="R316" s="9"/>
      <c r="S316" s="9"/>
      <c r="T316" s="9"/>
    </row>
    <row r="317" ht="19.5" customHeight="1">
      <c r="A317" s="198">
        <v>45790.0</v>
      </c>
      <c r="B317" s="199" t="s">
        <v>5760</v>
      </c>
      <c r="C317" s="199" t="s">
        <v>1377</v>
      </c>
      <c r="D317" s="200" t="s">
        <v>1378</v>
      </c>
      <c r="E317" s="201">
        <v>120.0</v>
      </c>
      <c r="F317" s="200">
        <v>0.0</v>
      </c>
      <c r="G317" s="200" t="s">
        <v>5341</v>
      </c>
      <c r="H317" s="202" t="s">
        <v>5732</v>
      </c>
      <c r="Q317" s="9"/>
      <c r="R317" s="9"/>
      <c r="S317" s="9"/>
      <c r="T317" s="9"/>
    </row>
    <row r="318" ht="19.5" customHeight="1">
      <c r="A318" s="198">
        <v>45792.0</v>
      </c>
      <c r="B318" s="200" t="s">
        <v>5762</v>
      </c>
      <c r="C318" s="199" t="s">
        <v>5467</v>
      </c>
      <c r="D318" s="200" t="s">
        <v>5406</v>
      </c>
      <c r="E318" s="201">
        <v>600.0</v>
      </c>
      <c r="F318" s="200">
        <v>0.0</v>
      </c>
      <c r="G318" s="200" t="s">
        <v>5588</v>
      </c>
      <c r="H318" s="202" t="s">
        <v>5669</v>
      </c>
      <c r="Q318" s="9"/>
      <c r="R318" s="9"/>
      <c r="S318" s="9"/>
      <c r="T318" s="9"/>
    </row>
    <row r="319" ht="19.5" customHeight="1">
      <c r="A319" s="198">
        <v>45796.0</v>
      </c>
      <c r="B319" s="199" t="s">
        <v>5763</v>
      </c>
      <c r="C319" s="199" t="s">
        <v>1377</v>
      </c>
      <c r="D319" s="200" t="s">
        <v>1378</v>
      </c>
      <c r="E319" s="201">
        <v>12.0</v>
      </c>
      <c r="F319" s="200">
        <v>0.0</v>
      </c>
      <c r="G319" s="200" t="s">
        <v>5389</v>
      </c>
      <c r="H319" s="202" t="s">
        <v>5741</v>
      </c>
      <c r="Q319" s="9"/>
      <c r="R319" s="9"/>
      <c r="S319" s="9"/>
      <c r="T319" s="9"/>
    </row>
    <row r="320" ht="19.5" customHeight="1">
      <c r="A320" s="198">
        <v>45796.0</v>
      </c>
      <c r="B320" s="199" t="s">
        <v>5764</v>
      </c>
      <c r="C320" s="199" t="s">
        <v>1377</v>
      </c>
      <c r="D320" s="200" t="s">
        <v>1378</v>
      </c>
      <c r="E320" s="201">
        <v>12.0</v>
      </c>
      <c r="F320" s="200">
        <v>0.0</v>
      </c>
      <c r="G320" s="200" t="s">
        <v>5341</v>
      </c>
      <c r="H320" s="202" t="s">
        <v>5741</v>
      </c>
      <c r="Q320" s="9"/>
      <c r="R320" s="9"/>
      <c r="S320" s="9"/>
      <c r="T320" s="9"/>
    </row>
    <row r="321" ht="19.5" customHeight="1">
      <c r="A321" s="198">
        <v>45796.0</v>
      </c>
      <c r="B321" s="199" t="s">
        <v>5765</v>
      </c>
      <c r="C321" s="199" t="s">
        <v>1377</v>
      </c>
      <c r="D321" s="200" t="s">
        <v>1378</v>
      </c>
      <c r="E321" s="201">
        <v>24.0</v>
      </c>
      <c r="F321" s="200">
        <v>0.0</v>
      </c>
      <c r="G321" s="200" t="s">
        <v>5389</v>
      </c>
      <c r="H321" s="202" t="s">
        <v>5741</v>
      </c>
      <c r="Q321" s="9"/>
      <c r="R321" s="9"/>
      <c r="S321" s="9"/>
      <c r="T321" s="9"/>
    </row>
    <row r="322" ht="19.5" customHeight="1">
      <c r="A322" s="198">
        <v>45793.0</v>
      </c>
      <c r="B322" s="200" t="s">
        <v>5766</v>
      </c>
      <c r="C322" s="199" t="s">
        <v>5479</v>
      </c>
      <c r="D322" s="200" t="s">
        <v>5314</v>
      </c>
      <c r="E322" s="201">
        <v>1.0</v>
      </c>
      <c r="F322" s="200">
        <v>0.0</v>
      </c>
      <c r="G322" s="200" t="s">
        <v>5382</v>
      </c>
      <c r="H322" s="202" t="s">
        <v>5767</v>
      </c>
      <c r="Q322" s="9"/>
      <c r="R322" s="9"/>
      <c r="S322" s="9"/>
      <c r="T322" s="9"/>
    </row>
    <row r="323" ht="19.5" customHeight="1">
      <c r="A323" s="198">
        <v>45793.0</v>
      </c>
      <c r="B323" s="200" t="s">
        <v>5766</v>
      </c>
      <c r="C323" s="199" t="s">
        <v>5479</v>
      </c>
      <c r="D323" s="200" t="s">
        <v>5314</v>
      </c>
      <c r="E323" s="201">
        <v>15.0</v>
      </c>
      <c r="F323" s="200">
        <v>0.0</v>
      </c>
      <c r="G323" s="200" t="s">
        <v>5315</v>
      </c>
      <c r="H323" s="202" t="s">
        <v>5767</v>
      </c>
      <c r="Q323" s="9"/>
      <c r="R323" s="9"/>
      <c r="S323" s="9"/>
      <c r="T323" s="9"/>
    </row>
    <row r="324" ht="19.5" customHeight="1">
      <c r="A324" s="198">
        <v>45793.0</v>
      </c>
      <c r="B324" s="200" t="s">
        <v>5766</v>
      </c>
      <c r="C324" s="199" t="s">
        <v>377</v>
      </c>
      <c r="D324" s="200" t="s">
        <v>376</v>
      </c>
      <c r="E324" s="201">
        <v>50.0</v>
      </c>
      <c r="F324" s="200">
        <v>0.0</v>
      </c>
      <c r="G324" s="200" t="s">
        <v>5420</v>
      </c>
      <c r="H324" s="202" t="s">
        <v>5649</v>
      </c>
      <c r="Q324" s="9"/>
      <c r="R324" s="9"/>
      <c r="S324" s="9"/>
      <c r="T324" s="9"/>
    </row>
    <row r="325" ht="19.5" customHeight="1">
      <c r="A325" s="198">
        <v>45790.0</v>
      </c>
      <c r="B325" s="199" t="s">
        <v>5768</v>
      </c>
      <c r="C325" s="199" t="s">
        <v>225</v>
      </c>
      <c r="D325" s="200" t="s">
        <v>224</v>
      </c>
      <c r="E325" s="201">
        <v>20.0</v>
      </c>
      <c r="F325" s="200">
        <v>0.0</v>
      </c>
      <c r="G325" s="200" t="s">
        <v>5308</v>
      </c>
      <c r="H325" s="202" t="s">
        <v>5649</v>
      </c>
      <c r="Q325" s="9"/>
      <c r="R325" s="9"/>
      <c r="S325" s="9"/>
      <c r="T325" s="9"/>
    </row>
    <row r="326" ht="19.5" customHeight="1">
      <c r="A326" s="198">
        <v>45796.0</v>
      </c>
      <c r="B326" s="199" t="s">
        <v>5768</v>
      </c>
      <c r="C326" s="199" t="s">
        <v>5492</v>
      </c>
      <c r="D326" s="200" t="s">
        <v>5493</v>
      </c>
      <c r="E326" s="201">
        <v>100.0</v>
      </c>
      <c r="F326" s="200">
        <v>0.0</v>
      </c>
      <c r="G326" s="200" t="s">
        <v>5558</v>
      </c>
      <c r="H326" s="202" t="s">
        <v>5769</v>
      </c>
      <c r="Q326" s="9"/>
      <c r="R326" s="9"/>
      <c r="S326" s="9"/>
      <c r="T326" s="9"/>
    </row>
    <row r="327" ht="19.5" customHeight="1">
      <c r="A327" s="198">
        <v>45796.0</v>
      </c>
      <c r="B327" s="199" t="s">
        <v>5768</v>
      </c>
      <c r="C327" s="200" t="s">
        <v>5369</v>
      </c>
      <c r="D327" s="200" t="s">
        <v>206</v>
      </c>
      <c r="E327" s="201">
        <v>275.0</v>
      </c>
      <c r="F327" s="200">
        <v>0.0</v>
      </c>
      <c r="G327" s="200" t="s">
        <v>5373</v>
      </c>
      <c r="H327" s="202" t="s">
        <v>5649</v>
      </c>
      <c r="Q327" s="9"/>
      <c r="R327" s="9"/>
      <c r="S327" s="9"/>
      <c r="T327" s="9"/>
    </row>
    <row r="328" ht="19.5" customHeight="1">
      <c r="A328" s="198">
        <v>45796.0</v>
      </c>
      <c r="B328" s="199" t="s">
        <v>5768</v>
      </c>
      <c r="C328" s="200" t="s">
        <v>5408</v>
      </c>
      <c r="D328" s="200" t="s">
        <v>212</v>
      </c>
      <c r="E328" s="201">
        <v>275.0</v>
      </c>
      <c r="F328" s="200">
        <v>0.0</v>
      </c>
      <c r="G328" s="200" t="s">
        <v>5330</v>
      </c>
      <c r="H328" s="202" t="s">
        <v>5649</v>
      </c>
      <c r="Q328" s="9"/>
      <c r="R328" s="9"/>
      <c r="S328" s="9"/>
      <c r="T328" s="9"/>
    </row>
    <row r="329" ht="19.5" customHeight="1">
      <c r="A329" s="198">
        <v>45796.0</v>
      </c>
      <c r="B329" s="199" t="s">
        <v>5768</v>
      </c>
      <c r="C329" s="199" t="s">
        <v>225</v>
      </c>
      <c r="D329" s="200" t="s">
        <v>224</v>
      </c>
      <c r="E329" s="201">
        <v>50.0</v>
      </c>
      <c r="F329" s="200">
        <v>0.0</v>
      </c>
      <c r="G329" s="200" t="s">
        <v>5421</v>
      </c>
      <c r="H329" s="202" t="s">
        <v>5649</v>
      </c>
      <c r="Q329" s="9"/>
      <c r="R329" s="9"/>
      <c r="S329" s="9"/>
      <c r="T329" s="9"/>
    </row>
    <row r="330" ht="19.5" customHeight="1">
      <c r="A330" s="198">
        <v>45796.0</v>
      </c>
      <c r="B330" s="199" t="s">
        <v>5768</v>
      </c>
      <c r="C330" s="199" t="s">
        <v>225</v>
      </c>
      <c r="D330" s="200" t="s">
        <v>224</v>
      </c>
      <c r="E330" s="201">
        <v>205.0</v>
      </c>
      <c r="F330" s="200">
        <v>0.0</v>
      </c>
      <c r="G330" s="200" t="s">
        <v>5637</v>
      </c>
      <c r="H330" s="202" t="s">
        <v>5649</v>
      </c>
      <c r="Q330" s="9"/>
      <c r="R330" s="9"/>
      <c r="S330" s="9"/>
      <c r="T330" s="9"/>
    </row>
    <row r="331" ht="19.5" customHeight="1">
      <c r="A331" s="198">
        <v>45796.0</v>
      </c>
      <c r="B331" s="199" t="s">
        <v>5768</v>
      </c>
      <c r="C331" s="199" t="s">
        <v>225</v>
      </c>
      <c r="D331" s="200" t="s">
        <v>224</v>
      </c>
      <c r="E331" s="201">
        <v>5.0</v>
      </c>
      <c r="F331" s="200">
        <v>0.0</v>
      </c>
      <c r="G331" s="200" t="s">
        <v>5343</v>
      </c>
      <c r="H331" s="202" t="s">
        <v>5649</v>
      </c>
      <c r="Q331" s="9"/>
      <c r="R331" s="9"/>
      <c r="S331" s="9"/>
      <c r="T331" s="9"/>
    </row>
    <row r="332" ht="19.5" customHeight="1">
      <c r="A332" s="198">
        <v>45796.0</v>
      </c>
      <c r="B332" s="199" t="s">
        <v>5768</v>
      </c>
      <c r="C332" s="199" t="s">
        <v>225</v>
      </c>
      <c r="D332" s="200" t="s">
        <v>224</v>
      </c>
      <c r="E332" s="201">
        <v>50.0</v>
      </c>
      <c r="F332" s="200">
        <v>0.0</v>
      </c>
      <c r="G332" s="200" t="s">
        <v>5339</v>
      </c>
      <c r="H332" s="202" t="s">
        <v>5649</v>
      </c>
      <c r="Q332" s="9"/>
      <c r="R332" s="9"/>
      <c r="S332" s="9"/>
      <c r="T332" s="9"/>
    </row>
    <row r="333" ht="19.5" customHeight="1">
      <c r="A333" s="198">
        <v>45796.0</v>
      </c>
      <c r="B333" s="199" t="s">
        <v>5768</v>
      </c>
      <c r="C333" s="199" t="s">
        <v>225</v>
      </c>
      <c r="D333" s="200" t="s">
        <v>224</v>
      </c>
      <c r="E333" s="201">
        <v>150.0</v>
      </c>
      <c r="F333" s="200">
        <v>0.0</v>
      </c>
      <c r="G333" s="200" t="s">
        <v>5337</v>
      </c>
      <c r="H333" s="202" t="s">
        <v>5649</v>
      </c>
      <c r="Q333" s="9"/>
      <c r="R333" s="9"/>
      <c r="S333" s="9"/>
      <c r="T333" s="9"/>
    </row>
    <row r="334" ht="19.5" customHeight="1">
      <c r="A334" s="198">
        <v>45796.0</v>
      </c>
      <c r="B334" s="199" t="s">
        <v>5768</v>
      </c>
      <c r="C334" s="199" t="s">
        <v>225</v>
      </c>
      <c r="D334" s="200" t="s">
        <v>224</v>
      </c>
      <c r="E334" s="201">
        <v>40.0</v>
      </c>
      <c r="F334" s="200">
        <v>0.0</v>
      </c>
      <c r="G334" s="200" t="s">
        <v>5336</v>
      </c>
      <c r="H334" s="202" t="s">
        <v>5649</v>
      </c>
      <c r="Q334" s="9"/>
      <c r="R334" s="9"/>
      <c r="S334" s="9"/>
      <c r="T334" s="9"/>
    </row>
    <row r="335" ht="19.5" customHeight="1">
      <c r="A335" s="198">
        <v>45796.0</v>
      </c>
      <c r="B335" s="199" t="s">
        <v>5768</v>
      </c>
      <c r="C335" s="200" t="s">
        <v>5403</v>
      </c>
      <c r="D335" s="200" t="s">
        <v>218</v>
      </c>
      <c r="E335" s="201">
        <v>200.0</v>
      </c>
      <c r="F335" s="200">
        <v>0.0</v>
      </c>
      <c r="G335" s="200" t="s">
        <v>5405</v>
      </c>
      <c r="H335" s="202" t="s">
        <v>5649</v>
      </c>
      <c r="Q335" s="9"/>
      <c r="R335" s="9"/>
      <c r="S335" s="9"/>
      <c r="T335" s="9"/>
    </row>
    <row r="336" ht="19.5" customHeight="1">
      <c r="A336" s="198">
        <v>45796.0</v>
      </c>
      <c r="B336" s="199" t="s">
        <v>5768</v>
      </c>
      <c r="C336" s="200" t="s">
        <v>5403</v>
      </c>
      <c r="D336" s="200" t="s">
        <v>218</v>
      </c>
      <c r="E336" s="201">
        <v>50.0</v>
      </c>
      <c r="F336" s="200">
        <v>0.0</v>
      </c>
      <c r="G336" s="200" t="s">
        <v>5622</v>
      </c>
      <c r="H336" s="202" t="s">
        <v>5649</v>
      </c>
      <c r="Q336" s="9"/>
      <c r="R336" s="9"/>
      <c r="S336" s="9"/>
      <c r="T336" s="9"/>
    </row>
    <row r="337" ht="19.5" customHeight="1">
      <c r="A337" s="198">
        <v>45796.0</v>
      </c>
      <c r="B337" s="199" t="s">
        <v>5768</v>
      </c>
      <c r="C337" s="200" t="s">
        <v>5403</v>
      </c>
      <c r="D337" s="200" t="s">
        <v>218</v>
      </c>
      <c r="E337" s="201">
        <v>100.0</v>
      </c>
      <c r="F337" s="200">
        <v>0.0</v>
      </c>
      <c r="G337" s="200" t="s">
        <v>5623</v>
      </c>
      <c r="H337" s="202" t="s">
        <v>5649</v>
      </c>
      <c r="Q337" s="9"/>
      <c r="R337" s="9"/>
      <c r="S337" s="9"/>
      <c r="T337" s="9"/>
    </row>
    <row r="338" ht="19.5" customHeight="1">
      <c r="A338" s="198">
        <v>45796.0</v>
      </c>
      <c r="B338" s="199" t="s">
        <v>5768</v>
      </c>
      <c r="C338" s="200" t="s">
        <v>5403</v>
      </c>
      <c r="D338" s="200" t="s">
        <v>218</v>
      </c>
      <c r="E338" s="201">
        <v>200.0</v>
      </c>
      <c r="F338" s="200">
        <v>0.0</v>
      </c>
      <c r="G338" s="200" t="s">
        <v>5416</v>
      </c>
      <c r="H338" s="202" t="s">
        <v>5649</v>
      </c>
      <c r="Q338" s="9"/>
      <c r="R338" s="9"/>
      <c r="S338" s="9"/>
      <c r="T338" s="9"/>
    </row>
    <row r="339" ht="19.5" customHeight="1">
      <c r="A339" s="198">
        <v>45796.0</v>
      </c>
      <c r="B339" s="199" t="s">
        <v>5768</v>
      </c>
      <c r="C339" s="200" t="s">
        <v>5403</v>
      </c>
      <c r="D339" s="200" t="s">
        <v>218</v>
      </c>
      <c r="E339" s="201">
        <v>100.0</v>
      </c>
      <c r="F339" s="200">
        <v>0.0</v>
      </c>
      <c r="G339" s="200" t="s">
        <v>5625</v>
      </c>
      <c r="H339" s="202" t="s">
        <v>5649</v>
      </c>
      <c r="Q339" s="9"/>
      <c r="R339" s="9"/>
      <c r="S339" s="9"/>
      <c r="T339" s="9"/>
    </row>
    <row r="340" ht="19.5" customHeight="1">
      <c r="A340" s="198">
        <v>45797.0</v>
      </c>
      <c r="B340" s="199" t="s">
        <v>5770</v>
      </c>
      <c r="C340" s="199" t="s">
        <v>1377</v>
      </c>
      <c r="D340" s="200" t="s">
        <v>1378</v>
      </c>
      <c r="E340" s="201">
        <v>24.0</v>
      </c>
      <c r="F340" s="200">
        <v>0.0</v>
      </c>
      <c r="G340" s="200" t="s">
        <v>5315</v>
      </c>
      <c r="H340" s="202" t="s">
        <v>5660</v>
      </c>
      <c r="Q340" s="9"/>
      <c r="R340" s="9"/>
      <c r="S340" s="9"/>
      <c r="T340" s="9"/>
    </row>
    <row r="341" ht="19.5" customHeight="1">
      <c r="A341" s="198">
        <v>45797.0</v>
      </c>
      <c r="B341" s="199" t="s">
        <v>5771</v>
      </c>
      <c r="C341" s="199" t="s">
        <v>1377</v>
      </c>
      <c r="D341" s="200" t="s">
        <v>1378</v>
      </c>
      <c r="E341" s="201">
        <v>24.0</v>
      </c>
      <c r="F341" s="200">
        <v>0.0</v>
      </c>
      <c r="G341" s="200" t="s">
        <v>5315</v>
      </c>
      <c r="H341" s="202" t="s">
        <v>5741</v>
      </c>
      <c r="Q341" s="9"/>
      <c r="R341" s="9"/>
      <c r="S341" s="9"/>
      <c r="T341" s="9"/>
    </row>
    <row r="342" ht="19.5" customHeight="1">
      <c r="A342" s="198">
        <v>45797.0</v>
      </c>
      <c r="B342" s="200" t="s">
        <v>5772</v>
      </c>
      <c r="C342" s="200" t="s">
        <v>5461</v>
      </c>
      <c r="D342" s="200" t="s">
        <v>5318</v>
      </c>
      <c r="E342" s="201">
        <v>60.0</v>
      </c>
      <c r="F342" s="200">
        <v>0.0</v>
      </c>
      <c r="G342" s="199" t="s">
        <v>5736</v>
      </c>
      <c r="H342" s="202" t="s">
        <v>5711</v>
      </c>
      <c r="Q342" s="9"/>
      <c r="R342" s="9"/>
      <c r="S342" s="9"/>
      <c r="T342" s="9"/>
    </row>
    <row r="343" ht="19.5" customHeight="1">
      <c r="A343" s="198">
        <v>45797.0</v>
      </c>
      <c r="B343" s="200" t="s">
        <v>5772</v>
      </c>
      <c r="C343" s="200" t="s">
        <v>5423</v>
      </c>
      <c r="D343" s="200" t="s">
        <v>5324</v>
      </c>
      <c r="E343" s="201">
        <v>60.0</v>
      </c>
      <c r="F343" s="200">
        <v>0.0</v>
      </c>
      <c r="G343" s="199" t="s">
        <v>5340</v>
      </c>
      <c r="H343" s="202" t="s">
        <v>5711</v>
      </c>
      <c r="Q343" s="9"/>
      <c r="R343" s="9"/>
      <c r="S343" s="9"/>
      <c r="T343" s="9"/>
    </row>
    <row r="344" ht="19.5" customHeight="1">
      <c r="A344" s="198">
        <v>45797.0</v>
      </c>
      <c r="B344" s="200" t="s">
        <v>5772</v>
      </c>
      <c r="C344" s="200" t="s">
        <v>5383</v>
      </c>
      <c r="D344" s="200" t="s">
        <v>5484</v>
      </c>
      <c r="E344" s="201">
        <v>5.0</v>
      </c>
      <c r="F344" s="200">
        <v>0.0</v>
      </c>
      <c r="G344" s="200" t="s">
        <v>5586</v>
      </c>
      <c r="H344" s="202" t="s">
        <v>5711</v>
      </c>
      <c r="Q344" s="9"/>
      <c r="R344" s="9"/>
      <c r="S344" s="9"/>
      <c r="T344" s="9"/>
    </row>
    <row r="345" ht="19.5" customHeight="1">
      <c r="A345" s="198">
        <v>45799.0</v>
      </c>
      <c r="B345" s="199" t="s">
        <v>5773</v>
      </c>
      <c r="C345" s="199" t="s">
        <v>1377</v>
      </c>
      <c r="D345" s="200" t="s">
        <v>1378</v>
      </c>
      <c r="E345" s="201">
        <v>12.0</v>
      </c>
      <c r="F345" s="200">
        <v>0.0</v>
      </c>
      <c r="G345" s="200" t="s">
        <v>5315</v>
      </c>
      <c r="H345" s="202" t="s">
        <v>5741</v>
      </c>
      <c r="Q345" s="9"/>
      <c r="R345" s="9"/>
      <c r="S345" s="9"/>
      <c r="T345" s="9"/>
    </row>
    <row r="346" ht="19.5" customHeight="1">
      <c r="A346" s="198">
        <v>45799.0</v>
      </c>
      <c r="B346" s="199" t="s">
        <v>5774</v>
      </c>
      <c r="C346" s="199" t="s">
        <v>1377</v>
      </c>
      <c r="D346" s="200" t="s">
        <v>1378</v>
      </c>
      <c r="E346" s="201">
        <v>12.0</v>
      </c>
      <c r="F346" s="200">
        <v>0.0</v>
      </c>
      <c r="G346" s="200" t="s">
        <v>5315</v>
      </c>
      <c r="H346" s="202" t="s">
        <v>5741</v>
      </c>
      <c r="Q346" s="9"/>
      <c r="R346" s="9"/>
      <c r="S346" s="9"/>
      <c r="T346" s="9"/>
    </row>
    <row r="347" ht="19.5" customHeight="1">
      <c r="A347" s="198">
        <v>45799.0</v>
      </c>
      <c r="B347" s="199" t="s">
        <v>5775</v>
      </c>
      <c r="C347" s="199" t="s">
        <v>1377</v>
      </c>
      <c r="D347" s="200" t="s">
        <v>1378</v>
      </c>
      <c r="E347" s="201">
        <v>12.0</v>
      </c>
      <c r="F347" s="200">
        <v>0.0</v>
      </c>
      <c r="G347" s="200" t="s">
        <v>5315</v>
      </c>
      <c r="H347" s="202" t="s">
        <v>5741</v>
      </c>
      <c r="Q347" s="9"/>
      <c r="R347" s="9"/>
      <c r="S347" s="9"/>
      <c r="T347" s="9"/>
    </row>
    <row r="348" ht="19.5" customHeight="1">
      <c r="A348" s="198">
        <v>45799.0</v>
      </c>
      <c r="B348" s="199" t="s">
        <v>5776</v>
      </c>
      <c r="C348" s="199" t="s">
        <v>245</v>
      </c>
      <c r="D348" s="200" t="s">
        <v>5464</v>
      </c>
      <c r="E348" s="201">
        <v>175.0</v>
      </c>
      <c r="F348" s="200">
        <v>0.0</v>
      </c>
      <c r="G348" s="200" t="s">
        <v>5599</v>
      </c>
      <c r="H348" s="202" t="s">
        <v>5777</v>
      </c>
      <c r="Q348" s="9"/>
      <c r="R348" s="9"/>
      <c r="S348" s="9"/>
      <c r="T348" s="9"/>
    </row>
    <row r="349" ht="19.5" customHeight="1">
      <c r="A349" s="198">
        <v>45799.0</v>
      </c>
      <c r="B349" s="199" t="s">
        <v>5776</v>
      </c>
      <c r="C349" s="199" t="s">
        <v>245</v>
      </c>
      <c r="D349" s="200" t="s">
        <v>5464</v>
      </c>
      <c r="E349" s="201">
        <v>325.0</v>
      </c>
      <c r="F349" s="200">
        <v>0.0</v>
      </c>
      <c r="G349" s="200" t="s">
        <v>5601</v>
      </c>
      <c r="H349" s="202" t="s">
        <v>5777</v>
      </c>
      <c r="Q349" s="9"/>
      <c r="R349" s="9"/>
      <c r="S349" s="9"/>
      <c r="T349" s="9"/>
    </row>
    <row r="350" ht="19.5" customHeight="1">
      <c r="A350" s="198">
        <v>45799.0</v>
      </c>
      <c r="B350" s="199" t="s">
        <v>5778</v>
      </c>
      <c r="C350" s="200" t="s">
        <v>5369</v>
      </c>
      <c r="D350" s="200" t="s">
        <v>206</v>
      </c>
      <c r="E350" s="201">
        <v>175.0</v>
      </c>
      <c r="F350" s="200">
        <v>0.0</v>
      </c>
      <c r="G350" s="200" t="s">
        <v>5559</v>
      </c>
      <c r="H350" s="202" t="s">
        <v>5732</v>
      </c>
      <c r="Q350" s="9"/>
      <c r="R350" s="9"/>
      <c r="S350" s="9"/>
      <c r="T350" s="9"/>
    </row>
    <row r="351" ht="19.5" customHeight="1">
      <c r="A351" s="198">
        <v>45799.0</v>
      </c>
      <c r="B351" s="199" t="s">
        <v>5778</v>
      </c>
      <c r="C351" s="199" t="s">
        <v>1377</v>
      </c>
      <c r="D351" s="200" t="s">
        <v>1378</v>
      </c>
      <c r="E351" s="201">
        <v>48.0</v>
      </c>
      <c r="F351" s="200">
        <v>0.0</v>
      </c>
      <c r="G351" s="200" t="s">
        <v>5315</v>
      </c>
      <c r="H351" s="202" t="s">
        <v>5732</v>
      </c>
      <c r="Q351" s="9"/>
      <c r="R351" s="9"/>
      <c r="S351" s="9"/>
      <c r="T351" s="9"/>
    </row>
    <row r="352" ht="19.5" customHeight="1">
      <c r="A352" s="198">
        <v>45799.0</v>
      </c>
      <c r="B352" s="199" t="s">
        <v>5778</v>
      </c>
      <c r="C352" s="199" t="s">
        <v>225</v>
      </c>
      <c r="D352" s="200" t="s">
        <v>224</v>
      </c>
      <c r="E352" s="201">
        <v>150.0</v>
      </c>
      <c r="F352" s="200">
        <v>0.0</v>
      </c>
      <c r="G352" s="200" t="s">
        <v>5607</v>
      </c>
      <c r="H352" s="202" t="s">
        <v>5732</v>
      </c>
      <c r="Q352" s="9"/>
      <c r="R352" s="9"/>
      <c r="S352" s="9"/>
      <c r="T352" s="9"/>
    </row>
    <row r="353" ht="19.5" customHeight="1">
      <c r="A353" s="198">
        <v>45799.0</v>
      </c>
      <c r="B353" s="199" t="s">
        <v>5778</v>
      </c>
      <c r="C353" s="200" t="s">
        <v>5403</v>
      </c>
      <c r="D353" s="200" t="s">
        <v>218</v>
      </c>
      <c r="E353" s="201">
        <v>75.0</v>
      </c>
      <c r="F353" s="200">
        <v>0.0</v>
      </c>
      <c r="G353" s="200" t="s">
        <v>5625</v>
      </c>
      <c r="H353" s="202" t="s">
        <v>5732</v>
      </c>
      <c r="Q353" s="9"/>
      <c r="R353" s="9"/>
      <c r="S353" s="9"/>
      <c r="T353" s="9"/>
    </row>
    <row r="354" ht="19.5" customHeight="1">
      <c r="A354" s="198">
        <v>45799.0</v>
      </c>
      <c r="B354" s="199" t="s">
        <v>5778</v>
      </c>
      <c r="C354" s="200" t="s">
        <v>5403</v>
      </c>
      <c r="D354" s="200" t="s">
        <v>218</v>
      </c>
      <c r="E354" s="201">
        <v>200.0</v>
      </c>
      <c r="F354" s="200">
        <v>0.0</v>
      </c>
      <c r="G354" s="200" t="s">
        <v>5628</v>
      </c>
      <c r="H354" s="202" t="s">
        <v>5732</v>
      </c>
      <c r="Q354" s="9"/>
      <c r="R354" s="9"/>
      <c r="S354" s="9"/>
      <c r="T354" s="9"/>
    </row>
    <row r="355" ht="19.5" customHeight="1">
      <c r="A355" s="198">
        <v>45799.0</v>
      </c>
      <c r="B355" s="199" t="s">
        <v>5778</v>
      </c>
      <c r="C355" s="200" t="s">
        <v>5403</v>
      </c>
      <c r="D355" s="200" t="s">
        <v>218</v>
      </c>
      <c r="E355" s="201">
        <v>200.0</v>
      </c>
      <c r="F355" s="200">
        <v>0.0</v>
      </c>
      <c r="G355" s="200" t="s">
        <v>5629</v>
      </c>
      <c r="H355" s="202" t="s">
        <v>5732</v>
      </c>
      <c r="Q355" s="9"/>
      <c r="R355" s="9"/>
      <c r="S355" s="9"/>
      <c r="T355" s="9"/>
    </row>
    <row r="356" ht="19.5" customHeight="1">
      <c r="A356" s="198">
        <v>45799.0</v>
      </c>
      <c r="B356" s="199" t="s">
        <v>5778</v>
      </c>
      <c r="C356" s="200" t="s">
        <v>5403</v>
      </c>
      <c r="D356" s="200" t="s">
        <v>218</v>
      </c>
      <c r="E356" s="201">
        <v>200.0</v>
      </c>
      <c r="F356" s="200">
        <v>0.0</v>
      </c>
      <c r="G356" s="200" t="s">
        <v>5415</v>
      </c>
      <c r="H356" s="202" t="s">
        <v>5732</v>
      </c>
      <c r="Q356" s="9"/>
      <c r="R356" s="9"/>
      <c r="S356" s="9"/>
      <c r="T356" s="9"/>
    </row>
    <row r="357" ht="19.5" customHeight="1">
      <c r="A357" s="198">
        <v>45799.0</v>
      </c>
      <c r="B357" s="199" t="s">
        <v>5778</v>
      </c>
      <c r="C357" s="200" t="s">
        <v>5403</v>
      </c>
      <c r="D357" s="200" t="s">
        <v>218</v>
      </c>
      <c r="E357" s="201">
        <v>200.0</v>
      </c>
      <c r="F357" s="200">
        <v>0.0</v>
      </c>
      <c r="G357" s="200" t="s">
        <v>5634</v>
      </c>
      <c r="H357" s="202" t="s">
        <v>5732</v>
      </c>
      <c r="Q357" s="9"/>
      <c r="R357" s="9"/>
      <c r="S357" s="9"/>
      <c r="T357" s="9"/>
    </row>
    <row r="358" ht="19.5" customHeight="1">
      <c r="A358" s="198">
        <v>45799.0</v>
      </c>
      <c r="B358" s="199" t="s">
        <v>5778</v>
      </c>
      <c r="C358" s="200" t="s">
        <v>5408</v>
      </c>
      <c r="D358" s="200" t="s">
        <v>212</v>
      </c>
      <c r="E358" s="201">
        <v>150.0</v>
      </c>
      <c r="F358" s="200">
        <v>0.0</v>
      </c>
      <c r="G358" s="200" t="s">
        <v>5565</v>
      </c>
      <c r="H358" s="202" t="s">
        <v>5732</v>
      </c>
      <c r="Q358" s="9"/>
      <c r="R358" s="9"/>
      <c r="S358" s="9"/>
      <c r="T358" s="9"/>
    </row>
    <row r="359" ht="19.5" customHeight="1">
      <c r="A359" s="198">
        <v>45799.0</v>
      </c>
      <c r="B359" s="199" t="s">
        <v>5778</v>
      </c>
      <c r="C359" s="200" t="s">
        <v>5408</v>
      </c>
      <c r="D359" s="200" t="s">
        <v>212</v>
      </c>
      <c r="E359" s="201">
        <v>100.0</v>
      </c>
      <c r="F359" s="200">
        <v>0.0</v>
      </c>
      <c r="G359" s="200" t="s">
        <v>5330</v>
      </c>
      <c r="H359" s="202" t="s">
        <v>5732</v>
      </c>
      <c r="Q359" s="9"/>
      <c r="R359" s="9"/>
      <c r="S359" s="9"/>
      <c r="T359" s="9"/>
    </row>
    <row r="360" ht="19.5" customHeight="1">
      <c r="A360" s="198">
        <v>45800.0</v>
      </c>
      <c r="B360" s="199" t="s">
        <v>5778</v>
      </c>
      <c r="C360" s="199" t="s">
        <v>5479</v>
      </c>
      <c r="D360" s="200" t="s">
        <v>5314</v>
      </c>
      <c r="E360" s="201">
        <v>22.0</v>
      </c>
      <c r="F360" s="200">
        <v>0.0</v>
      </c>
      <c r="G360" s="200" t="s">
        <v>5307</v>
      </c>
      <c r="H360" s="202" t="s">
        <v>5732</v>
      </c>
      <c r="Q360" s="9"/>
      <c r="R360" s="9"/>
      <c r="S360" s="9"/>
      <c r="T360" s="9"/>
    </row>
    <row r="361" ht="19.5" customHeight="1">
      <c r="A361" s="198">
        <v>45804.0</v>
      </c>
      <c r="B361" s="200" t="s">
        <v>5779</v>
      </c>
      <c r="C361" s="200" t="s">
        <v>5461</v>
      </c>
      <c r="D361" s="200" t="s">
        <v>5318</v>
      </c>
      <c r="E361" s="201">
        <v>60.0</v>
      </c>
      <c r="F361" s="200">
        <v>0.0</v>
      </c>
      <c r="G361" s="199" t="s">
        <v>5736</v>
      </c>
      <c r="H361" s="202" t="s">
        <v>5780</v>
      </c>
      <c r="Q361" s="9"/>
      <c r="R361" s="9"/>
      <c r="S361" s="9"/>
      <c r="T361" s="9"/>
    </row>
    <row r="362" ht="19.5" customHeight="1">
      <c r="A362" s="198">
        <v>45804.0</v>
      </c>
      <c r="B362" s="200" t="s">
        <v>5779</v>
      </c>
      <c r="C362" s="200" t="s">
        <v>5423</v>
      </c>
      <c r="D362" s="200" t="s">
        <v>5324</v>
      </c>
      <c r="E362" s="201">
        <v>60.0</v>
      </c>
      <c r="F362" s="200">
        <v>0.0</v>
      </c>
      <c r="G362" s="199" t="s">
        <v>5340</v>
      </c>
      <c r="H362" s="202" t="s">
        <v>5780</v>
      </c>
      <c r="Q362" s="9"/>
      <c r="R362" s="9"/>
      <c r="S362" s="9"/>
      <c r="T362" s="9"/>
    </row>
    <row r="363" ht="19.5" customHeight="1">
      <c r="A363" s="198">
        <v>45804.0</v>
      </c>
      <c r="B363" s="200" t="s">
        <v>5779</v>
      </c>
      <c r="C363" s="200" t="s">
        <v>5453</v>
      </c>
      <c r="D363" s="200" t="s">
        <v>5352</v>
      </c>
      <c r="E363" s="201">
        <v>60.0</v>
      </c>
      <c r="F363" s="200">
        <v>0.0</v>
      </c>
      <c r="G363" s="200" t="s">
        <v>5575</v>
      </c>
      <c r="H363" s="202" t="s">
        <v>5780</v>
      </c>
      <c r="Q363" s="9"/>
      <c r="R363" s="9"/>
      <c r="S363" s="9"/>
      <c r="T363" s="9"/>
    </row>
    <row r="364" ht="19.5" customHeight="1">
      <c r="A364" s="198">
        <v>45804.0</v>
      </c>
      <c r="B364" s="200" t="s">
        <v>5779</v>
      </c>
      <c r="C364" s="199" t="s">
        <v>5488</v>
      </c>
      <c r="D364" s="200" t="s">
        <v>5430</v>
      </c>
      <c r="E364" s="201">
        <v>12.0</v>
      </c>
      <c r="F364" s="200">
        <v>0.0</v>
      </c>
      <c r="G364" s="200" t="s">
        <v>5429</v>
      </c>
      <c r="H364" s="202" t="s">
        <v>5780</v>
      </c>
      <c r="Q364" s="9"/>
      <c r="R364" s="9"/>
      <c r="S364" s="9"/>
      <c r="T364" s="9"/>
    </row>
    <row r="365" ht="19.5" customHeight="1">
      <c r="A365" s="198">
        <v>45804.0</v>
      </c>
      <c r="B365" s="200" t="s">
        <v>5779</v>
      </c>
      <c r="C365" s="199" t="s">
        <v>5489</v>
      </c>
      <c r="D365" s="200" t="s">
        <v>5380</v>
      </c>
      <c r="E365" s="201">
        <v>12.0</v>
      </c>
      <c r="F365" s="200">
        <v>0.0</v>
      </c>
      <c r="G365" s="200" t="s">
        <v>5381</v>
      </c>
      <c r="H365" s="202" t="s">
        <v>5780</v>
      </c>
      <c r="Q365" s="9"/>
      <c r="R365" s="9"/>
      <c r="S365" s="9"/>
      <c r="T365" s="9"/>
    </row>
    <row r="366" ht="19.5" customHeight="1">
      <c r="A366" s="198">
        <v>45804.0</v>
      </c>
      <c r="B366" s="200" t="s">
        <v>5779</v>
      </c>
      <c r="C366" s="199" t="s">
        <v>5481</v>
      </c>
      <c r="D366" s="200" t="s">
        <v>5388</v>
      </c>
      <c r="E366" s="201">
        <v>12.0</v>
      </c>
      <c r="F366" s="200">
        <v>0.0</v>
      </c>
      <c r="G366" s="200" t="s">
        <v>5579</v>
      </c>
      <c r="H366" s="202" t="s">
        <v>5780</v>
      </c>
      <c r="Q366" s="9"/>
      <c r="R366" s="9"/>
      <c r="S366" s="9"/>
      <c r="T366" s="9"/>
    </row>
    <row r="367" ht="19.5" customHeight="1">
      <c r="A367" s="198">
        <v>45804.0</v>
      </c>
      <c r="B367" s="199" t="s">
        <v>5781</v>
      </c>
      <c r="C367" s="199" t="s">
        <v>1377</v>
      </c>
      <c r="D367" s="200" t="s">
        <v>1378</v>
      </c>
      <c r="E367" s="201">
        <v>96.0</v>
      </c>
      <c r="F367" s="200">
        <v>0.0</v>
      </c>
      <c r="G367" s="200" t="s">
        <v>5315</v>
      </c>
      <c r="H367" s="202" t="s">
        <v>5741</v>
      </c>
      <c r="Q367" s="9"/>
      <c r="R367" s="9"/>
      <c r="S367" s="9"/>
      <c r="T367" s="9"/>
    </row>
    <row r="368" ht="19.5" customHeight="1">
      <c r="A368" s="198">
        <v>45804.0</v>
      </c>
      <c r="B368" s="200" t="s">
        <v>5782</v>
      </c>
      <c r="C368" s="200" t="s">
        <v>5369</v>
      </c>
      <c r="D368" s="200" t="s">
        <v>206</v>
      </c>
      <c r="E368" s="201">
        <v>150.0</v>
      </c>
      <c r="F368" s="200">
        <v>0.0</v>
      </c>
      <c r="G368" s="200" t="s">
        <v>5559</v>
      </c>
      <c r="H368" s="202" t="s">
        <v>5732</v>
      </c>
      <c r="Q368" s="9"/>
      <c r="R368" s="9"/>
      <c r="S368" s="9"/>
      <c r="T368" s="9"/>
    </row>
    <row r="369" ht="19.5" customHeight="1">
      <c r="A369" s="198">
        <v>45804.0</v>
      </c>
      <c r="B369" s="200" t="s">
        <v>5782</v>
      </c>
      <c r="C369" s="200" t="s">
        <v>5408</v>
      </c>
      <c r="D369" s="200" t="s">
        <v>212</v>
      </c>
      <c r="E369" s="201">
        <v>225.0</v>
      </c>
      <c r="F369" s="200">
        <v>0.0</v>
      </c>
      <c r="G369" s="200" t="s">
        <v>5565</v>
      </c>
      <c r="H369" s="202" t="s">
        <v>5732</v>
      </c>
      <c r="Q369" s="9"/>
      <c r="R369" s="9"/>
      <c r="S369" s="9"/>
      <c r="T369" s="9"/>
    </row>
    <row r="370" ht="19.5" customHeight="1">
      <c r="A370" s="198">
        <v>45804.0</v>
      </c>
      <c r="B370" s="200" t="s">
        <v>5782</v>
      </c>
      <c r="C370" s="199" t="s">
        <v>1377</v>
      </c>
      <c r="D370" s="200" t="s">
        <v>1378</v>
      </c>
      <c r="E370" s="201">
        <v>36.0</v>
      </c>
      <c r="F370" s="200">
        <v>0.0</v>
      </c>
      <c r="G370" s="200" t="s">
        <v>5315</v>
      </c>
      <c r="H370" s="202" t="s">
        <v>5732</v>
      </c>
      <c r="Q370" s="9"/>
      <c r="R370" s="9"/>
      <c r="S370" s="9"/>
      <c r="T370" s="9"/>
    </row>
    <row r="371" ht="19.5" customHeight="1">
      <c r="A371" s="198">
        <v>45804.0</v>
      </c>
      <c r="B371" s="200" t="s">
        <v>5782</v>
      </c>
      <c r="C371" s="200" t="s">
        <v>5403</v>
      </c>
      <c r="D371" s="200" t="s">
        <v>218</v>
      </c>
      <c r="E371" s="201">
        <v>125.0</v>
      </c>
      <c r="F371" s="200">
        <v>0.0</v>
      </c>
      <c r="G371" s="200" t="s">
        <v>5391</v>
      </c>
      <c r="H371" s="202" t="s">
        <v>5732</v>
      </c>
      <c r="Q371" s="9"/>
      <c r="R371" s="9"/>
      <c r="S371" s="9"/>
      <c r="T371" s="9"/>
    </row>
    <row r="372" ht="19.5" customHeight="1">
      <c r="A372" s="198">
        <v>45804.0</v>
      </c>
      <c r="B372" s="200" t="s">
        <v>5782</v>
      </c>
      <c r="C372" s="200" t="s">
        <v>5403</v>
      </c>
      <c r="D372" s="200" t="s">
        <v>218</v>
      </c>
      <c r="E372" s="201">
        <v>200.0</v>
      </c>
      <c r="F372" s="200">
        <v>0.0</v>
      </c>
      <c r="G372" s="200" t="s">
        <v>5392</v>
      </c>
      <c r="H372" s="202" t="s">
        <v>5732</v>
      </c>
      <c r="Q372" s="9"/>
      <c r="R372" s="9"/>
      <c r="S372" s="9"/>
      <c r="T372" s="9"/>
    </row>
    <row r="373" ht="19.5" customHeight="1">
      <c r="A373" s="198">
        <v>45804.0</v>
      </c>
      <c r="B373" s="200" t="s">
        <v>5782</v>
      </c>
      <c r="C373" s="200" t="s">
        <v>5403</v>
      </c>
      <c r="D373" s="200" t="s">
        <v>218</v>
      </c>
      <c r="E373" s="201">
        <v>200.0</v>
      </c>
      <c r="F373" s="200">
        <v>0.0</v>
      </c>
      <c r="G373" s="200" t="s">
        <v>5393</v>
      </c>
      <c r="H373" s="202" t="s">
        <v>5732</v>
      </c>
      <c r="Q373" s="9"/>
      <c r="R373" s="9"/>
      <c r="S373" s="9"/>
      <c r="T373" s="9"/>
    </row>
    <row r="374" ht="19.5" customHeight="1">
      <c r="A374" s="198">
        <v>45804.0</v>
      </c>
      <c r="B374" s="200" t="s">
        <v>5782</v>
      </c>
      <c r="C374" s="199" t="s">
        <v>5479</v>
      </c>
      <c r="D374" s="200" t="s">
        <v>5314</v>
      </c>
      <c r="E374" s="201">
        <v>10.0</v>
      </c>
      <c r="F374" s="200">
        <v>0.0</v>
      </c>
      <c r="G374" s="200" t="s">
        <v>5307</v>
      </c>
      <c r="H374" s="202" t="s">
        <v>5732</v>
      </c>
      <c r="Q374" s="9"/>
      <c r="R374" s="9"/>
      <c r="S374" s="9"/>
      <c r="T374" s="9"/>
    </row>
    <row r="375" ht="19.5" customHeight="1">
      <c r="A375" s="198">
        <v>45806.0</v>
      </c>
      <c r="B375" s="199" t="s">
        <v>5783</v>
      </c>
      <c r="C375" s="199" t="s">
        <v>235</v>
      </c>
      <c r="D375" s="200" t="s">
        <v>8</v>
      </c>
      <c r="E375" s="201">
        <v>70.0</v>
      </c>
      <c r="F375" s="200">
        <v>0.0</v>
      </c>
      <c r="G375" s="199" t="s">
        <v>5702</v>
      </c>
      <c r="H375" s="202" t="s">
        <v>5732</v>
      </c>
      <c r="Q375" s="9"/>
      <c r="R375" s="9"/>
      <c r="S375" s="9"/>
      <c r="T375" s="9"/>
    </row>
    <row r="376" ht="19.5" customHeight="1">
      <c r="A376" s="198">
        <v>45806.0</v>
      </c>
      <c r="B376" s="199" t="s">
        <v>5783</v>
      </c>
      <c r="C376" s="200" t="s">
        <v>5369</v>
      </c>
      <c r="D376" s="200" t="s">
        <v>206</v>
      </c>
      <c r="E376" s="201">
        <v>275.0</v>
      </c>
      <c r="F376" s="200">
        <v>0.0</v>
      </c>
      <c r="G376" s="200" t="s">
        <v>5559</v>
      </c>
      <c r="H376" s="202" t="s">
        <v>5732</v>
      </c>
      <c r="Q376" s="9"/>
      <c r="R376" s="9"/>
      <c r="S376" s="9"/>
      <c r="T376" s="9"/>
    </row>
    <row r="377" ht="19.5" customHeight="1">
      <c r="A377" s="198">
        <v>45806.0</v>
      </c>
      <c r="B377" s="199" t="s">
        <v>5783</v>
      </c>
      <c r="C377" s="200" t="s">
        <v>5408</v>
      </c>
      <c r="D377" s="200" t="s">
        <v>212</v>
      </c>
      <c r="E377" s="201">
        <v>50.0</v>
      </c>
      <c r="F377" s="200">
        <v>0.0</v>
      </c>
      <c r="G377" s="200" t="s">
        <v>5563</v>
      </c>
      <c r="H377" s="202" t="s">
        <v>5732</v>
      </c>
      <c r="Q377" s="9"/>
      <c r="R377" s="9"/>
      <c r="S377" s="9"/>
      <c r="T377" s="9"/>
    </row>
    <row r="378" ht="19.5" customHeight="1">
      <c r="A378" s="198">
        <v>45806.0</v>
      </c>
      <c r="B378" s="199" t="s">
        <v>5783</v>
      </c>
      <c r="C378" s="200" t="s">
        <v>5408</v>
      </c>
      <c r="D378" s="200" t="s">
        <v>212</v>
      </c>
      <c r="E378" s="201">
        <v>75.0</v>
      </c>
      <c r="F378" s="200">
        <v>0.0</v>
      </c>
      <c r="G378" s="200" t="s">
        <v>5565</v>
      </c>
      <c r="H378" s="202" t="s">
        <v>5732</v>
      </c>
      <c r="Q378" s="9"/>
      <c r="R378" s="9"/>
      <c r="S378" s="9"/>
      <c r="T378" s="9"/>
    </row>
    <row r="379" ht="19.5" customHeight="1">
      <c r="A379" s="198">
        <v>45806.0</v>
      </c>
      <c r="B379" s="199" t="s">
        <v>5783</v>
      </c>
      <c r="C379" s="200" t="s">
        <v>5403</v>
      </c>
      <c r="D379" s="200" t="s">
        <v>218</v>
      </c>
      <c r="E379" s="201">
        <v>120.0</v>
      </c>
      <c r="F379" s="200">
        <v>0.0</v>
      </c>
      <c r="G379" s="200" t="s">
        <v>5342</v>
      </c>
      <c r="H379" s="202" t="s">
        <v>5732</v>
      </c>
      <c r="Q379" s="9"/>
      <c r="R379" s="9"/>
      <c r="S379" s="9"/>
      <c r="T379" s="9"/>
    </row>
    <row r="380" ht="19.5" customHeight="1">
      <c r="A380" s="198">
        <v>45806.0</v>
      </c>
      <c r="B380" s="199" t="s">
        <v>5783</v>
      </c>
      <c r="C380" s="199" t="s">
        <v>1377</v>
      </c>
      <c r="D380" s="200" t="s">
        <v>1378</v>
      </c>
      <c r="E380" s="201">
        <v>60.0</v>
      </c>
      <c r="F380" s="200">
        <v>0.0</v>
      </c>
      <c r="G380" s="200" t="s">
        <v>5315</v>
      </c>
      <c r="H380" s="202" t="s">
        <v>5732</v>
      </c>
      <c r="Q380" s="9"/>
      <c r="R380" s="9"/>
      <c r="S380" s="9"/>
      <c r="T380" s="9"/>
    </row>
    <row r="381" ht="19.5" customHeight="1">
      <c r="A381" s="198">
        <v>45806.0</v>
      </c>
      <c r="B381" s="199" t="s">
        <v>5783</v>
      </c>
      <c r="C381" s="200" t="s">
        <v>5403</v>
      </c>
      <c r="D381" s="200" t="s">
        <v>218</v>
      </c>
      <c r="E381" s="201">
        <v>200.0</v>
      </c>
      <c r="F381" s="200">
        <v>0.0</v>
      </c>
      <c r="G381" s="200" t="s">
        <v>5394</v>
      </c>
      <c r="H381" s="202" t="s">
        <v>5732</v>
      </c>
      <c r="Q381" s="9"/>
      <c r="R381" s="9"/>
      <c r="S381" s="9"/>
      <c r="T381" s="9"/>
    </row>
    <row r="382" ht="19.5" customHeight="1">
      <c r="A382" s="198">
        <v>45806.0</v>
      </c>
      <c r="B382" s="199" t="s">
        <v>5783</v>
      </c>
      <c r="C382" s="200" t="s">
        <v>5403</v>
      </c>
      <c r="D382" s="200" t="s">
        <v>218</v>
      </c>
      <c r="E382" s="201">
        <v>100.0</v>
      </c>
      <c r="F382" s="200">
        <v>0.0</v>
      </c>
      <c r="G382" s="200" t="s">
        <v>5395</v>
      </c>
      <c r="H382" s="202" t="s">
        <v>5732</v>
      </c>
      <c r="Q382" s="9"/>
      <c r="R382" s="9"/>
      <c r="S382" s="9"/>
      <c r="T382" s="9"/>
    </row>
    <row r="383" ht="19.5" customHeight="1">
      <c r="A383" s="198">
        <v>45806.0</v>
      </c>
      <c r="B383" s="199" t="s">
        <v>5783</v>
      </c>
      <c r="C383" s="199" t="s">
        <v>225</v>
      </c>
      <c r="D383" s="200" t="s">
        <v>224</v>
      </c>
      <c r="E383" s="201">
        <v>25.0</v>
      </c>
      <c r="F383" s="200">
        <v>0.0</v>
      </c>
      <c r="G383" s="200" t="s">
        <v>5322</v>
      </c>
      <c r="H383" s="202" t="s">
        <v>5732</v>
      </c>
      <c r="Q383" s="9"/>
      <c r="R383" s="9"/>
      <c r="S383" s="9"/>
      <c r="T383" s="9"/>
    </row>
    <row r="384" ht="19.5" customHeight="1">
      <c r="A384" s="198">
        <v>45806.0</v>
      </c>
      <c r="B384" s="199" t="s">
        <v>5783</v>
      </c>
      <c r="C384" s="199" t="s">
        <v>377</v>
      </c>
      <c r="D384" s="200" t="s">
        <v>5314</v>
      </c>
      <c r="E384" s="201">
        <v>15.0</v>
      </c>
      <c r="F384" s="200">
        <v>0.0</v>
      </c>
      <c r="G384" s="200" t="s">
        <v>5420</v>
      </c>
      <c r="H384" s="202" t="s">
        <v>5732</v>
      </c>
      <c r="Q384" s="9"/>
      <c r="R384" s="9"/>
      <c r="S384" s="9"/>
      <c r="T384" s="9"/>
    </row>
    <row r="385" ht="19.5" customHeight="1">
      <c r="A385" s="198">
        <v>45806.0</v>
      </c>
      <c r="B385" s="199" t="s">
        <v>5784</v>
      </c>
      <c r="C385" s="199" t="s">
        <v>377</v>
      </c>
      <c r="D385" s="200" t="s">
        <v>376</v>
      </c>
      <c r="E385" s="201">
        <v>8.0</v>
      </c>
      <c r="F385" s="200">
        <v>0.0</v>
      </c>
      <c r="G385" s="200" t="s">
        <v>5307</v>
      </c>
      <c r="H385" s="202" t="s">
        <v>5741</v>
      </c>
      <c r="Q385" s="9"/>
      <c r="R385" s="9"/>
      <c r="S385" s="9"/>
      <c r="T385" s="9"/>
    </row>
    <row r="386" ht="19.5" customHeight="1">
      <c r="A386" s="198">
        <v>45806.0</v>
      </c>
      <c r="B386" s="199" t="s">
        <v>5785</v>
      </c>
      <c r="C386" s="199" t="s">
        <v>377</v>
      </c>
      <c r="D386" s="200" t="s">
        <v>376</v>
      </c>
      <c r="E386" s="201">
        <v>8.0</v>
      </c>
      <c r="F386" s="200">
        <v>0.0</v>
      </c>
      <c r="G386" s="200" t="s">
        <v>5307</v>
      </c>
      <c r="H386" s="202" t="s">
        <v>5741</v>
      </c>
      <c r="Q386" s="9"/>
      <c r="R386" s="9"/>
      <c r="S386" s="9"/>
      <c r="T386" s="9"/>
    </row>
    <row r="387" ht="19.5" customHeight="1">
      <c r="A387" s="198">
        <v>45806.0</v>
      </c>
      <c r="B387" s="199" t="s">
        <v>5786</v>
      </c>
      <c r="C387" s="199" t="s">
        <v>377</v>
      </c>
      <c r="D387" s="200" t="s">
        <v>376</v>
      </c>
      <c r="E387" s="201">
        <v>4.0</v>
      </c>
      <c r="F387" s="200">
        <v>0.0</v>
      </c>
      <c r="G387" s="200" t="s">
        <v>5307</v>
      </c>
      <c r="H387" s="202" t="s">
        <v>5741</v>
      </c>
      <c r="Q387" s="9"/>
      <c r="R387" s="9"/>
      <c r="S387" s="9"/>
      <c r="T387" s="9"/>
    </row>
    <row r="388" ht="19.5" customHeight="1">
      <c r="A388" s="198">
        <v>45806.0</v>
      </c>
      <c r="B388" s="199" t="s">
        <v>5787</v>
      </c>
      <c r="C388" s="199" t="s">
        <v>245</v>
      </c>
      <c r="D388" s="200" t="s">
        <v>5464</v>
      </c>
      <c r="E388" s="201">
        <v>325.0</v>
      </c>
      <c r="F388" s="200">
        <v>0.0</v>
      </c>
      <c r="G388" s="200" t="s">
        <v>5593</v>
      </c>
      <c r="H388" s="202" t="s">
        <v>5788</v>
      </c>
      <c r="Q388" s="9"/>
      <c r="R388" s="9"/>
      <c r="S388" s="9"/>
      <c r="T388" s="9"/>
    </row>
    <row r="389" ht="19.5" customHeight="1">
      <c r="A389" s="198">
        <v>45806.0</v>
      </c>
      <c r="B389" s="199" t="s">
        <v>5787</v>
      </c>
      <c r="C389" s="199" t="s">
        <v>245</v>
      </c>
      <c r="D389" s="200" t="s">
        <v>5464</v>
      </c>
      <c r="E389" s="201">
        <v>150.0</v>
      </c>
      <c r="F389" s="200">
        <v>0.0</v>
      </c>
      <c r="G389" s="200" t="s">
        <v>5599</v>
      </c>
      <c r="H389" s="202" t="s">
        <v>5788</v>
      </c>
      <c r="Q389" s="9"/>
      <c r="R389" s="9"/>
      <c r="S389" s="9"/>
      <c r="T389" s="9"/>
    </row>
    <row r="390" ht="19.5" customHeight="1">
      <c r="A390" s="198">
        <v>45806.0</v>
      </c>
      <c r="B390" s="199" t="s">
        <v>5787</v>
      </c>
      <c r="C390" s="199" t="s">
        <v>245</v>
      </c>
      <c r="D390" s="200" t="s">
        <v>5464</v>
      </c>
      <c r="E390" s="201">
        <v>275.0</v>
      </c>
      <c r="F390" s="200">
        <v>0.0</v>
      </c>
      <c r="G390" s="200" t="s">
        <v>5600</v>
      </c>
      <c r="H390" s="202" t="s">
        <v>5788</v>
      </c>
      <c r="Q390" s="9"/>
      <c r="R390" s="9"/>
      <c r="S390" s="9"/>
      <c r="T390" s="9"/>
    </row>
    <row r="391" ht="19.5" customHeight="1">
      <c r="A391" s="198">
        <v>45811.0</v>
      </c>
      <c r="B391" s="199" t="s">
        <v>5789</v>
      </c>
      <c r="C391" s="200" t="s">
        <v>5461</v>
      </c>
      <c r="D391" s="200" t="s">
        <v>5318</v>
      </c>
      <c r="E391" s="201">
        <v>120.0</v>
      </c>
      <c r="F391" s="200">
        <v>0.0</v>
      </c>
      <c r="G391" s="199" t="s">
        <v>5736</v>
      </c>
      <c r="H391" s="202" t="s">
        <v>5780</v>
      </c>
      <c r="Q391" s="9"/>
      <c r="R391" s="9"/>
      <c r="S391" s="9"/>
      <c r="T391" s="9"/>
    </row>
    <row r="392" ht="19.5" customHeight="1">
      <c r="A392" s="198">
        <v>45811.0</v>
      </c>
      <c r="B392" s="199" t="s">
        <v>5789</v>
      </c>
      <c r="C392" s="200" t="s">
        <v>5423</v>
      </c>
      <c r="D392" s="200" t="s">
        <v>5324</v>
      </c>
      <c r="E392" s="201">
        <v>60.0</v>
      </c>
      <c r="F392" s="200">
        <v>0.0</v>
      </c>
      <c r="G392" s="199" t="s">
        <v>5340</v>
      </c>
      <c r="H392" s="202" t="s">
        <v>5780</v>
      </c>
      <c r="Q392" s="9"/>
      <c r="R392" s="9"/>
      <c r="S392" s="9"/>
      <c r="T392" s="9"/>
    </row>
    <row r="393" ht="19.5" customHeight="1">
      <c r="A393" s="198">
        <v>45811.0</v>
      </c>
      <c r="B393" s="199" t="s">
        <v>5789</v>
      </c>
      <c r="C393" s="199" t="s">
        <v>5487</v>
      </c>
      <c r="D393" s="200" t="s">
        <v>5425</v>
      </c>
      <c r="E393" s="201">
        <v>24.0</v>
      </c>
      <c r="F393" s="200">
        <v>0.0</v>
      </c>
      <c r="G393" s="199" t="s">
        <v>5687</v>
      </c>
      <c r="H393" s="202" t="s">
        <v>5780</v>
      </c>
      <c r="Q393" s="9"/>
      <c r="R393" s="9"/>
      <c r="S393" s="9"/>
      <c r="T393" s="9"/>
    </row>
    <row r="394" ht="19.5" customHeight="1">
      <c r="A394" s="198">
        <v>45811.0</v>
      </c>
      <c r="B394" s="199" t="s">
        <v>5789</v>
      </c>
      <c r="C394" s="200" t="s">
        <v>5453</v>
      </c>
      <c r="D394" s="200" t="s">
        <v>5352</v>
      </c>
      <c r="E394" s="201">
        <v>180.0</v>
      </c>
      <c r="F394" s="200">
        <v>0.0</v>
      </c>
      <c r="G394" s="200" t="s">
        <v>5575</v>
      </c>
      <c r="H394" s="202" t="s">
        <v>5780</v>
      </c>
      <c r="Q394" s="9"/>
      <c r="R394" s="9"/>
      <c r="S394" s="9"/>
      <c r="T394" s="9"/>
    </row>
    <row r="395" ht="19.5" customHeight="1">
      <c r="A395" s="198">
        <v>45811.0</v>
      </c>
      <c r="B395" s="199" t="s">
        <v>5789</v>
      </c>
      <c r="C395" s="199" t="s">
        <v>5488</v>
      </c>
      <c r="D395" s="200" t="s">
        <v>5430</v>
      </c>
      <c r="E395" s="201">
        <v>24.0</v>
      </c>
      <c r="F395" s="200">
        <v>0.0</v>
      </c>
      <c r="G395" s="200" t="s">
        <v>5429</v>
      </c>
      <c r="H395" s="202" t="s">
        <v>5780</v>
      </c>
      <c r="Q395" s="9"/>
      <c r="R395" s="9"/>
      <c r="S395" s="9"/>
      <c r="T395" s="9"/>
    </row>
    <row r="396" ht="19.5" customHeight="1">
      <c r="A396" s="198">
        <v>45811.0</v>
      </c>
      <c r="B396" s="199" t="s">
        <v>5789</v>
      </c>
      <c r="C396" s="199" t="s">
        <v>5489</v>
      </c>
      <c r="D396" s="200" t="s">
        <v>5380</v>
      </c>
      <c r="E396" s="201">
        <v>24.0</v>
      </c>
      <c r="F396" s="200">
        <v>0.0</v>
      </c>
      <c r="G396" s="200" t="s">
        <v>5381</v>
      </c>
      <c r="H396" s="202" t="s">
        <v>5780</v>
      </c>
      <c r="Q396" s="9"/>
      <c r="R396" s="9"/>
      <c r="S396" s="9"/>
      <c r="T396" s="9"/>
    </row>
    <row r="397" ht="19.5" customHeight="1">
      <c r="A397" s="198">
        <v>45811.0</v>
      </c>
      <c r="B397" s="199" t="s">
        <v>5789</v>
      </c>
      <c r="C397" s="200" t="s">
        <v>5383</v>
      </c>
      <c r="D397" s="200" t="s">
        <v>5484</v>
      </c>
      <c r="E397" s="201">
        <v>3.0</v>
      </c>
      <c r="F397" s="200">
        <v>0.0</v>
      </c>
      <c r="G397" s="200" t="s">
        <v>5586</v>
      </c>
      <c r="H397" s="202" t="s">
        <v>5780</v>
      </c>
      <c r="Q397" s="9"/>
      <c r="R397" s="9"/>
      <c r="S397" s="9"/>
      <c r="T397" s="9"/>
    </row>
    <row r="398" ht="19.5" customHeight="1">
      <c r="A398" s="198">
        <v>45811.0</v>
      </c>
      <c r="B398" s="199" t="s">
        <v>5789</v>
      </c>
      <c r="C398" s="200" t="s">
        <v>5383</v>
      </c>
      <c r="D398" s="200" t="s">
        <v>5484</v>
      </c>
      <c r="E398" s="201">
        <v>4.0</v>
      </c>
      <c r="F398" s="200">
        <v>0.0</v>
      </c>
      <c r="G398" s="200" t="s">
        <v>5587</v>
      </c>
      <c r="H398" s="202" t="s">
        <v>5780</v>
      </c>
      <c r="Q398" s="9"/>
      <c r="R398" s="9"/>
      <c r="S398" s="9"/>
      <c r="T398" s="9"/>
    </row>
    <row r="399" ht="19.5" customHeight="1">
      <c r="A399" s="198">
        <v>45811.0</v>
      </c>
      <c r="B399" s="199" t="s">
        <v>5789</v>
      </c>
      <c r="C399" s="199" t="s">
        <v>5476</v>
      </c>
      <c r="D399" s="200" t="s">
        <v>5477</v>
      </c>
      <c r="E399" s="201">
        <v>24.0</v>
      </c>
      <c r="F399" s="200">
        <v>0.0</v>
      </c>
      <c r="G399" s="200" t="s">
        <v>5790</v>
      </c>
      <c r="H399" s="202" t="s">
        <v>5780</v>
      </c>
      <c r="Q399" s="9"/>
      <c r="R399" s="9"/>
      <c r="S399" s="9"/>
      <c r="T399" s="9"/>
    </row>
    <row r="400" ht="19.5" customHeight="1">
      <c r="A400" s="198">
        <v>45811.0</v>
      </c>
      <c r="B400" s="199" t="s">
        <v>5789</v>
      </c>
      <c r="C400" s="199" t="s">
        <v>5476</v>
      </c>
      <c r="D400" s="200" t="s">
        <v>5477</v>
      </c>
      <c r="E400" s="201">
        <v>23.0</v>
      </c>
      <c r="F400" s="200">
        <v>0.0</v>
      </c>
      <c r="G400" s="200" t="s">
        <v>5791</v>
      </c>
      <c r="H400" s="202" t="s">
        <v>5780</v>
      </c>
      <c r="Q400" s="9"/>
      <c r="R400" s="9"/>
      <c r="S400" s="9"/>
      <c r="T400" s="9"/>
    </row>
    <row r="401" ht="19.5" customHeight="1">
      <c r="A401" s="198">
        <v>45811.0</v>
      </c>
      <c r="B401" s="199" t="s">
        <v>5789</v>
      </c>
      <c r="C401" s="199" t="s">
        <v>5476</v>
      </c>
      <c r="D401" s="200" t="s">
        <v>5477</v>
      </c>
      <c r="E401" s="201">
        <v>24.0</v>
      </c>
      <c r="F401" s="200">
        <v>0.0</v>
      </c>
      <c r="G401" s="200" t="s">
        <v>5792</v>
      </c>
      <c r="H401" s="202" t="s">
        <v>5780</v>
      </c>
      <c r="Q401" s="9"/>
      <c r="R401" s="9"/>
      <c r="S401" s="9"/>
      <c r="T401" s="9"/>
    </row>
    <row r="402" ht="19.5" customHeight="1">
      <c r="A402" s="198">
        <v>45811.0</v>
      </c>
      <c r="B402" s="199" t="s">
        <v>5789</v>
      </c>
      <c r="C402" s="199" t="s">
        <v>5476</v>
      </c>
      <c r="D402" s="200" t="s">
        <v>5477</v>
      </c>
      <c r="E402" s="201">
        <v>24.0</v>
      </c>
      <c r="F402" s="200">
        <v>0.0</v>
      </c>
      <c r="G402" s="200" t="s">
        <v>5793</v>
      </c>
      <c r="H402" s="202" t="s">
        <v>5780</v>
      </c>
      <c r="Q402" s="9"/>
      <c r="R402" s="9"/>
      <c r="S402" s="9"/>
      <c r="T402" s="9"/>
    </row>
    <row r="403" ht="19.5" customHeight="1">
      <c r="A403" s="198">
        <v>45811.0</v>
      </c>
      <c r="B403" s="199" t="s">
        <v>5789</v>
      </c>
      <c r="C403" s="199" t="s">
        <v>5467</v>
      </c>
      <c r="D403" s="200" t="s">
        <v>5406</v>
      </c>
      <c r="E403" s="201">
        <v>120.0</v>
      </c>
      <c r="F403" s="200">
        <v>0.0</v>
      </c>
      <c r="G403" s="199" t="s">
        <v>5344</v>
      </c>
      <c r="H403" s="202" t="s">
        <v>5780</v>
      </c>
      <c r="Q403" s="9"/>
      <c r="R403" s="9"/>
      <c r="S403" s="9"/>
      <c r="T403" s="9"/>
    </row>
    <row r="404" ht="19.5" customHeight="1">
      <c r="A404" s="198">
        <v>45811.0</v>
      </c>
      <c r="B404" s="199" t="s">
        <v>5789</v>
      </c>
      <c r="C404" s="200" t="s">
        <v>5461</v>
      </c>
      <c r="D404" s="200" t="s">
        <v>5318</v>
      </c>
      <c r="E404" s="201">
        <v>120.0</v>
      </c>
      <c r="F404" s="200">
        <v>0.0</v>
      </c>
      <c r="G404" s="199" t="s">
        <v>5736</v>
      </c>
      <c r="H404" s="202" t="s">
        <v>5780</v>
      </c>
      <c r="Q404" s="9"/>
      <c r="R404" s="9"/>
      <c r="S404" s="9"/>
      <c r="T404" s="9"/>
    </row>
    <row r="405" ht="19.5" customHeight="1">
      <c r="A405" s="198">
        <v>45811.0</v>
      </c>
      <c r="B405" s="199" t="s">
        <v>5789</v>
      </c>
      <c r="C405" s="200" t="s">
        <v>5423</v>
      </c>
      <c r="D405" s="200" t="s">
        <v>5324</v>
      </c>
      <c r="E405" s="201">
        <v>120.0</v>
      </c>
      <c r="F405" s="200">
        <v>0.0</v>
      </c>
      <c r="G405" s="199" t="s">
        <v>5340</v>
      </c>
      <c r="H405" s="202" t="s">
        <v>5780</v>
      </c>
      <c r="Q405" s="9"/>
      <c r="R405" s="9"/>
      <c r="S405" s="9"/>
      <c r="T405" s="9"/>
    </row>
    <row r="406" ht="19.5" customHeight="1">
      <c r="A406" s="198">
        <v>45811.0</v>
      </c>
      <c r="B406" s="199" t="s">
        <v>5789</v>
      </c>
      <c r="C406" s="199" t="s">
        <v>5487</v>
      </c>
      <c r="D406" s="200" t="s">
        <v>5425</v>
      </c>
      <c r="E406" s="201">
        <v>24.0</v>
      </c>
      <c r="F406" s="200">
        <v>0.0</v>
      </c>
      <c r="G406" s="199" t="s">
        <v>5687</v>
      </c>
      <c r="H406" s="202" t="s">
        <v>5780</v>
      </c>
      <c r="Q406" s="9"/>
      <c r="R406" s="9"/>
      <c r="S406" s="9"/>
      <c r="T406" s="9"/>
    </row>
    <row r="407" ht="19.5" customHeight="1">
      <c r="A407" s="198">
        <v>45811.0</v>
      </c>
      <c r="B407" s="199" t="s">
        <v>5789</v>
      </c>
      <c r="C407" s="200" t="s">
        <v>5453</v>
      </c>
      <c r="D407" s="200" t="s">
        <v>5352</v>
      </c>
      <c r="E407" s="201">
        <v>120.0</v>
      </c>
      <c r="F407" s="200">
        <v>0.0</v>
      </c>
      <c r="G407" s="200" t="s">
        <v>5575</v>
      </c>
      <c r="H407" s="202" t="s">
        <v>5780</v>
      </c>
      <c r="Q407" s="9"/>
      <c r="R407" s="9"/>
      <c r="S407" s="9"/>
      <c r="T407" s="9"/>
    </row>
    <row r="408" ht="19.5" customHeight="1">
      <c r="A408" s="198">
        <v>45811.0</v>
      </c>
      <c r="B408" s="199" t="s">
        <v>5789</v>
      </c>
      <c r="C408" s="199" t="s">
        <v>5489</v>
      </c>
      <c r="D408" s="200" t="s">
        <v>5380</v>
      </c>
      <c r="E408" s="201">
        <v>24.0</v>
      </c>
      <c r="F408" s="200">
        <v>0.0</v>
      </c>
      <c r="G408" s="200" t="s">
        <v>5381</v>
      </c>
      <c r="H408" s="202" t="s">
        <v>5780</v>
      </c>
      <c r="Q408" s="9"/>
      <c r="R408" s="9"/>
      <c r="S408" s="9"/>
      <c r="T408" s="9"/>
    </row>
    <row r="409" ht="19.5" customHeight="1">
      <c r="A409" s="198">
        <v>45811.0</v>
      </c>
      <c r="B409" s="199" t="s">
        <v>5789</v>
      </c>
      <c r="C409" s="200" t="s">
        <v>5499</v>
      </c>
      <c r="D409" s="200" t="s">
        <v>5500</v>
      </c>
      <c r="E409" s="201">
        <v>1.0</v>
      </c>
      <c r="F409" s="200">
        <v>0.0</v>
      </c>
      <c r="G409" s="200" t="s">
        <v>5794</v>
      </c>
      <c r="H409" s="202" t="s">
        <v>5780</v>
      </c>
      <c r="Q409" s="9"/>
      <c r="R409" s="9"/>
      <c r="S409" s="9"/>
      <c r="T409" s="9"/>
    </row>
    <row r="410" ht="19.5" customHeight="1">
      <c r="A410" s="198">
        <v>45811.0</v>
      </c>
      <c r="B410" s="199" t="s">
        <v>5789</v>
      </c>
      <c r="C410" s="200" t="s">
        <v>5453</v>
      </c>
      <c r="D410" s="200" t="s">
        <v>5352</v>
      </c>
      <c r="E410" s="201">
        <v>40.0</v>
      </c>
      <c r="F410" s="200">
        <v>0.0</v>
      </c>
      <c r="G410" s="199" t="s">
        <v>5682</v>
      </c>
      <c r="H410" s="202" t="s">
        <v>5780</v>
      </c>
      <c r="Q410" s="9"/>
      <c r="R410" s="9"/>
      <c r="S410" s="9"/>
      <c r="T410" s="9"/>
    </row>
    <row r="411" ht="19.5" customHeight="1">
      <c r="A411" s="198">
        <v>45811.0</v>
      </c>
      <c r="B411" s="199" t="s">
        <v>5789</v>
      </c>
      <c r="C411" s="200" t="s">
        <v>5423</v>
      </c>
      <c r="D411" s="200" t="s">
        <v>5324</v>
      </c>
      <c r="E411" s="201">
        <v>120.0</v>
      </c>
      <c r="F411" s="200">
        <v>0.0</v>
      </c>
      <c r="G411" s="199" t="s">
        <v>5795</v>
      </c>
      <c r="H411" s="202" t="s">
        <v>5780</v>
      </c>
      <c r="Q411" s="9"/>
      <c r="R411" s="9"/>
      <c r="S411" s="9"/>
      <c r="T411" s="9"/>
    </row>
    <row r="412" ht="19.5" customHeight="1">
      <c r="A412" s="198">
        <v>45811.0</v>
      </c>
      <c r="B412" s="199" t="s">
        <v>5789</v>
      </c>
      <c r="C412" s="199" t="s">
        <v>5467</v>
      </c>
      <c r="D412" s="200" t="s">
        <v>5406</v>
      </c>
      <c r="E412" s="201">
        <v>120.0</v>
      </c>
      <c r="F412" s="200">
        <v>0.0</v>
      </c>
      <c r="G412" s="199" t="s">
        <v>5344</v>
      </c>
      <c r="H412" s="202" t="s">
        <v>5780</v>
      </c>
      <c r="Q412" s="9"/>
      <c r="R412" s="9"/>
      <c r="S412" s="9"/>
      <c r="T412" s="9"/>
    </row>
    <row r="413" ht="19.5" customHeight="1">
      <c r="A413" s="198">
        <v>45811.0</v>
      </c>
      <c r="B413" s="199" t="s">
        <v>5789</v>
      </c>
      <c r="C413" s="199" t="s">
        <v>5487</v>
      </c>
      <c r="D413" s="200" t="s">
        <v>5425</v>
      </c>
      <c r="E413" s="201">
        <v>24.0</v>
      </c>
      <c r="F413" s="200">
        <v>0.0</v>
      </c>
      <c r="G413" s="199" t="s">
        <v>5687</v>
      </c>
      <c r="H413" s="202" t="s">
        <v>5780</v>
      </c>
      <c r="Q413" s="9"/>
      <c r="R413" s="9"/>
      <c r="S413" s="9"/>
      <c r="T413" s="9"/>
    </row>
    <row r="414" ht="19.5" customHeight="1">
      <c r="A414" s="198">
        <v>45811.0</v>
      </c>
      <c r="B414" s="199" t="s">
        <v>5789</v>
      </c>
      <c r="C414" s="200" t="s">
        <v>5453</v>
      </c>
      <c r="D414" s="200" t="s">
        <v>5352</v>
      </c>
      <c r="E414" s="201">
        <v>80.0</v>
      </c>
      <c r="F414" s="200">
        <v>0.0</v>
      </c>
      <c r="G414" s="200" t="s">
        <v>5575</v>
      </c>
      <c r="H414" s="202" t="s">
        <v>5780</v>
      </c>
      <c r="Q414" s="9"/>
      <c r="R414" s="9"/>
      <c r="S414" s="9"/>
      <c r="T414" s="9"/>
    </row>
    <row r="415" ht="19.5" customHeight="1">
      <c r="A415" s="198">
        <v>45811.0</v>
      </c>
      <c r="B415" s="199" t="s">
        <v>5789</v>
      </c>
      <c r="C415" s="200" t="s">
        <v>5461</v>
      </c>
      <c r="D415" s="200" t="s">
        <v>5318</v>
      </c>
      <c r="E415" s="201">
        <v>120.0</v>
      </c>
      <c r="F415" s="200">
        <v>0.0</v>
      </c>
      <c r="G415" s="200" t="s">
        <v>5577</v>
      </c>
      <c r="H415" s="202" t="s">
        <v>5780</v>
      </c>
      <c r="Q415" s="9"/>
      <c r="R415" s="9"/>
      <c r="S415" s="9"/>
      <c r="T415" s="9"/>
    </row>
    <row r="416" ht="19.5" customHeight="1">
      <c r="A416" s="198">
        <v>45811.0</v>
      </c>
      <c r="B416" s="199" t="s">
        <v>5789</v>
      </c>
      <c r="C416" s="199" t="s">
        <v>5489</v>
      </c>
      <c r="D416" s="200" t="s">
        <v>5380</v>
      </c>
      <c r="E416" s="201">
        <v>24.0</v>
      </c>
      <c r="F416" s="200">
        <v>0.0</v>
      </c>
      <c r="G416" s="200" t="s">
        <v>5381</v>
      </c>
      <c r="H416" s="202" t="s">
        <v>5780</v>
      </c>
      <c r="Q416" s="9"/>
      <c r="R416" s="9"/>
      <c r="S416" s="9"/>
      <c r="T416" s="9"/>
    </row>
    <row r="417" ht="19.5" customHeight="1">
      <c r="A417" s="198">
        <v>45811.0</v>
      </c>
      <c r="B417" s="199" t="s">
        <v>5789</v>
      </c>
      <c r="C417" s="200" t="s">
        <v>5453</v>
      </c>
      <c r="D417" s="200" t="s">
        <v>5352</v>
      </c>
      <c r="E417" s="201">
        <v>120.0</v>
      </c>
      <c r="F417" s="200">
        <v>0.0</v>
      </c>
      <c r="G417" s="199" t="s">
        <v>5682</v>
      </c>
      <c r="H417" s="202" t="s">
        <v>5780</v>
      </c>
      <c r="Q417" s="9"/>
      <c r="R417" s="9"/>
      <c r="S417" s="9"/>
      <c r="T417" s="9"/>
    </row>
    <row r="418" ht="19.5" customHeight="1">
      <c r="A418" s="198">
        <v>45811.0</v>
      </c>
      <c r="B418" s="199" t="s">
        <v>5789</v>
      </c>
      <c r="C418" s="200" t="s">
        <v>5423</v>
      </c>
      <c r="D418" s="200" t="s">
        <v>5324</v>
      </c>
      <c r="E418" s="201">
        <v>35.0</v>
      </c>
      <c r="F418" s="200">
        <v>0.0</v>
      </c>
      <c r="G418" s="199" t="s">
        <v>5340</v>
      </c>
      <c r="H418" s="202" t="s">
        <v>5780</v>
      </c>
      <c r="Q418" s="9"/>
      <c r="R418" s="9"/>
      <c r="S418" s="9"/>
      <c r="T418" s="9"/>
    </row>
    <row r="419" ht="19.5" customHeight="1">
      <c r="A419" s="198">
        <v>45811.0</v>
      </c>
      <c r="B419" s="199" t="s">
        <v>5789</v>
      </c>
      <c r="C419" s="200" t="s">
        <v>5423</v>
      </c>
      <c r="D419" s="200" t="s">
        <v>5324</v>
      </c>
      <c r="E419" s="201">
        <v>25.0</v>
      </c>
      <c r="F419" s="200">
        <v>0.0</v>
      </c>
      <c r="G419" s="199" t="s">
        <v>5795</v>
      </c>
      <c r="H419" s="202" t="s">
        <v>5780</v>
      </c>
      <c r="Q419" s="9"/>
      <c r="R419" s="9"/>
      <c r="S419" s="9"/>
      <c r="T419" s="9"/>
    </row>
    <row r="420" ht="19.5" customHeight="1">
      <c r="A420" s="198">
        <v>45811.0</v>
      </c>
      <c r="B420" s="199" t="s">
        <v>5789</v>
      </c>
      <c r="C420" s="199" t="s">
        <v>5467</v>
      </c>
      <c r="D420" s="200" t="s">
        <v>5406</v>
      </c>
      <c r="E420" s="201">
        <v>60.0</v>
      </c>
      <c r="F420" s="200">
        <v>0.0</v>
      </c>
      <c r="G420" s="199" t="s">
        <v>5344</v>
      </c>
      <c r="H420" s="202" t="s">
        <v>5780</v>
      </c>
      <c r="Q420" s="9"/>
      <c r="R420" s="9"/>
      <c r="S420" s="9"/>
      <c r="T420" s="9"/>
    </row>
    <row r="421" ht="19.5" customHeight="1">
      <c r="A421" s="198">
        <v>45811.0</v>
      </c>
      <c r="B421" s="199" t="s">
        <v>5789</v>
      </c>
      <c r="C421" s="199" t="s">
        <v>5487</v>
      </c>
      <c r="D421" s="200" t="s">
        <v>5425</v>
      </c>
      <c r="E421" s="201">
        <v>24.0</v>
      </c>
      <c r="F421" s="200">
        <v>0.0</v>
      </c>
      <c r="G421" s="199" t="s">
        <v>5687</v>
      </c>
      <c r="H421" s="202" t="s">
        <v>5780</v>
      </c>
      <c r="Q421" s="9"/>
      <c r="R421" s="9"/>
      <c r="S421" s="9"/>
      <c r="T421" s="9"/>
    </row>
    <row r="422" ht="19.5" customHeight="1">
      <c r="A422" s="198">
        <v>45811.0</v>
      </c>
      <c r="B422" s="199" t="s">
        <v>5789</v>
      </c>
      <c r="C422" s="200" t="s">
        <v>5461</v>
      </c>
      <c r="D422" s="200" t="s">
        <v>5318</v>
      </c>
      <c r="E422" s="201">
        <v>120.0</v>
      </c>
      <c r="F422" s="200">
        <v>0.0</v>
      </c>
      <c r="G422" s="200" t="s">
        <v>5577</v>
      </c>
      <c r="H422" s="202" t="s">
        <v>5780</v>
      </c>
      <c r="Q422" s="9"/>
      <c r="R422" s="9"/>
      <c r="S422" s="9"/>
      <c r="T422" s="9"/>
    </row>
    <row r="423" ht="19.5" customHeight="1">
      <c r="A423" s="198">
        <v>45811.0</v>
      </c>
      <c r="B423" s="199" t="s">
        <v>5789</v>
      </c>
      <c r="C423" s="199" t="s">
        <v>5489</v>
      </c>
      <c r="D423" s="200" t="s">
        <v>5380</v>
      </c>
      <c r="E423" s="201">
        <v>12.0</v>
      </c>
      <c r="F423" s="200">
        <v>0.0</v>
      </c>
      <c r="G423" s="200" t="s">
        <v>5381</v>
      </c>
      <c r="H423" s="202" t="s">
        <v>5780</v>
      </c>
      <c r="Q423" s="9"/>
      <c r="R423" s="9"/>
      <c r="S423" s="9"/>
      <c r="T423" s="9"/>
    </row>
    <row r="424" ht="19.5" customHeight="1">
      <c r="A424" s="198">
        <v>45811.0</v>
      </c>
      <c r="B424" s="199" t="s">
        <v>5796</v>
      </c>
      <c r="C424" s="200" t="s">
        <v>5453</v>
      </c>
      <c r="D424" s="200" t="s">
        <v>5352</v>
      </c>
      <c r="E424" s="201">
        <v>120.0</v>
      </c>
      <c r="F424" s="200">
        <v>0.0</v>
      </c>
      <c r="G424" s="199" t="s">
        <v>5682</v>
      </c>
      <c r="H424" s="202" t="s">
        <v>5711</v>
      </c>
      <c r="Q424" s="9"/>
      <c r="R424" s="9"/>
      <c r="S424" s="9"/>
      <c r="T424" s="9"/>
    </row>
    <row r="425" ht="19.5" customHeight="1">
      <c r="A425" s="198">
        <v>45811.0</v>
      </c>
      <c r="B425" s="199" t="s">
        <v>5796</v>
      </c>
      <c r="C425" s="200" t="s">
        <v>5423</v>
      </c>
      <c r="D425" s="200" t="s">
        <v>5324</v>
      </c>
      <c r="E425" s="201">
        <v>120.0</v>
      </c>
      <c r="F425" s="200">
        <v>0.0</v>
      </c>
      <c r="G425" s="199" t="s">
        <v>5795</v>
      </c>
      <c r="H425" s="202" t="s">
        <v>5711</v>
      </c>
      <c r="Q425" s="9"/>
      <c r="R425" s="9"/>
      <c r="S425" s="9"/>
      <c r="T425" s="9"/>
    </row>
    <row r="426" ht="19.5" customHeight="1">
      <c r="A426" s="198">
        <v>45811.0</v>
      </c>
      <c r="B426" s="199" t="s">
        <v>5796</v>
      </c>
      <c r="C426" s="200" t="s">
        <v>5461</v>
      </c>
      <c r="D426" s="200" t="s">
        <v>5318</v>
      </c>
      <c r="E426" s="201">
        <v>60.0</v>
      </c>
      <c r="F426" s="200">
        <v>0.0</v>
      </c>
      <c r="G426" s="200" t="s">
        <v>5577</v>
      </c>
      <c r="H426" s="202" t="s">
        <v>5711</v>
      </c>
      <c r="Q426" s="9"/>
      <c r="R426" s="9"/>
      <c r="S426" s="9"/>
      <c r="T426" s="9"/>
    </row>
    <row r="427" ht="19.5" customHeight="1">
      <c r="A427" s="198">
        <v>45811.0</v>
      </c>
      <c r="B427" s="199" t="s">
        <v>5796</v>
      </c>
      <c r="C427" s="200" t="s">
        <v>5461</v>
      </c>
      <c r="D427" s="200" t="s">
        <v>5318</v>
      </c>
      <c r="E427" s="201">
        <v>60.0</v>
      </c>
      <c r="F427" s="200">
        <v>0.0</v>
      </c>
      <c r="G427" s="200" t="s">
        <v>5578</v>
      </c>
      <c r="H427" s="202" t="s">
        <v>5711</v>
      </c>
      <c r="Q427" s="9"/>
      <c r="R427" s="9"/>
      <c r="S427" s="9"/>
      <c r="T427" s="9"/>
    </row>
    <row r="428" ht="19.5" customHeight="1">
      <c r="A428" s="198">
        <v>45811.0</v>
      </c>
      <c r="B428" s="199" t="s">
        <v>5796</v>
      </c>
      <c r="C428" s="200" t="s">
        <v>5453</v>
      </c>
      <c r="D428" s="200" t="s">
        <v>5352</v>
      </c>
      <c r="E428" s="201">
        <v>50.0</v>
      </c>
      <c r="F428" s="200">
        <v>0.0</v>
      </c>
      <c r="G428" s="199" t="s">
        <v>5752</v>
      </c>
      <c r="H428" s="202" t="s">
        <v>5711</v>
      </c>
      <c r="Q428" s="9"/>
      <c r="R428" s="9"/>
      <c r="S428" s="9"/>
      <c r="T428" s="9"/>
    </row>
    <row r="429" ht="19.5" customHeight="1">
      <c r="A429" s="198">
        <v>45811.0</v>
      </c>
      <c r="B429" s="199" t="s">
        <v>5796</v>
      </c>
      <c r="C429" s="200" t="s">
        <v>5453</v>
      </c>
      <c r="D429" s="200" t="s">
        <v>5352</v>
      </c>
      <c r="E429" s="201">
        <v>70.0</v>
      </c>
      <c r="F429" s="200">
        <v>0.0</v>
      </c>
      <c r="G429" s="199" t="s">
        <v>5682</v>
      </c>
      <c r="H429" s="202" t="s">
        <v>5711</v>
      </c>
      <c r="Q429" s="9"/>
      <c r="R429" s="9"/>
      <c r="S429" s="9"/>
      <c r="T429" s="9"/>
    </row>
    <row r="430" ht="19.5" customHeight="1">
      <c r="A430" s="198">
        <v>45811.0</v>
      </c>
      <c r="B430" s="199" t="s">
        <v>5796</v>
      </c>
      <c r="C430" s="200" t="s">
        <v>5423</v>
      </c>
      <c r="D430" s="200" t="s">
        <v>5324</v>
      </c>
      <c r="E430" s="201">
        <v>120.0</v>
      </c>
      <c r="F430" s="200">
        <v>0.0</v>
      </c>
      <c r="G430" s="199" t="s">
        <v>5795</v>
      </c>
      <c r="H430" s="202" t="s">
        <v>5711</v>
      </c>
      <c r="Q430" s="9"/>
      <c r="R430" s="9"/>
      <c r="S430" s="9"/>
      <c r="T430" s="9"/>
    </row>
    <row r="431" ht="19.5" customHeight="1">
      <c r="A431" s="198">
        <v>45811.0</v>
      </c>
      <c r="B431" s="199" t="s">
        <v>5796</v>
      </c>
      <c r="C431" s="199" t="s">
        <v>5467</v>
      </c>
      <c r="D431" s="200" t="s">
        <v>5406</v>
      </c>
      <c r="E431" s="201">
        <v>60.0</v>
      </c>
      <c r="F431" s="200">
        <v>0.0</v>
      </c>
      <c r="G431" s="199" t="s">
        <v>5344</v>
      </c>
      <c r="H431" s="202" t="s">
        <v>5711</v>
      </c>
      <c r="Q431" s="9"/>
      <c r="R431" s="9"/>
      <c r="S431" s="9"/>
      <c r="T431" s="9"/>
    </row>
    <row r="432" ht="19.5" customHeight="1">
      <c r="A432" s="198">
        <v>45811.0</v>
      </c>
      <c r="B432" s="199" t="s">
        <v>5796</v>
      </c>
      <c r="C432" s="199" t="s">
        <v>5487</v>
      </c>
      <c r="D432" s="200" t="s">
        <v>5425</v>
      </c>
      <c r="E432" s="201">
        <v>12.0</v>
      </c>
      <c r="F432" s="200">
        <v>0.0</v>
      </c>
      <c r="G432" s="199" t="s">
        <v>5687</v>
      </c>
      <c r="H432" s="202" t="s">
        <v>5711</v>
      </c>
      <c r="Q432" s="9"/>
      <c r="R432" s="9"/>
      <c r="S432" s="9"/>
      <c r="T432" s="9"/>
    </row>
    <row r="433" ht="19.5" customHeight="1">
      <c r="A433" s="198">
        <v>45811.0</v>
      </c>
      <c r="B433" s="199" t="s">
        <v>5796</v>
      </c>
      <c r="C433" s="200" t="s">
        <v>5461</v>
      </c>
      <c r="D433" s="200" t="s">
        <v>5318</v>
      </c>
      <c r="E433" s="201">
        <v>120.0</v>
      </c>
      <c r="F433" s="200">
        <v>0.0</v>
      </c>
      <c r="G433" s="200" t="s">
        <v>5578</v>
      </c>
      <c r="H433" s="202" t="s">
        <v>5711</v>
      </c>
      <c r="Q433" s="9"/>
      <c r="R433" s="9"/>
      <c r="S433" s="9"/>
      <c r="T433" s="9"/>
    </row>
    <row r="434" ht="19.5" customHeight="1">
      <c r="A434" s="198">
        <v>45811.0</v>
      </c>
      <c r="B434" s="200" t="s">
        <v>5797</v>
      </c>
      <c r="C434" s="199" t="s">
        <v>235</v>
      </c>
      <c r="D434" s="200" t="s">
        <v>8</v>
      </c>
      <c r="E434" s="201">
        <v>35.0</v>
      </c>
      <c r="F434" s="200">
        <v>0.0</v>
      </c>
      <c r="G434" s="199" t="s">
        <v>5702</v>
      </c>
      <c r="H434" s="202" t="s">
        <v>5732</v>
      </c>
      <c r="Q434" s="9"/>
      <c r="R434" s="9"/>
      <c r="S434" s="9"/>
      <c r="T434" s="9"/>
    </row>
    <row r="435" ht="19.5" customHeight="1">
      <c r="A435" s="198">
        <v>45811.0</v>
      </c>
      <c r="B435" s="200" t="s">
        <v>5797</v>
      </c>
      <c r="C435" s="200" t="s">
        <v>5408</v>
      </c>
      <c r="D435" s="200" t="s">
        <v>212</v>
      </c>
      <c r="E435" s="201">
        <v>25.0</v>
      </c>
      <c r="F435" s="200">
        <v>0.0</v>
      </c>
      <c r="G435" s="200" t="s">
        <v>5330</v>
      </c>
      <c r="H435" s="202" t="s">
        <v>5732</v>
      </c>
      <c r="Q435" s="9"/>
      <c r="R435" s="9"/>
      <c r="S435" s="9"/>
      <c r="T435" s="9"/>
    </row>
    <row r="436" ht="19.5" customHeight="1">
      <c r="A436" s="198">
        <v>45811.0</v>
      </c>
      <c r="B436" s="200" t="s">
        <v>5797</v>
      </c>
      <c r="C436" s="200" t="s">
        <v>5408</v>
      </c>
      <c r="D436" s="200" t="s">
        <v>212</v>
      </c>
      <c r="E436" s="201">
        <v>25.0</v>
      </c>
      <c r="F436" s="200">
        <v>0.0</v>
      </c>
      <c r="G436" s="200" t="s">
        <v>5329</v>
      </c>
      <c r="H436" s="202" t="s">
        <v>5732</v>
      </c>
      <c r="Q436" s="9"/>
      <c r="R436" s="9"/>
      <c r="S436" s="9"/>
      <c r="T436" s="9"/>
    </row>
    <row r="437" ht="19.5" customHeight="1">
      <c r="A437" s="198">
        <v>45811.0</v>
      </c>
      <c r="B437" s="200" t="s">
        <v>5797</v>
      </c>
      <c r="C437" s="200" t="s">
        <v>5408</v>
      </c>
      <c r="D437" s="200" t="s">
        <v>212</v>
      </c>
      <c r="E437" s="201">
        <v>100.0</v>
      </c>
      <c r="F437" s="200">
        <v>0.0</v>
      </c>
      <c r="G437" s="200" t="s">
        <v>5331</v>
      </c>
      <c r="H437" s="202" t="s">
        <v>5732</v>
      </c>
      <c r="Q437" s="9"/>
      <c r="R437" s="9"/>
      <c r="S437" s="9"/>
      <c r="T437" s="9"/>
    </row>
    <row r="438" ht="19.5" customHeight="1">
      <c r="A438" s="198">
        <v>45811.0</v>
      </c>
      <c r="B438" s="200" t="s">
        <v>5797</v>
      </c>
      <c r="C438" s="200" t="s">
        <v>5408</v>
      </c>
      <c r="D438" s="200" t="s">
        <v>212</v>
      </c>
      <c r="E438" s="201">
        <v>200.0</v>
      </c>
      <c r="F438" s="200">
        <v>0.0</v>
      </c>
      <c r="G438" s="200" t="s">
        <v>5350</v>
      </c>
      <c r="H438" s="202" t="s">
        <v>5732</v>
      </c>
      <c r="Q438" s="9"/>
      <c r="R438" s="9"/>
      <c r="S438" s="9"/>
      <c r="T438" s="9"/>
    </row>
    <row r="439" ht="19.5" customHeight="1">
      <c r="A439" s="198">
        <v>45811.0</v>
      </c>
      <c r="B439" s="200" t="s">
        <v>5797</v>
      </c>
      <c r="C439" s="200" t="s">
        <v>5403</v>
      </c>
      <c r="D439" s="200" t="s">
        <v>218</v>
      </c>
      <c r="E439" s="201">
        <v>30.0</v>
      </c>
      <c r="F439" s="200">
        <v>0.0</v>
      </c>
      <c r="G439" s="200" t="s">
        <v>5342</v>
      </c>
      <c r="H439" s="202" t="s">
        <v>5732</v>
      </c>
      <c r="Q439" s="9"/>
      <c r="R439" s="9"/>
      <c r="S439" s="9"/>
      <c r="T439" s="9"/>
    </row>
    <row r="440" ht="19.5" customHeight="1">
      <c r="A440" s="198">
        <v>45811.0</v>
      </c>
      <c r="B440" s="200" t="s">
        <v>5797</v>
      </c>
      <c r="C440" s="199" t="s">
        <v>1377</v>
      </c>
      <c r="D440" s="200" t="s">
        <v>1378</v>
      </c>
      <c r="E440" s="201">
        <v>9.0</v>
      </c>
      <c r="F440" s="200">
        <v>0.0</v>
      </c>
      <c r="G440" s="200" t="s">
        <v>5315</v>
      </c>
      <c r="H440" s="202" t="s">
        <v>5732</v>
      </c>
      <c r="Q440" s="9"/>
      <c r="R440" s="9"/>
      <c r="S440" s="9"/>
      <c r="T440" s="9"/>
    </row>
    <row r="441" ht="19.5" customHeight="1">
      <c r="A441" s="198">
        <v>45811.0</v>
      </c>
      <c r="B441" s="200" t="s">
        <v>5797</v>
      </c>
      <c r="C441" s="199" t="s">
        <v>1377</v>
      </c>
      <c r="D441" s="200" t="s">
        <v>1378</v>
      </c>
      <c r="E441" s="201">
        <v>3.0</v>
      </c>
      <c r="F441" s="200">
        <v>0.0</v>
      </c>
      <c r="G441" s="200" t="s">
        <v>5798</v>
      </c>
      <c r="H441" s="202" t="s">
        <v>5732</v>
      </c>
      <c r="Q441" s="9"/>
      <c r="R441" s="9"/>
      <c r="S441" s="9"/>
      <c r="T441" s="9"/>
    </row>
    <row r="442" ht="19.5" customHeight="1">
      <c r="A442" s="198">
        <v>45811.0</v>
      </c>
      <c r="B442" s="200" t="s">
        <v>5797</v>
      </c>
      <c r="C442" s="199" t="s">
        <v>1377</v>
      </c>
      <c r="D442" s="200" t="s">
        <v>1378</v>
      </c>
      <c r="E442" s="201">
        <v>8.0</v>
      </c>
      <c r="F442" s="200">
        <v>0.0</v>
      </c>
      <c r="G442" s="200" t="s">
        <v>5341</v>
      </c>
      <c r="H442" s="202" t="s">
        <v>5732</v>
      </c>
      <c r="Q442" s="9"/>
      <c r="R442" s="9"/>
      <c r="S442" s="9"/>
      <c r="T442" s="9"/>
    </row>
    <row r="443" ht="19.5" customHeight="1">
      <c r="A443" s="198">
        <v>45811.0</v>
      </c>
      <c r="B443" s="200" t="s">
        <v>5797</v>
      </c>
      <c r="C443" s="199" t="s">
        <v>377</v>
      </c>
      <c r="D443" s="200" t="s">
        <v>5314</v>
      </c>
      <c r="E443" s="201">
        <v>23.0</v>
      </c>
      <c r="F443" s="200">
        <v>0.0</v>
      </c>
      <c r="G443" s="200" t="s">
        <v>5420</v>
      </c>
      <c r="H443" s="202" t="s">
        <v>5732</v>
      </c>
      <c r="Q443" s="9"/>
      <c r="R443" s="9"/>
      <c r="S443" s="9"/>
      <c r="T443" s="9"/>
    </row>
    <row r="444" ht="19.5" customHeight="1">
      <c r="A444" s="198">
        <v>45811.0</v>
      </c>
      <c r="B444" s="200" t="s">
        <v>5797</v>
      </c>
      <c r="C444" s="200" t="s">
        <v>5403</v>
      </c>
      <c r="D444" s="200" t="s">
        <v>218</v>
      </c>
      <c r="E444" s="201">
        <v>20.0</v>
      </c>
      <c r="F444" s="200">
        <v>0.0</v>
      </c>
      <c r="G444" s="200" t="s">
        <v>5395</v>
      </c>
      <c r="H444" s="202" t="s">
        <v>5732</v>
      </c>
      <c r="Q444" s="9"/>
      <c r="R444" s="9"/>
      <c r="S444" s="9"/>
      <c r="T444" s="9"/>
    </row>
    <row r="445" ht="19.5" customHeight="1">
      <c r="A445" s="198">
        <v>45811.0</v>
      </c>
      <c r="B445" s="200" t="s">
        <v>5797</v>
      </c>
      <c r="C445" s="200" t="s">
        <v>5403</v>
      </c>
      <c r="D445" s="200" t="s">
        <v>218</v>
      </c>
      <c r="E445" s="201">
        <v>200.0</v>
      </c>
      <c r="F445" s="200">
        <v>0.0</v>
      </c>
      <c r="G445" s="200" t="s">
        <v>5400</v>
      </c>
      <c r="H445" s="202" t="s">
        <v>5732</v>
      </c>
      <c r="Q445" s="9"/>
      <c r="R445" s="9"/>
      <c r="S445" s="9"/>
      <c r="T445" s="9"/>
    </row>
    <row r="446" ht="19.5" customHeight="1">
      <c r="A446" s="198">
        <v>45811.0</v>
      </c>
      <c r="B446" s="200" t="s">
        <v>5797</v>
      </c>
      <c r="C446" s="200" t="s">
        <v>5403</v>
      </c>
      <c r="D446" s="200" t="s">
        <v>218</v>
      </c>
      <c r="E446" s="201">
        <v>200.0</v>
      </c>
      <c r="F446" s="200">
        <v>0.0</v>
      </c>
      <c r="G446" s="200" t="s">
        <v>5401</v>
      </c>
      <c r="H446" s="202" t="s">
        <v>5732</v>
      </c>
      <c r="Q446" s="9"/>
      <c r="R446" s="9"/>
      <c r="S446" s="9"/>
      <c r="T446" s="9"/>
    </row>
    <row r="447" ht="19.5" customHeight="1">
      <c r="A447" s="198">
        <v>45811.0</v>
      </c>
      <c r="B447" s="200" t="s">
        <v>5797</v>
      </c>
      <c r="C447" s="200" t="s">
        <v>5403</v>
      </c>
      <c r="D447" s="200" t="s">
        <v>218</v>
      </c>
      <c r="E447" s="201">
        <v>200.0</v>
      </c>
      <c r="F447" s="200">
        <v>0.0</v>
      </c>
      <c r="G447" s="200" t="s">
        <v>5404</v>
      </c>
      <c r="H447" s="202" t="s">
        <v>5732</v>
      </c>
      <c r="Q447" s="9"/>
      <c r="R447" s="9"/>
      <c r="S447" s="9"/>
      <c r="T447" s="9"/>
    </row>
    <row r="448" ht="19.5" customHeight="1">
      <c r="A448" s="198">
        <v>45811.0</v>
      </c>
      <c r="B448" s="200" t="s">
        <v>5797</v>
      </c>
      <c r="C448" s="200" t="s">
        <v>5403</v>
      </c>
      <c r="D448" s="200" t="s">
        <v>218</v>
      </c>
      <c r="E448" s="201">
        <v>200.0</v>
      </c>
      <c r="F448" s="200">
        <v>0.0</v>
      </c>
      <c r="G448" s="200" t="s">
        <v>5632</v>
      </c>
      <c r="H448" s="202" t="s">
        <v>5732</v>
      </c>
      <c r="Q448" s="9"/>
      <c r="R448" s="9"/>
      <c r="S448" s="9"/>
      <c r="T448" s="9"/>
    </row>
    <row r="449" ht="19.5" customHeight="1">
      <c r="A449" s="198">
        <v>45811.0</v>
      </c>
      <c r="B449" s="200" t="s">
        <v>5797</v>
      </c>
      <c r="C449" s="199" t="s">
        <v>225</v>
      </c>
      <c r="D449" s="200" t="s">
        <v>224</v>
      </c>
      <c r="E449" s="201">
        <v>110.0</v>
      </c>
      <c r="F449" s="200">
        <v>0.0</v>
      </c>
      <c r="G449" s="200" t="s">
        <v>5336</v>
      </c>
      <c r="H449" s="202" t="s">
        <v>5732</v>
      </c>
      <c r="Q449" s="9"/>
      <c r="R449" s="9"/>
      <c r="S449" s="9"/>
      <c r="T449" s="9"/>
    </row>
    <row r="450" ht="19.5" customHeight="1">
      <c r="A450" s="198">
        <v>45811.0</v>
      </c>
      <c r="B450" s="200" t="s">
        <v>5797</v>
      </c>
      <c r="C450" s="199" t="s">
        <v>225</v>
      </c>
      <c r="D450" s="200" t="s">
        <v>224</v>
      </c>
      <c r="E450" s="201">
        <v>40.0</v>
      </c>
      <c r="F450" s="200">
        <v>0.0</v>
      </c>
      <c r="G450" s="200" t="s">
        <v>5322</v>
      </c>
      <c r="H450" s="202" t="s">
        <v>5732</v>
      </c>
      <c r="Q450" s="9"/>
      <c r="R450" s="9"/>
      <c r="S450" s="9"/>
      <c r="T450" s="9"/>
    </row>
    <row r="451" ht="19.5" customHeight="1">
      <c r="A451" s="198">
        <v>45811.0</v>
      </c>
      <c r="B451" s="200" t="s">
        <v>5797</v>
      </c>
      <c r="C451" s="199" t="s">
        <v>377</v>
      </c>
      <c r="D451" s="200" t="s">
        <v>376</v>
      </c>
      <c r="E451" s="201">
        <v>17.0</v>
      </c>
      <c r="F451" s="200">
        <v>0.0</v>
      </c>
      <c r="G451" s="200" t="s">
        <v>5307</v>
      </c>
      <c r="H451" s="202" t="s">
        <v>5732</v>
      </c>
      <c r="Q451" s="9"/>
      <c r="R451" s="9"/>
      <c r="S451" s="9"/>
      <c r="T451" s="9"/>
    </row>
    <row r="452" ht="19.5" customHeight="1">
      <c r="A452" s="198">
        <v>45811.0</v>
      </c>
      <c r="B452" s="200" t="s">
        <v>5797</v>
      </c>
      <c r="C452" s="199" t="s">
        <v>5479</v>
      </c>
      <c r="D452" s="200" t="s">
        <v>5314</v>
      </c>
      <c r="E452" s="201">
        <v>8.0</v>
      </c>
      <c r="F452" s="200">
        <v>0.0</v>
      </c>
      <c r="G452" s="200" t="s">
        <v>5635</v>
      </c>
      <c r="H452" s="202" t="s">
        <v>5732</v>
      </c>
      <c r="Q452" s="9"/>
      <c r="R452" s="9"/>
      <c r="S452" s="9"/>
      <c r="T452" s="9"/>
    </row>
    <row r="453" ht="19.5" customHeight="1">
      <c r="A453" s="198">
        <v>45811.0</v>
      </c>
      <c r="B453" s="200" t="s">
        <v>5797</v>
      </c>
      <c r="C453" s="200" t="s">
        <v>5403</v>
      </c>
      <c r="D453" s="200" t="s">
        <v>218</v>
      </c>
      <c r="E453" s="201">
        <v>100.0</v>
      </c>
      <c r="F453" s="200">
        <v>0.0</v>
      </c>
      <c r="G453" s="200" t="s">
        <v>5623</v>
      </c>
      <c r="H453" s="202" t="s">
        <v>5732</v>
      </c>
      <c r="Q453" s="9"/>
      <c r="R453" s="9"/>
      <c r="S453" s="9"/>
      <c r="T453" s="9"/>
    </row>
    <row r="454" ht="19.5" customHeight="1">
      <c r="A454" s="198">
        <v>45811.0</v>
      </c>
      <c r="B454" s="200" t="s">
        <v>5797</v>
      </c>
      <c r="C454" s="200" t="s">
        <v>5403</v>
      </c>
      <c r="D454" s="200" t="s">
        <v>218</v>
      </c>
      <c r="E454" s="201">
        <v>100.0</v>
      </c>
      <c r="F454" s="200">
        <v>0.0</v>
      </c>
      <c r="G454" s="200" t="s">
        <v>5624</v>
      </c>
      <c r="H454" s="202" t="s">
        <v>5732</v>
      </c>
      <c r="Q454" s="9"/>
      <c r="R454" s="9"/>
      <c r="S454" s="9"/>
      <c r="T454" s="9"/>
    </row>
    <row r="455" ht="19.5" customHeight="1">
      <c r="A455" s="198">
        <v>45811.0</v>
      </c>
      <c r="B455" s="200" t="s">
        <v>5797</v>
      </c>
      <c r="C455" s="200" t="s">
        <v>5403</v>
      </c>
      <c r="D455" s="200" t="s">
        <v>218</v>
      </c>
      <c r="E455" s="201">
        <v>25.0</v>
      </c>
      <c r="F455" s="200">
        <v>0.0</v>
      </c>
      <c r="G455" s="200" t="s">
        <v>5625</v>
      </c>
      <c r="H455" s="202" t="s">
        <v>5732</v>
      </c>
      <c r="Q455" s="9"/>
      <c r="R455" s="9"/>
      <c r="S455" s="9"/>
      <c r="T455" s="9"/>
    </row>
    <row r="456" ht="19.5" customHeight="1">
      <c r="A456" s="198">
        <v>45811.0</v>
      </c>
      <c r="B456" s="200" t="s">
        <v>5797</v>
      </c>
      <c r="C456" s="199" t="s">
        <v>1377</v>
      </c>
      <c r="D456" s="200" t="s">
        <v>1378</v>
      </c>
      <c r="E456" s="201">
        <v>2.0</v>
      </c>
      <c r="F456" s="200">
        <v>0.0</v>
      </c>
      <c r="G456" s="200" t="s">
        <v>5389</v>
      </c>
      <c r="H456" s="202" t="s">
        <v>5732</v>
      </c>
      <c r="Q456" s="9"/>
      <c r="R456" s="9"/>
      <c r="S456" s="9"/>
      <c r="T456" s="9"/>
    </row>
    <row r="457" ht="19.5" customHeight="1">
      <c r="A457" s="198">
        <v>45812.0</v>
      </c>
      <c r="B457" s="199" t="s">
        <v>5799</v>
      </c>
      <c r="C457" s="199" t="s">
        <v>377</v>
      </c>
      <c r="D457" s="200" t="s">
        <v>376</v>
      </c>
      <c r="E457" s="201">
        <v>9.0</v>
      </c>
      <c r="F457" s="200">
        <v>0.0</v>
      </c>
      <c r="G457" s="200" t="s">
        <v>5307</v>
      </c>
      <c r="H457" s="202" t="s">
        <v>5741</v>
      </c>
      <c r="Q457" s="9"/>
      <c r="R457" s="9"/>
      <c r="S457" s="9"/>
      <c r="T457" s="9"/>
    </row>
    <row r="458" ht="19.5" customHeight="1">
      <c r="A458" s="198">
        <v>45813.0</v>
      </c>
      <c r="B458" s="199" t="s">
        <v>5800</v>
      </c>
      <c r="C458" s="200" t="s">
        <v>5408</v>
      </c>
      <c r="D458" s="200" t="s">
        <v>212</v>
      </c>
      <c r="E458" s="201">
        <v>100.0</v>
      </c>
      <c r="F458" s="200">
        <v>0.0</v>
      </c>
      <c r="G458" s="200" t="s">
        <v>5331</v>
      </c>
      <c r="H458" s="202" t="s">
        <v>5732</v>
      </c>
      <c r="Q458" s="9"/>
      <c r="R458" s="9"/>
      <c r="S458" s="9"/>
      <c r="T458" s="9"/>
    </row>
    <row r="459" ht="19.5" customHeight="1">
      <c r="A459" s="198">
        <v>45813.0</v>
      </c>
      <c r="B459" s="199" t="s">
        <v>5800</v>
      </c>
      <c r="C459" s="199" t="s">
        <v>1377</v>
      </c>
      <c r="D459" s="200" t="s">
        <v>1378</v>
      </c>
      <c r="E459" s="201">
        <v>180.0</v>
      </c>
      <c r="F459" s="200">
        <v>0.0</v>
      </c>
      <c r="G459" s="200" t="s">
        <v>5382</v>
      </c>
      <c r="H459" s="202" t="s">
        <v>5732</v>
      </c>
      <c r="Q459" s="9"/>
      <c r="R459" s="9"/>
      <c r="S459" s="9"/>
      <c r="T459" s="9"/>
    </row>
    <row r="460" ht="19.5" customHeight="1">
      <c r="A460" s="198">
        <v>45813.0</v>
      </c>
      <c r="B460" s="199" t="s">
        <v>5800</v>
      </c>
      <c r="C460" s="200" t="s">
        <v>5403</v>
      </c>
      <c r="D460" s="200" t="s">
        <v>218</v>
      </c>
      <c r="E460" s="201">
        <v>125.0</v>
      </c>
      <c r="F460" s="200">
        <v>0.0</v>
      </c>
      <c r="G460" s="200" t="s">
        <v>5398</v>
      </c>
      <c r="H460" s="202" t="s">
        <v>5732</v>
      </c>
      <c r="Q460" s="9"/>
      <c r="R460" s="9"/>
      <c r="S460" s="9"/>
      <c r="T460" s="9"/>
    </row>
    <row r="461" ht="19.5" customHeight="1">
      <c r="A461" s="198">
        <v>45813.0</v>
      </c>
      <c r="B461" s="199" t="s">
        <v>5800</v>
      </c>
      <c r="C461" s="200" t="s">
        <v>5403</v>
      </c>
      <c r="D461" s="200" t="s">
        <v>218</v>
      </c>
      <c r="E461" s="201">
        <v>200.0</v>
      </c>
      <c r="F461" s="200">
        <v>0.0</v>
      </c>
      <c r="G461" s="200" t="s">
        <v>5402</v>
      </c>
      <c r="H461" s="202" t="s">
        <v>5732</v>
      </c>
      <c r="Q461" s="9"/>
      <c r="R461" s="9"/>
      <c r="S461" s="9"/>
      <c r="T461" s="9"/>
    </row>
    <row r="462" ht="19.5" customHeight="1">
      <c r="A462" s="198">
        <v>45813.0</v>
      </c>
      <c r="B462" s="199" t="s">
        <v>5800</v>
      </c>
      <c r="C462" s="200" t="s">
        <v>5403</v>
      </c>
      <c r="D462" s="200" t="s">
        <v>218</v>
      </c>
      <c r="E462" s="201">
        <v>200.0</v>
      </c>
      <c r="F462" s="200">
        <v>0.0</v>
      </c>
      <c r="G462" s="200" t="s">
        <v>5399</v>
      </c>
      <c r="H462" s="202" t="s">
        <v>5732</v>
      </c>
      <c r="Q462" s="9"/>
      <c r="R462" s="9"/>
      <c r="S462" s="9"/>
      <c r="T462" s="9"/>
    </row>
    <row r="463" ht="19.5" customHeight="1">
      <c r="A463" s="198">
        <v>45813.0</v>
      </c>
      <c r="B463" s="199" t="s">
        <v>5800</v>
      </c>
      <c r="C463" s="199" t="s">
        <v>225</v>
      </c>
      <c r="D463" s="200" t="s">
        <v>224</v>
      </c>
      <c r="E463" s="201">
        <v>50.0</v>
      </c>
      <c r="F463" s="200">
        <v>0.0</v>
      </c>
      <c r="G463" s="200" t="s">
        <v>5322</v>
      </c>
      <c r="H463" s="202" t="s">
        <v>5732</v>
      </c>
      <c r="Q463" s="9"/>
      <c r="R463" s="9"/>
      <c r="S463" s="9"/>
      <c r="T463" s="9"/>
    </row>
    <row r="464" ht="19.5" customHeight="1">
      <c r="A464" s="198">
        <v>45813.0</v>
      </c>
      <c r="B464" s="199" t="s">
        <v>5800</v>
      </c>
      <c r="C464" s="199" t="s">
        <v>5479</v>
      </c>
      <c r="D464" s="200" t="s">
        <v>5314</v>
      </c>
      <c r="E464" s="201">
        <v>22.0</v>
      </c>
      <c r="F464" s="200">
        <v>0.0</v>
      </c>
      <c r="G464" s="200" t="s">
        <v>5389</v>
      </c>
      <c r="H464" s="202" t="s">
        <v>5732</v>
      </c>
      <c r="Q464" s="9"/>
      <c r="R464" s="9"/>
      <c r="S464" s="9"/>
      <c r="T464" s="9"/>
    </row>
    <row r="465" ht="19.5" customHeight="1">
      <c r="A465" s="198">
        <v>45813.0</v>
      </c>
      <c r="B465" s="199" t="s">
        <v>5800</v>
      </c>
      <c r="C465" s="199" t="s">
        <v>1377</v>
      </c>
      <c r="D465" s="200" t="s">
        <v>1378</v>
      </c>
      <c r="E465" s="201">
        <v>24.0</v>
      </c>
      <c r="F465" s="200">
        <v>0.0</v>
      </c>
      <c r="G465" s="200" t="s">
        <v>5382</v>
      </c>
      <c r="H465" s="202" t="s">
        <v>5741</v>
      </c>
      <c r="Q465" s="9"/>
      <c r="R465" s="9"/>
      <c r="S465" s="9"/>
      <c r="T465" s="9"/>
    </row>
    <row r="466" ht="19.5" customHeight="1">
      <c r="A466" s="198">
        <v>45813.0</v>
      </c>
      <c r="B466" s="199" t="s">
        <v>5800</v>
      </c>
      <c r="C466" s="199" t="s">
        <v>1377</v>
      </c>
      <c r="D466" s="200" t="s">
        <v>1378</v>
      </c>
      <c r="E466" s="201">
        <v>24.0</v>
      </c>
      <c r="F466" s="200">
        <v>0.0</v>
      </c>
      <c r="G466" s="200" t="s">
        <v>5382</v>
      </c>
      <c r="H466" s="202" t="s">
        <v>5741</v>
      </c>
      <c r="Q466" s="9"/>
      <c r="R466" s="9"/>
      <c r="S466" s="9"/>
      <c r="T466" s="9"/>
    </row>
    <row r="467" ht="19.5" customHeight="1">
      <c r="A467" s="198">
        <v>45813.0</v>
      </c>
      <c r="B467" s="199" t="s">
        <v>5800</v>
      </c>
      <c r="C467" s="199" t="s">
        <v>1377</v>
      </c>
      <c r="D467" s="200" t="s">
        <v>1378</v>
      </c>
      <c r="E467" s="201">
        <v>12.0</v>
      </c>
      <c r="F467" s="200">
        <v>0.0</v>
      </c>
      <c r="G467" s="200" t="s">
        <v>5382</v>
      </c>
      <c r="H467" s="202" t="s">
        <v>5741</v>
      </c>
      <c r="Q467" s="9"/>
      <c r="R467" s="9"/>
      <c r="S467" s="9"/>
      <c r="T467" s="9"/>
    </row>
    <row r="468" ht="19.5" customHeight="1">
      <c r="A468" s="198">
        <v>45813.0</v>
      </c>
      <c r="B468" s="200" t="s">
        <v>5801</v>
      </c>
      <c r="C468" s="200" t="s">
        <v>5403</v>
      </c>
      <c r="D468" s="200" t="s">
        <v>218</v>
      </c>
      <c r="E468" s="201">
        <v>75.0</v>
      </c>
      <c r="F468" s="200">
        <v>0.0</v>
      </c>
      <c r="G468" s="200" t="s">
        <v>5395</v>
      </c>
      <c r="H468" s="202" t="s">
        <v>5802</v>
      </c>
      <c r="Q468" s="9"/>
      <c r="R468" s="9"/>
      <c r="S468" s="9"/>
      <c r="T468" s="9"/>
    </row>
    <row r="469" ht="19.5" customHeight="1">
      <c r="A469" s="198">
        <v>45814.0</v>
      </c>
      <c r="B469" s="199" t="s">
        <v>5803</v>
      </c>
      <c r="C469" s="200" t="s">
        <v>5453</v>
      </c>
      <c r="D469" s="200" t="s">
        <v>5352</v>
      </c>
      <c r="E469" s="201">
        <v>180.0</v>
      </c>
      <c r="F469" s="200">
        <v>0.0</v>
      </c>
      <c r="G469" s="199" t="s">
        <v>5752</v>
      </c>
      <c r="H469" s="202" t="s">
        <v>5780</v>
      </c>
      <c r="Q469" s="9"/>
      <c r="R469" s="9"/>
      <c r="S469" s="9"/>
      <c r="T469" s="9"/>
    </row>
    <row r="470" ht="19.5" customHeight="1">
      <c r="A470" s="198">
        <v>45814.0</v>
      </c>
      <c r="B470" s="199" t="s">
        <v>5803</v>
      </c>
      <c r="C470" s="199" t="s">
        <v>5488</v>
      </c>
      <c r="D470" s="200" t="s">
        <v>5430</v>
      </c>
      <c r="E470" s="201">
        <v>24.0</v>
      </c>
      <c r="F470" s="200">
        <v>0.0</v>
      </c>
      <c r="G470" s="199" t="s">
        <v>5795</v>
      </c>
      <c r="H470" s="202" t="s">
        <v>5780</v>
      </c>
      <c r="Q470" s="9"/>
      <c r="R470" s="9"/>
      <c r="S470" s="9"/>
      <c r="T470" s="9"/>
    </row>
    <row r="471" ht="19.5" customHeight="1">
      <c r="A471" s="198">
        <v>45814.0</v>
      </c>
      <c r="B471" s="199" t="s">
        <v>5803</v>
      </c>
      <c r="C471" s="199" t="s">
        <v>5467</v>
      </c>
      <c r="D471" s="200" t="s">
        <v>5406</v>
      </c>
      <c r="E471" s="201">
        <v>60.0</v>
      </c>
      <c r="F471" s="200">
        <v>0.0</v>
      </c>
      <c r="G471" s="199" t="s">
        <v>5344</v>
      </c>
      <c r="H471" s="202" t="s">
        <v>5780</v>
      </c>
      <c r="Q471" s="9"/>
      <c r="R471" s="9"/>
      <c r="S471" s="9"/>
      <c r="T471" s="9"/>
    </row>
    <row r="472" ht="19.5" customHeight="1">
      <c r="A472" s="198">
        <v>45814.0</v>
      </c>
      <c r="B472" s="199" t="s">
        <v>5803</v>
      </c>
      <c r="C472" s="199" t="s">
        <v>5487</v>
      </c>
      <c r="D472" s="200" t="s">
        <v>5425</v>
      </c>
      <c r="E472" s="201">
        <v>24.0</v>
      </c>
      <c r="F472" s="200">
        <v>0.0</v>
      </c>
      <c r="G472" s="199" t="s">
        <v>5687</v>
      </c>
      <c r="H472" s="202" t="s">
        <v>5780</v>
      </c>
      <c r="Q472" s="9"/>
      <c r="R472" s="9"/>
      <c r="S472" s="9"/>
      <c r="T472" s="9"/>
    </row>
    <row r="473" ht="19.5" customHeight="1">
      <c r="A473" s="198">
        <v>45814.0</v>
      </c>
      <c r="B473" s="199" t="s">
        <v>5803</v>
      </c>
      <c r="C473" s="199" t="s">
        <v>5492</v>
      </c>
      <c r="D473" s="200" t="s">
        <v>5493</v>
      </c>
      <c r="E473" s="201">
        <v>300.0</v>
      </c>
      <c r="F473" s="200">
        <v>0.0</v>
      </c>
      <c r="G473" s="200" t="s">
        <v>5558</v>
      </c>
      <c r="H473" s="202" t="s">
        <v>5780</v>
      </c>
      <c r="Q473" s="9"/>
      <c r="R473" s="9"/>
      <c r="S473" s="9"/>
      <c r="T473" s="9"/>
    </row>
    <row r="474" ht="19.5" customHeight="1">
      <c r="A474" s="198">
        <v>45814.0</v>
      </c>
      <c r="B474" s="199" t="s">
        <v>5803</v>
      </c>
      <c r="C474" s="200" t="s">
        <v>5461</v>
      </c>
      <c r="D474" s="200" t="s">
        <v>5318</v>
      </c>
      <c r="E474" s="201">
        <v>120.0</v>
      </c>
      <c r="F474" s="200">
        <v>0.0</v>
      </c>
      <c r="G474" s="200" t="s">
        <v>5578</v>
      </c>
      <c r="H474" s="202" t="s">
        <v>5780</v>
      </c>
      <c r="Q474" s="9"/>
      <c r="R474" s="9"/>
      <c r="S474" s="9"/>
      <c r="T474" s="9"/>
    </row>
    <row r="475" ht="19.5" customHeight="1">
      <c r="A475" s="198">
        <v>45814.0</v>
      </c>
      <c r="B475" s="199" t="s">
        <v>5803</v>
      </c>
      <c r="C475" s="199" t="s">
        <v>5489</v>
      </c>
      <c r="D475" s="200" t="s">
        <v>5380</v>
      </c>
      <c r="E475" s="201">
        <v>24.0</v>
      </c>
      <c r="F475" s="200">
        <v>0.0</v>
      </c>
      <c r="G475" s="200" t="s">
        <v>5381</v>
      </c>
      <c r="H475" s="202" t="s">
        <v>5780</v>
      </c>
      <c r="Q475" s="9"/>
      <c r="R475" s="9"/>
      <c r="S475" s="9"/>
      <c r="T475" s="9"/>
    </row>
    <row r="476" ht="19.5" customHeight="1">
      <c r="A476" s="198">
        <v>45817.0</v>
      </c>
      <c r="B476" s="199" t="s">
        <v>5804</v>
      </c>
      <c r="C476" s="199" t="s">
        <v>1377</v>
      </c>
      <c r="D476" s="200" t="s">
        <v>1378</v>
      </c>
      <c r="E476" s="201">
        <v>24.0</v>
      </c>
      <c r="F476" s="200">
        <v>0.0</v>
      </c>
      <c r="G476" s="199" t="s">
        <v>5638</v>
      </c>
      <c r="H476" s="202" t="s">
        <v>5741</v>
      </c>
      <c r="Q476" s="9"/>
      <c r="R476" s="9"/>
      <c r="S476" s="9"/>
      <c r="T476" s="9"/>
    </row>
    <row r="477" ht="19.5" customHeight="1">
      <c r="A477" s="198">
        <v>45817.0</v>
      </c>
      <c r="B477" s="199" t="s">
        <v>5805</v>
      </c>
      <c r="C477" s="199" t="s">
        <v>1377</v>
      </c>
      <c r="D477" s="200" t="s">
        <v>1378</v>
      </c>
      <c r="E477" s="201">
        <v>24.0</v>
      </c>
      <c r="F477" s="200">
        <v>0.0</v>
      </c>
      <c r="G477" s="199" t="s">
        <v>5638</v>
      </c>
      <c r="H477" s="202" t="s">
        <v>5741</v>
      </c>
      <c r="Q477" s="9"/>
      <c r="R477" s="9"/>
      <c r="S477" s="9"/>
      <c r="T477" s="9"/>
    </row>
    <row r="478" ht="19.5" customHeight="1">
      <c r="A478" s="198">
        <v>45817.0</v>
      </c>
      <c r="B478" s="199" t="s">
        <v>5806</v>
      </c>
      <c r="C478" s="199" t="s">
        <v>1377</v>
      </c>
      <c r="D478" s="200" t="s">
        <v>1378</v>
      </c>
      <c r="E478" s="201">
        <v>24.0</v>
      </c>
      <c r="F478" s="200">
        <v>2.0</v>
      </c>
      <c r="G478" s="199" t="s">
        <v>5638</v>
      </c>
      <c r="H478" s="202" t="s">
        <v>5807</v>
      </c>
      <c r="Q478" s="9"/>
      <c r="R478" s="9"/>
      <c r="S478" s="9"/>
      <c r="T478" s="9"/>
    </row>
    <row r="479" ht="19.5" customHeight="1">
      <c r="A479" s="198">
        <v>45817.0</v>
      </c>
      <c r="B479" s="199" t="s">
        <v>5808</v>
      </c>
      <c r="C479" s="199" t="s">
        <v>1377</v>
      </c>
      <c r="D479" s="200" t="s">
        <v>1378</v>
      </c>
      <c r="E479" s="201">
        <v>24.0</v>
      </c>
      <c r="F479" s="200">
        <v>2.0</v>
      </c>
      <c r="G479" s="199" t="s">
        <v>5638</v>
      </c>
      <c r="H479" s="202" t="s">
        <v>5807</v>
      </c>
      <c r="Q479" s="9"/>
      <c r="R479" s="9"/>
      <c r="S479" s="9"/>
      <c r="T479" s="9"/>
    </row>
    <row r="480" ht="19.5" customHeight="1">
      <c r="A480" s="198">
        <v>45817.0</v>
      </c>
      <c r="B480" s="199" t="s">
        <v>5809</v>
      </c>
      <c r="C480" s="199" t="s">
        <v>1377</v>
      </c>
      <c r="D480" s="200" t="s">
        <v>1378</v>
      </c>
      <c r="E480" s="201">
        <v>24.0</v>
      </c>
      <c r="F480" s="200">
        <v>2.0</v>
      </c>
      <c r="G480" s="199" t="s">
        <v>5638</v>
      </c>
      <c r="H480" s="202" t="s">
        <v>5807</v>
      </c>
      <c r="Q480" s="9"/>
      <c r="R480" s="9"/>
      <c r="S480" s="9"/>
      <c r="T480" s="9"/>
    </row>
    <row r="481" ht="19.5" customHeight="1">
      <c r="A481" s="198">
        <v>45817.0</v>
      </c>
      <c r="B481" s="199" t="s">
        <v>5810</v>
      </c>
      <c r="C481" s="200" t="s">
        <v>5461</v>
      </c>
      <c r="D481" s="200" t="s">
        <v>5318</v>
      </c>
      <c r="E481" s="201">
        <v>20.0</v>
      </c>
      <c r="F481" s="200">
        <v>0.0</v>
      </c>
      <c r="G481" s="199" t="s">
        <v>5361</v>
      </c>
      <c r="H481" s="202" t="s">
        <v>5711</v>
      </c>
      <c r="Q481" s="9"/>
      <c r="R481" s="9"/>
      <c r="S481" s="9"/>
      <c r="T481" s="9"/>
    </row>
    <row r="482" ht="19.5" customHeight="1">
      <c r="A482" s="198">
        <v>45817.0</v>
      </c>
      <c r="B482" s="199" t="s">
        <v>5810</v>
      </c>
      <c r="C482" s="199" t="s">
        <v>5488</v>
      </c>
      <c r="D482" s="200" t="s">
        <v>5430</v>
      </c>
      <c r="E482" s="201">
        <v>36.0</v>
      </c>
      <c r="F482" s="200">
        <v>0.0</v>
      </c>
      <c r="G482" s="199" t="s">
        <v>5795</v>
      </c>
      <c r="H482" s="202" t="s">
        <v>5711</v>
      </c>
      <c r="Q482" s="9"/>
      <c r="R482" s="9"/>
      <c r="S482" s="9"/>
      <c r="T482" s="9"/>
    </row>
    <row r="483" ht="19.5" customHeight="1">
      <c r="A483" s="198">
        <v>45817.0</v>
      </c>
      <c r="B483" s="199" t="s">
        <v>5810</v>
      </c>
      <c r="C483" s="199" t="s">
        <v>5487</v>
      </c>
      <c r="D483" s="200" t="s">
        <v>5425</v>
      </c>
      <c r="E483" s="201">
        <v>12.0</v>
      </c>
      <c r="F483" s="200">
        <v>0.0</v>
      </c>
      <c r="G483" s="199" t="s">
        <v>5687</v>
      </c>
      <c r="H483" s="202" t="s">
        <v>5711</v>
      </c>
      <c r="Q483" s="9"/>
      <c r="R483" s="9"/>
      <c r="S483" s="9"/>
      <c r="T483" s="9"/>
    </row>
    <row r="484" ht="19.5" customHeight="1">
      <c r="A484" s="198">
        <v>45817.0</v>
      </c>
      <c r="B484" s="199" t="s">
        <v>5810</v>
      </c>
      <c r="C484" s="200" t="s">
        <v>5461</v>
      </c>
      <c r="D484" s="200" t="s">
        <v>5318</v>
      </c>
      <c r="E484" s="201">
        <v>100.0</v>
      </c>
      <c r="F484" s="200">
        <v>0.0</v>
      </c>
      <c r="G484" s="200" t="s">
        <v>5578</v>
      </c>
      <c r="H484" s="202" t="s">
        <v>5711</v>
      </c>
      <c r="Q484" s="9"/>
      <c r="R484" s="9"/>
      <c r="S484" s="9"/>
      <c r="T484" s="9"/>
    </row>
    <row r="485" ht="19.5" customHeight="1">
      <c r="A485" s="198">
        <v>45818.0</v>
      </c>
      <c r="B485" s="199" t="s">
        <v>5811</v>
      </c>
      <c r="C485" s="199" t="s">
        <v>1377</v>
      </c>
      <c r="D485" s="200" t="s">
        <v>1378</v>
      </c>
      <c r="E485" s="201">
        <v>48.0</v>
      </c>
      <c r="F485" s="200">
        <v>0.0</v>
      </c>
      <c r="G485" s="199" t="s">
        <v>5638</v>
      </c>
      <c r="H485" s="202" t="s">
        <v>5732</v>
      </c>
      <c r="Q485" s="9"/>
      <c r="R485" s="9"/>
      <c r="S485" s="9"/>
      <c r="T485" s="9"/>
    </row>
    <row r="486" ht="19.5" customHeight="1">
      <c r="A486" s="198">
        <v>45818.0</v>
      </c>
      <c r="B486" s="199" t="s">
        <v>5811</v>
      </c>
      <c r="C486" s="199" t="s">
        <v>235</v>
      </c>
      <c r="D486" s="200" t="s">
        <v>8</v>
      </c>
      <c r="E486" s="201">
        <v>70.0</v>
      </c>
      <c r="F486" s="200">
        <v>0.0</v>
      </c>
      <c r="G486" s="199" t="s">
        <v>5702</v>
      </c>
      <c r="H486" s="202" t="s">
        <v>5732</v>
      </c>
      <c r="Q486" s="9"/>
      <c r="R486" s="9"/>
      <c r="S486" s="9"/>
      <c r="T486" s="9"/>
    </row>
    <row r="487" ht="19.5" customHeight="1">
      <c r="A487" s="198">
        <v>45818.0</v>
      </c>
      <c r="B487" s="199" t="s">
        <v>5811</v>
      </c>
      <c r="C487" s="200" t="s">
        <v>5408</v>
      </c>
      <c r="D487" s="200" t="s">
        <v>212</v>
      </c>
      <c r="E487" s="201">
        <v>50.0</v>
      </c>
      <c r="F487" s="200">
        <v>0.0</v>
      </c>
      <c r="G487" s="200" t="s">
        <v>5354</v>
      </c>
      <c r="H487" s="202" t="s">
        <v>5732</v>
      </c>
      <c r="Q487" s="9"/>
      <c r="R487" s="9"/>
      <c r="S487" s="9"/>
      <c r="T487" s="9"/>
    </row>
    <row r="488" ht="19.5" customHeight="1">
      <c r="A488" s="198">
        <v>45818.0</v>
      </c>
      <c r="B488" s="199" t="s">
        <v>5811</v>
      </c>
      <c r="C488" s="200" t="s">
        <v>5408</v>
      </c>
      <c r="D488" s="200" t="s">
        <v>212</v>
      </c>
      <c r="E488" s="201">
        <v>250.0</v>
      </c>
      <c r="F488" s="200">
        <v>0.0</v>
      </c>
      <c r="G488" s="200" t="s">
        <v>5331</v>
      </c>
      <c r="H488" s="202" t="s">
        <v>5732</v>
      </c>
      <c r="Q488" s="9"/>
      <c r="R488" s="9"/>
      <c r="S488" s="9"/>
      <c r="T488" s="9"/>
    </row>
    <row r="489" ht="19.5" customHeight="1">
      <c r="A489" s="198">
        <v>45818.0</v>
      </c>
      <c r="B489" s="199" t="s">
        <v>5811</v>
      </c>
      <c r="C489" s="200" t="s">
        <v>5403</v>
      </c>
      <c r="D489" s="200" t="s">
        <v>218</v>
      </c>
      <c r="E489" s="201">
        <v>400.0</v>
      </c>
      <c r="F489" s="200">
        <v>0.0</v>
      </c>
      <c r="G489" s="200" t="s">
        <v>5346</v>
      </c>
      <c r="H489" s="202" t="s">
        <v>5732</v>
      </c>
      <c r="Q489" s="9"/>
      <c r="R489" s="9"/>
      <c r="S489" s="9"/>
      <c r="T489" s="9"/>
    </row>
    <row r="490" ht="19.5" customHeight="1">
      <c r="A490" s="198">
        <v>45818.0</v>
      </c>
      <c r="B490" s="199" t="s">
        <v>5811</v>
      </c>
      <c r="C490" s="200" t="s">
        <v>5403</v>
      </c>
      <c r="D490" s="200" t="s">
        <v>218</v>
      </c>
      <c r="E490" s="201">
        <v>400.0</v>
      </c>
      <c r="F490" s="200">
        <v>0.0</v>
      </c>
      <c r="G490" s="200" t="s">
        <v>5312</v>
      </c>
      <c r="H490" s="202" t="s">
        <v>5732</v>
      </c>
      <c r="Q490" s="9"/>
      <c r="R490" s="9"/>
      <c r="S490" s="9"/>
      <c r="T490" s="9"/>
    </row>
    <row r="491" ht="19.5" customHeight="1">
      <c r="A491" s="198">
        <v>45818.0</v>
      </c>
      <c r="B491" s="199" t="s">
        <v>5811</v>
      </c>
      <c r="C491" s="200" t="s">
        <v>5403</v>
      </c>
      <c r="D491" s="200" t="s">
        <v>218</v>
      </c>
      <c r="E491" s="201">
        <v>175.0</v>
      </c>
      <c r="F491" s="200">
        <v>0.0</v>
      </c>
      <c r="G491" s="200" t="s">
        <v>5409</v>
      </c>
      <c r="H491" s="202" t="s">
        <v>5732</v>
      </c>
      <c r="Q491" s="9"/>
      <c r="R491" s="9"/>
      <c r="S491" s="9"/>
      <c r="T491" s="9"/>
    </row>
    <row r="492" ht="19.5" customHeight="1">
      <c r="A492" s="198">
        <v>45818.0</v>
      </c>
      <c r="B492" s="199" t="s">
        <v>5811</v>
      </c>
      <c r="C492" s="199" t="s">
        <v>225</v>
      </c>
      <c r="D492" s="200" t="s">
        <v>224</v>
      </c>
      <c r="E492" s="201">
        <v>150.0</v>
      </c>
      <c r="F492" s="200">
        <v>0.0</v>
      </c>
      <c r="G492" s="200" t="s">
        <v>5605</v>
      </c>
      <c r="H492" s="202" t="s">
        <v>5732</v>
      </c>
      <c r="Q492" s="9"/>
      <c r="R492" s="9"/>
      <c r="S492" s="9"/>
      <c r="T492" s="9"/>
    </row>
    <row r="493" ht="19.5" customHeight="1">
      <c r="A493" s="198">
        <v>45818.0</v>
      </c>
      <c r="B493" s="199" t="s">
        <v>5811</v>
      </c>
      <c r="C493" s="199" t="s">
        <v>225</v>
      </c>
      <c r="D493" s="200" t="s">
        <v>224</v>
      </c>
      <c r="E493" s="201">
        <v>150.0</v>
      </c>
      <c r="F493" s="200">
        <v>0.0</v>
      </c>
      <c r="G493" s="200" t="s">
        <v>5606</v>
      </c>
      <c r="H493" s="202" t="s">
        <v>5732</v>
      </c>
      <c r="Q493" s="9"/>
      <c r="R493" s="9"/>
      <c r="S493" s="9"/>
      <c r="T493" s="9"/>
    </row>
    <row r="494" ht="19.5" customHeight="1">
      <c r="A494" s="198">
        <v>45818.0</v>
      </c>
      <c r="B494" s="199" t="s">
        <v>5811</v>
      </c>
      <c r="C494" s="199" t="s">
        <v>5479</v>
      </c>
      <c r="D494" s="200" t="s">
        <v>5314</v>
      </c>
      <c r="E494" s="201">
        <v>15.0</v>
      </c>
      <c r="F494" s="200">
        <v>0.0</v>
      </c>
      <c r="G494" s="200" t="s">
        <v>5389</v>
      </c>
      <c r="H494" s="202" t="s">
        <v>5732</v>
      </c>
      <c r="Q494" s="9"/>
      <c r="R494" s="9"/>
      <c r="S494" s="9"/>
      <c r="T494" s="9"/>
    </row>
    <row r="495" ht="19.5" customHeight="1">
      <c r="A495" s="198"/>
      <c r="B495" s="199" t="s">
        <v>5811</v>
      </c>
      <c r="C495" s="203" t="s">
        <v>1634</v>
      </c>
      <c r="D495" s="200" t="s">
        <v>5548</v>
      </c>
      <c r="E495" s="201">
        <v>8.0</v>
      </c>
      <c r="F495" s="200">
        <v>0.0</v>
      </c>
      <c r="G495" s="200" t="s">
        <v>5549</v>
      </c>
      <c r="H495" s="202" t="s">
        <v>5812</v>
      </c>
      <c r="Q495" s="9"/>
      <c r="R495" s="9"/>
      <c r="S495" s="9"/>
      <c r="T495" s="9"/>
    </row>
    <row r="496" ht="19.5" customHeight="1">
      <c r="A496" s="198"/>
      <c r="B496" s="199" t="s">
        <v>5811</v>
      </c>
      <c r="C496" s="199" t="s">
        <v>5465</v>
      </c>
      <c r="D496" s="200" t="s">
        <v>5675</v>
      </c>
      <c r="E496" s="201">
        <v>3.0</v>
      </c>
      <c r="F496" s="200">
        <v>0.0</v>
      </c>
      <c r="G496" s="200" t="s">
        <v>5551</v>
      </c>
      <c r="H496" s="202" t="s">
        <v>5732</v>
      </c>
      <c r="Q496" s="9"/>
      <c r="R496" s="9"/>
      <c r="S496" s="9"/>
      <c r="T496" s="9"/>
    </row>
    <row r="497" ht="19.5" customHeight="1">
      <c r="A497" s="198"/>
      <c r="B497" s="199" t="s">
        <v>5811</v>
      </c>
      <c r="C497" s="199" t="s">
        <v>231</v>
      </c>
      <c r="D497" s="200" t="s">
        <v>230</v>
      </c>
      <c r="E497" s="201">
        <v>0.0</v>
      </c>
      <c r="F497" s="200">
        <v>0.0</v>
      </c>
      <c r="G497" s="199" t="s">
        <v>5679</v>
      </c>
      <c r="H497" s="202" t="s">
        <v>5732</v>
      </c>
      <c r="Q497" s="9"/>
      <c r="R497" s="9"/>
      <c r="S497" s="9"/>
      <c r="T497" s="9"/>
    </row>
    <row r="498" ht="19.5" customHeight="1">
      <c r="A498" s="198"/>
      <c r="B498" s="199" t="s">
        <v>5811</v>
      </c>
      <c r="C498" s="199" t="s">
        <v>240</v>
      </c>
      <c r="D498" s="200" t="s">
        <v>239</v>
      </c>
      <c r="E498" s="201">
        <v>24.0</v>
      </c>
      <c r="F498" s="200">
        <v>0.0</v>
      </c>
      <c r="G498" s="199" t="s">
        <v>5411</v>
      </c>
      <c r="H498" s="202" t="s">
        <v>5732</v>
      </c>
      <c r="Q498" s="9"/>
      <c r="R498" s="9"/>
      <c r="S498" s="9"/>
      <c r="T498" s="9"/>
    </row>
    <row r="499" ht="19.5" customHeight="1">
      <c r="A499" s="198"/>
      <c r="B499" s="199" t="s">
        <v>5811</v>
      </c>
      <c r="C499" s="199" t="s">
        <v>245</v>
      </c>
      <c r="D499" s="200" t="s">
        <v>5464</v>
      </c>
      <c r="E499" s="201">
        <v>78.0</v>
      </c>
      <c r="F499" s="200">
        <v>0.0</v>
      </c>
      <c r="G499" s="199" t="s">
        <v>5813</v>
      </c>
      <c r="H499" s="202" t="s">
        <v>5732</v>
      </c>
      <c r="Q499" s="9"/>
      <c r="R499" s="9"/>
      <c r="S499" s="9"/>
      <c r="T499" s="9"/>
    </row>
    <row r="500" ht="19.5" customHeight="1">
      <c r="A500" s="198"/>
      <c r="B500" s="199" t="s">
        <v>5811</v>
      </c>
      <c r="C500" s="199" t="s">
        <v>5453</v>
      </c>
      <c r="D500" s="200" t="s">
        <v>5352</v>
      </c>
      <c r="E500" s="204">
        <v>518.0</v>
      </c>
      <c r="F500" s="200">
        <v>0.0</v>
      </c>
      <c r="G500" s="199" t="s">
        <v>5553</v>
      </c>
      <c r="H500" s="202" t="s">
        <v>5646</v>
      </c>
      <c r="Q500" s="9"/>
      <c r="R500" s="9"/>
      <c r="S500" s="9"/>
      <c r="T500" s="9"/>
    </row>
    <row r="501" ht="19.5" customHeight="1">
      <c r="A501" s="198"/>
      <c r="B501" s="199" t="s">
        <v>5811</v>
      </c>
      <c r="C501" s="199" t="s">
        <v>5461</v>
      </c>
      <c r="D501" s="200" t="s">
        <v>5318</v>
      </c>
      <c r="E501" s="201">
        <v>7.0</v>
      </c>
      <c r="F501" s="200">
        <v>0.0</v>
      </c>
      <c r="G501" s="199" t="s">
        <v>5814</v>
      </c>
      <c r="H501" s="202" t="s">
        <v>5646</v>
      </c>
      <c r="Q501" s="9"/>
      <c r="R501" s="9"/>
      <c r="S501" s="9"/>
      <c r="T501" s="9"/>
    </row>
    <row r="502" ht="19.5" customHeight="1">
      <c r="A502" s="198"/>
      <c r="B502" s="199" t="s">
        <v>5811</v>
      </c>
      <c r="C502" s="199" t="s">
        <v>5467</v>
      </c>
      <c r="D502" s="200" t="s">
        <v>5406</v>
      </c>
      <c r="E502" s="205">
        <v>200.0</v>
      </c>
      <c r="F502" s="200">
        <v>0.0</v>
      </c>
      <c r="G502" s="199" t="s">
        <v>5407</v>
      </c>
      <c r="H502" s="202"/>
      <c r="Q502" s="9"/>
      <c r="R502" s="9"/>
      <c r="S502" s="9"/>
      <c r="T502" s="9"/>
    </row>
    <row r="503" ht="19.5" customHeight="1">
      <c r="A503" s="198"/>
      <c r="B503" s="199" t="s">
        <v>5811</v>
      </c>
      <c r="C503" s="199" t="s">
        <v>5408</v>
      </c>
      <c r="D503" s="200" t="s">
        <v>5815</v>
      </c>
      <c r="E503" s="201">
        <v>270.0</v>
      </c>
      <c r="F503" s="200">
        <v>0.0</v>
      </c>
      <c r="G503" s="199" t="s">
        <v>5559</v>
      </c>
      <c r="H503" s="202" t="s">
        <v>5732</v>
      </c>
      <c r="Q503" s="9"/>
      <c r="R503" s="9"/>
      <c r="S503" s="9"/>
      <c r="T503" s="9"/>
    </row>
    <row r="504" ht="19.5" customHeight="1">
      <c r="A504" s="198"/>
      <c r="B504" s="199" t="s">
        <v>5811</v>
      </c>
      <c r="C504" s="199" t="s">
        <v>5403</v>
      </c>
      <c r="D504" s="200" t="s">
        <v>5311</v>
      </c>
      <c r="E504" s="201">
        <v>400.0</v>
      </c>
      <c r="F504" s="200">
        <v>0.0</v>
      </c>
      <c r="G504" s="199" t="s">
        <v>5345</v>
      </c>
      <c r="H504" s="202" t="s">
        <v>5732</v>
      </c>
      <c r="Q504" s="9"/>
      <c r="R504" s="9"/>
      <c r="S504" s="9"/>
      <c r="T504" s="9"/>
    </row>
    <row r="505" ht="19.5" customHeight="1">
      <c r="A505" s="198"/>
      <c r="B505" s="199" t="s">
        <v>5811</v>
      </c>
      <c r="C505" s="199" t="s">
        <v>5403</v>
      </c>
      <c r="D505" s="200" t="s">
        <v>5311</v>
      </c>
      <c r="E505" s="201">
        <v>400.0</v>
      </c>
      <c r="F505" s="200">
        <v>0.0</v>
      </c>
      <c r="G505" s="199" t="s">
        <v>5325</v>
      </c>
      <c r="H505" s="202" t="s">
        <v>5732</v>
      </c>
      <c r="Q505" s="9"/>
      <c r="R505" s="9"/>
      <c r="S505" s="9"/>
      <c r="T505" s="9"/>
    </row>
    <row r="506" ht="19.5" customHeight="1">
      <c r="A506" s="198"/>
      <c r="B506" s="199" t="s">
        <v>5811</v>
      </c>
      <c r="C506" s="199" t="s">
        <v>225</v>
      </c>
      <c r="D506" s="200" t="s">
        <v>5816</v>
      </c>
      <c r="E506" s="201">
        <v>493.0</v>
      </c>
      <c r="F506" s="200">
        <v>0.0</v>
      </c>
      <c r="G506" s="199" t="s">
        <v>5308</v>
      </c>
      <c r="H506" s="202" t="s">
        <v>5732</v>
      </c>
      <c r="Q506" s="9"/>
      <c r="R506" s="9"/>
      <c r="S506" s="9"/>
      <c r="T506" s="9"/>
    </row>
    <row r="507" ht="19.5" customHeight="1">
      <c r="A507" s="198">
        <v>45821.0</v>
      </c>
      <c r="B507" s="200" t="s">
        <v>5817</v>
      </c>
      <c r="C507" s="199" t="s">
        <v>5488</v>
      </c>
      <c r="D507" s="200" t="s">
        <v>5430</v>
      </c>
      <c r="E507" s="201">
        <v>36.0</v>
      </c>
      <c r="F507" s="200">
        <v>0.0</v>
      </c>
      <c r="G507" s="199" t="s">
        <v>5795</v>
      </c>
      <c r="H507" s="202" t="s">
        <v>5681</v>
      </c>
      <c r="Q507" s="9"/>
      <c r="R507" s="9"/>
      <c r="S507" s="9"/>
      <c r="T507" s="9"/>
    </row>
    <row r="508" ht="19.5" customHeight="1">
      <c r="A508" s="198">
        <v>45821.0</v>
      </c>
      <c r="B508" s="200" t="s">
        <v>5817</v>
      </c>
      <c r="C508" s="199" t="s">
        <v>5487</v>
      </c>
      <c r="D508" s="200" t="s">
        <v>5425</v>
      </c>
      <c r="E508" s="201">
        <v>12.0</v>
      </c>
      <c r="F508" s="200">
        <v>0.0</v>
      </c>
      <c r="G508" s="199" t="s">
        <v>5687</v>
      </c>
      <c r="H508" s="202" t="s">
        <v>5681</v>
      </c>
      <c r="Q508" s="9"/>
      <c r="R508" s="9"/>
      <c r="S508" s="9"/>
      <c r="T508" s="9"/>
    </row>
    <row r="509" ht="19.5" customHeight="1">
      <c r="A509" s="198">
        <v>45821.0</v>
      </c>
      <c r="B509" s="200" t="s">
        <v>5817</v>
      </c>
      <c r="C509" s="200" t="s">
        <v>5453</v>
      </c>
      <c r="D509" s="200" t="s">
        <v>5352</v>
      </c>
      <c r="E509" s="201">
        <v>60.0</v>
      </c>
      <c r="F509" s="200">
        <v>0.0</v>
      </c>
      <c r="G509" s="200" t="s">
        <v>5622</v>
      </c>
      <c r="H509" s="202" t="s">
        <v>5681</v>
      </c>
      <c r="Q509" s="9"/>
      <c r="R509" s="9"/>
      <c r="S509" s="9"/>
      <c r="T509" s="9"/>
    </row>
    <row r="510" ht="19.5" customHeight="1">
      <c r="A510" s="198">
        <v>45821.0</v>
      </c>
      <c r="B510" s="200" t="s">
        <v>5817</v>
      </c>
      <c r="C510" s="200" t="s">
        <v>5461</v>
      </c>
      <c r="D510" s="200" t="s">
        <v>5318</v>
      </c>
      <c r="E510" s="201">
        <v>60.0</v>
      </c>
      <c r="F510" s="200">
        <v>0.0</v>
      </c>
      <c r="G510" s="200" t="s">
        <v>5415</v>
      </c>
      <c r="H510" s="202" t="s">
        <v>5681</v>
      </c>
      <c r="Q510" s="9"/>
      <c r="R510" s="9"/>
      <c r="S510" s="9"/>
      <c r="T510" s="9"/>
    </row>
    <row r="511" ht="19.5" customHeight="1">
      <c r="A511" s="206">
        <v>45821.0</v>
      </c>
      <c r="B511" s="207" t="s">
        <v>5817</v>
      </c>
      <c r="C511" s="208" t="s">
        <v>345</v>
      </c>
      <c r="D511" s="207" t="s">
        <v>5496</v>
      </c>
      <c r="E511" s="209">
        <v>12.0</v>
      </c>
      <c r="F511" s="207">
        <v>0.0</v>
      </c>
      <c r="G511" s="207" t="s">
        <v>5640</v>
      </c>
      <c r="H511" s="210" t="s">
        <v>5681</v>
      </c>
      <c r="Q511" s="9"/>
      <c r="R511" s="9"/>
      <c r="S511" s="9"/>
      <c r="T511" s="9"/>
    </row>
  </sheetData>
  <dataValidations>
    <dataValidation type="custom" allowBlank="1" showDropDown="1" sqref="A2:A511">
      <formula1>OR(NOT(ISERROR(DATEVALUE(A2))), AND(ISNUMBER(A2), LEFT(CELL("format", A2))="D"))</formula1>
    </dataValidation>
    <dataValidation type="custom" allowBlank="1" showDropDown="1" sqref="E2:E511">
      <formula1>AND(ISNUMBER(E2),(NOT(OR(NOT(ISERROR(DATEVALUE(E2))), AND(ISNUMBER(E2), LEFT(CELL("format", E2))="D")))))</formula1>
    </dataValidation>
    <dataValidation allowBlank="1" showDropDown="1" sqref="B2:C511 G2:G511"/>
  </dataValidations>
  <drawing r:id="rId1"/>
  <tableParts count="1">
    <tablePart r:id="rId3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88"/>
    <col customWidth="1" min="4" max="4" width="41.88"/>
    <col customWidth="1" min="8" max="8" width="14.13"/>
    <col customWidth="1" min="10" max="10" width="20.75"/>
    <col customWidth="1" min="11" max="11" width="21.13"/>
    <col customWidth="1" min="13" max="13" width="40.13"/>
    <col customWidth="1" min="14" max="14" width="17.5"/>
    <col customWidth="1" min="15" max="15" width="19.25"/>
  </cols>
  <sheetData>
    <row r="1">
      <c r="A1" s="195" t="s">
        <v>5664</v>
      </c>
      <c r="B1" s="196" t="s">
        <v>5665</v>
      </c>
      <c r="C1" s="196" t="s">
        <v>39</v>
      </c>
      <c r="D1" s="197" t="s">
        <v>2</v>
      </c>
      <c r="E1" s="196" t="s">
        <v>5818</v>
      </c>
      <c r="F1" s="197" t="s">
        <v>5546</v>
      </c>
      <c r="G1" s="81" t="s">
        <v>5667</v>
      </c>
      <c r="H1" s="82" t="s">
        <v>5642</v>
      </c>
      <c r="J1" s="211" t="s">
        <v>5664</v>
      </c>
      <c r="K1" s="212" t="s">
        <v>5665</v>
      </c>
      <c r="L1" s="212" t="s">
        <v>39</v>
      </c>
      <c r="M1" s="213" t="s">
        <v>2</v>
      </c>
      <c r="N1" s="212" t="s">
        <v>5818</v>
      </c>
      <c r="O1" s="214" t="s">
        <v>5546</v>
      </c>
    </row>
    <row r="2">
      <c r="A2" s="186">
        <v>45747.0</v>
      </c>
      <c r="B2" s="63" t="s">
        <v>5670</v>
      </c>
      <c r="C2" s="215">
        <v>600703.0</v>
      </c>
      <c r="D2" s="63" t="s">
        <v>5464</v>
      </c>
      <c r="E2" s="63">
        <v>200.0</v>
      </c>
      <c r="F2" s="63">
        <v>1.0</v>
      </c>
      <c r="G2" s="63" t="s">
        <v>5327</v>
      </c>
      <c r="H2" s="88" t="s">
        <v>5671</v>
      </c>
      <c r="J2" s="216"/>
      <c r="K2" s="63"/>
      <c r="L2" s="215">
        <v>600703.0</v>
      </c>
      <c r="M2" s="63" t="s">
        <v>5464</v>
      </c>
      <c r="N2" s="63">
        <v>200.0</v>
      </c>
      <c r="O2" s="217">
        <v>1.0</v>
      </c>
      <c r="P2" s="218"/>
      <c r="Q2" s="218"/>
      <c r="R2" s="218"/>
    </row>
    <row r="3">
      <c r="A3" s="186">
        <v>45747.0</v>
      </c>
      <c r="B3" s="63" t="s">
        <v>5670</v>
      </c>
      <c r="C3" s="215">
        <v>600703.0</v>
      </c>
      <c r="D3" s="63" t="s">
        <v>5464</v>
      </c>
      <c r="E3" s="63">
        <v>200.0</v>
      </c>
      <c r="F3" s="63">
        <v>1.0</v>
      </c>
      <c r="G3" s="63" t="s">
        <v>5356</v>
      </c>
      <c r="H3" s="88" t="s">
        <v>5671</v>
      </c>
      <c r="J3" s="219"/>
      <c r="K3" s="69"/>
      <c r="L3" s="220">
        <v>600703.0</v>
      </c>
      <c r="M3" s="69" t="s">
        <v>5464</v>
      </c>
      <c r="N3" s="69">
        <v>325.0</v>
      </c>
      <c r="O3" s="221">
        <v>1.0</v>
      </c>
      <c r="P3" s="218"/>
      <c r="Q3" s="218"/>
      <c r="R3" s="218"/>
    </row>
    <row r="4">
      <c r="A4" s="186">
        <v>45747.0</v>
      </c>
      <c r="B4" s="63" t="s">
        <v>5670</v>
      </c>
      <c r="C4" s="215">
        <v>600703.0</v>
      </c>
      <c r="D4" s="63" t="s">
        <v>5464</v>
      </c>
      <c r="E4" s="63">
        <v>200.0</v>
      </c>
      <c r="F4" s="63">
        <v>1.0</v>
      </c>
      <c r="G4" s="63" t="s">
        <v>5355</v>
      </c>
      <c r="H4" s="88" t="s">
        <v>5671</v>
      </c>
      <c r="J4" s="216"/>
      <c r="K4" s="63"/>
      <c r="L4" s="215">
        <v>600703.0</v>
      </c>
      <c r="M4" s="63" t="s">
        <v>5464</v>
      </c>
      <c r="N4" s="63">
        <v>325.0</v>
      </c>
      <c r="O4" s="217">
        <v>1.0</v>
      </c>
      <c r="P4" s="218"/>
      <c r="Q4" s="218"/>
      <c r="R4" s="218"/>
    </row>
    <row r="5">
      <c r="A5" s="186">
        <v>45747.0</v>
      </c>
      <c r="B5" s="63" t="s">
        <v>5670</v>
      </c>
      <c r="C5" s="215">
        <v>600703.0</v>
      </c>
      <c r="D5" s="63" t="s">
        <v>5464</v>
      </c>
      <c r="E5" s="63">
        <v>200.0</v>
      </c>
      <c r="F5" s="63">
        <v>1.0</v>
      </c>
      <c r="G5" s="63" t="s">
        <v>5588</v>
      </c>
      <c r="H5" s="88" t="s">
        <v>5671</v>
      </c>
      <c r="J5" s="219"/>
      <c r="K5" s="69"/>
      <c r="L5" s="220">
        <v>600703.0</v>
      </c>
      <c r="M5" s="69" t="s">
        <v>5464</v>
      </c>
      <c r="N5" s="69">
        <v>325.0</v>
      </c>
      <c r="O5" s="221">
        <v>1.0</v>
      </c>
      <c r="P5" s="218"/>
      <c r="Q5" s="218"/>
      <c r="R5" s="218"/>
    </row>
    <row r="6">
      <c r="A6" s="186">
        <v>45747.0</v>
      </c>
      <c r="B6" s="63" t="s">
        <v>5670</v>
      </c>
      <c r="C6" s="215">
        <v>600703.0</v>
      </c>
      <c r="D6" s="63" t="s">
        <v>5464</v>
      </c>
      <c r="E6" s="63">
        <v>200.0</v>
      </c>
      <c r="F6" s="63">
        <v>1.0</v>
      </c>
      <c r="G6" s="63" t="s">
        <v>5357</v>
      </c>
      <c r="H6" s="88" t="s">
        <v>5671</v>
      </c>
      <c r="J6" s="216"/>
      <c r="K6" s="63"/>
      <c r="L6" s="215">
        <v>600703.0</v>
      </c>
      <c r="M6" s="63" t="s">
        <v>5464</v>
      </c>
      <c r="N6" s="63">
        <v>325.0</v>
      </c>
      <c r="O6" s="217">
        <v>1.0</v>
      </c>
      <c r="P6" s="218"/>
      <c r="Q6" s="218"/>
      <c r="R6" s="218"/>
    </row>
    <row r="7">
      <c r="A7" s="186">
        <v>45747.0</v>
      </c>
      <c r="B7" s="63" t="s">
        <v>5670</v>
      </c>
      <c r="C7" s="215">
        <v>600703.0</v>
      </c>
      <c r="D7" s="63" t="s">
        <v>5464</v>
      </c>
      <c r="E7" s="63">
        <v>200.0</v>
      </c>
      <c r="F7" s="63">
        <v>1.0</v>
      </c>
      <c r="G7" s="63" t="s">
        <v>5358</v>
      </c>
      <c r="H7" s="88" t="s">
        <v>5671</v>
      </c>
      <c r="J7" s="219"/>
      <c r="K7" s="69"/>
      <c r="L7" s="220">
        <v>600703.0</v>
      </c>
      <c r="M7" s="69" t="s">
        <v>5464</v>
      </c>
      <c r="N7" s="69">
        <v>325.0</v>
      </c>
      <c r="O7" s="221">
        <v>1.0</v>
      </c>
      <c r="P7" s="218"/>
      <c r="Q7" s="218"/>
      <c r="R7" s="218"/>
    </row>
    <row r="8">
      <c r="A8" s="186">
        <v>45747.0</v>
      </c>
      <c r="B8" s="63" t="s">
        <v>5670</v>
      </c>
      <c r="C8" s="215">
        <v>600703.0</v>
      </c>
      <c r="D8" s="63" t="s">
        <v>5464</v>
      </c>
      <c r="E8" s="63">
        <v>200.0</v>
      </c>
      <c r="F8" s="63">
        <v>1.0</v>
      </c>
      <c r="G8" s="63" t="s">
        <v>5360</v>
      </c>
      <c r="H8" s="88" t="s">
        <v>5671</v>
      </c>
      <c r="J8" s="216"/>
      <c r="K8" s="63"/>
      <c r="L8" s="215">
        <v>600703.0</v>
      </c>
      <c r="M8" s="63" t="s">
        <v>5464</v>
      </c>
      <c r="N8" s="63">
        <v>325.0</v>
      </c>
      <c r="O8" s="217">
        <v>1.0</v>
      </c>
      <c r="P8" s="218"/>
      <c r="Q8" s="218"/>
      <c r="R8" s="218"/>
    </row>
    <row r="9">
      <c r="A9" s="186">
        <v>45747.0</v>
      </c>
      <c r="B9" s="63" t="s">
        <v>5670</v>
      </c>
      <c r="C9" s="215">
        <v>600703.0</v>
      </c>
      <c r="D9" s="63" t="s">
        <v>5464</v>
      </c>
      <c r="E9" s="63">
        <v>200.0</v>
      </c>
      <c r="F9" s="63">
        <v>1.0</v>
      </c>
      <c r="G9" s="63" t="s">
        <v>5359</v>
      </c>
      <c r="H9" s="88" t="s">
        <v>5671</v>
      </c>
      <c r="J9" s="219"/>
      <c r="K9" s="69"/>
      <c r="L9" s="220">
        <v>600703.0</v>
      </c>
      <c r="M9" s="69" t="s">
        <v>5464</v>
      </c>
      <c r="N9" s="69">
        <v>325.0</v>
      </c>
      <c r="O9" s="221">
        <v>1.0</v>
      </c>
      <c r="P9" s="218"/>
      <c r="Q9" s="218"/>
      <c r="R9" s="218"/>
    </row>
    <row r="10">
      <c r="A10" s="186">
        <v>45747.0</v>
      </c>
      <c r="B10" s="63" t="s">
        <v>5670</v>
      </c>
      <c r="C10" s="215">
        <v>600703.0</v>
      </c>
      <c r="D10" s="63" t="s">
        <v>5464</v>
      </c>
      <c r="E10" s="63">
        <v>200.0</v>
      </c>
      <c r="F10" s="63">
        <v>1.0</v>
      </c>
      <c r="G10" s="63" t="s">
        <v>5328</v>
      </c>
      <c r="H10" s="88" t="s">
        <v>5671</v>
      </c>
      <c r="J10" s="216"/>
      <c r="K10" s="63"/>
      <c r="L10" s="215">
        <v>600703.0</v>
      </c>
      <c r="M10" s="63" t="s">
        <v>5464</v>
      </c>
      <c r="N10" s="63">
        <v>325.0</v>
      </c>
      <c r="O10" s="217">
        <v>1.0</v>
      </c>
      <c r="P10" s="218"/>
      <c r="Q10" s="218"/>
      <c r="R10" s="218"/>
    </row>
    <row r="11">
      <c r="A11" s="186">
        <v>45747.0</v>
      </c>
      <c r="B11" s="63" t="s">
        <v>5670</v>
      </c>
      <c r="C11" s="215">
        <v>600703.0</v>
      </c>
      <c r="D11" s="63" t="s">
        <v>5464</v>
      </c>
      <c r="E11" s="63">
        <v>200.0</v>
      </c>
      <c r="F11" s="63">
        <v>1.0</v>
      </c>
      <c r="G11" s="63" t="s">
        <v>5590</v>
      </c>
      <c r="H11" s="88" t="s">
        <v>5671</v>
      </c>
      <c r="J11" s="219"/>
      <c r="K11" s="69"/>
      <c r="L11" s="220">
        <v>600703.0</v>
      </c>
      <c r="M11" s="69" t="s">
        <v>5464</v>
      </c>
      <c r="N11" s="69">
        <v>325.0</v>
      </c>
      <c r="O11" s="221">
        <v>1.0</v>
      </c>
      <c r="P11" s="218"/>
      <c r="Q11" s="218"/>
      <c r="R11" s="218"/>
    </row>
    <row r="12">
      <c r="A12" s="186">
        <v>45747.0</v>
      </c>
      <c r="B12" s="63" t="s">
        <v>5670</v>
      </c>
      <c r="C12" s="215">
        <v>600703.0</v>
      </c>
      <c r="D12" s="63" t="s">
        <v>5464</v>
      </c>
      <c r="E12" s="63">
        <v>200.0</v>
      </c>
      <c r="F12" s="63">
        <v>1.0</v>
      </c>
      <c r="G12" s="63" t="s">
        <v>5591</v>
      </c>
      <c r="H12" s="88" t="s">
        <v>5671</v>
      </c>
      <c r="J12" s="216">
        <v>45807.0</v>
      </c>
      <c r="K12" s="63">
        <v>18612.0</v>
      </c>
      <c r="L12" s="215">
        <v>600703.0</v>
      </c>
      <c r="M12" s="63" t="s">
        <v>5464</v>
      </c>
      <c r="N12" s="63">
        <v>325.0</v>
      </c>
      <c r="O12" s="217">
        <v>1.0</v>
      </c>
      <c r="P12" s="218"/>
      <c r="Q12" s="218"/>
      <c r="R12" s="218"/>
    </row>
    <row r="13">
      <c r="A13" s="186">
        <v>45747.0</v>
      </c>
      <c r="B13" s="63" t="s">
        <v>5670</v>
      </c>
      <c r="C13" s="215">
        <v>600703.0</v>
      </c>
      <c r="D13" s="63" t="s">
        <v>5464</v>
      </c>
      <c r="E13" s="63">
        <v>200.0</v>
      </c>
      <c r="F13" s="63">
        <v>1.0</v>
      </c>
      <c r="G13" s="63" t="s">
        <v>5332</v>
      </c>
      <c r="H13" s="88" t="s">
        <v>5671</v>
      </c>
      <c r="J13" s="219">
        <v>45807.0</v>
      </c>
      <c r="K13" s="69">
        <v>18612.0</v>
      </c>
      <c r="L13" s="220">
        <v>600703.0</v>
      </c>
      <c r="M13" s="69" t="s">
        <v>5464</v>
      </c>
      <c r="N13" s="69">
        <v>325.0</v>
      </c>
      <c r="O13" s="221">
        <v>1.0</v>
      </c>
      <c r="P13" s="218"/>
      <c r="Q13" s="218"/>
      <c r="R13" s="218"/>
    </row>
    <row r="14">
      <c r="A14" s="186">
        <v>45747.0</v>
      </c>
      <c r="B14" s="63" t="s">
        <v>5670</v>
      </c>
      <c r="C14" s="215">
        <v>600703.0</v>
      </c>
      <c r="D14" s="63" t="s">
        <v>5464</v>
      </c>
      <c r="E14" s="63">
        <v>200.0</v>
      </c>
      <c r="F14" s="63">
        <v>1.0</v>
      </c>
      <c r="G14" s="63" t="s">
        <v>5370</v>
      </c>
      <c r="H14" s="88" t="s">
        <v>5671</v>
      </c>
      <c r="J14" s="216">
        <v>45807.0</v>
      </c>
      <c r="K14" s="63">
        <v>18612.0</v>
      </c>
      <c r="L14" s="215">
        <v>600703.0</v>
      </c>
      <c r="M14" s="63" t="s">
        <v>5464</v>
      </c>
      <c r="N14" s="63">
        <v>325.0</v>
      </c>
      <c r="O14" s="217">
        <v>1.0</v>
      </c>
      <c r="P14" s="218"/>
      <c r="Q14" s="218"/>
      <c r="R14" s="218"/>
    </row>
    <row r="15">
      <c r="A15" s="186">
        <v>45747.0</v>
      </c>
      <c r="B15" s="63" t="s">
        <v>5670</v>
      </c>
      <c r="C15" s="215">
        <v>600703.0</v>
      </c>
      <c r="D15" s="63" t="s">
        <v>5464</v>
      </c>
      <c r="E15" s="63">
        <v>200.0</v>
      </c>
      <c r="F15" s="63">
        <v>1.0</v>
      </c>
      <c r="G15" s="63" t="s">
        <v>5371</v>
      </c>
      <c r="H15" s="88" t="s">
        <v>5671</v>
      </c>
      <c r="J15" s="222">
        <v>45807.0</v>
      </c>
      <c r="K15" s="223">
        <v>18612.0</v>
      </c>
      <c r="L15" s="224">
        <v>600703.0</v>
      </c>
      <c r="M15" s="223" t="s">
        <v>5464</v>
      </c>
      <c r="N15" s="223">
        <v>325.0</v>
      </c>
      <c r="O15" s="225">
        <v>1.0</v>
      </c>
      <c r="P15" s="218"/>
      <c r="Q15" s="218"/>
      <c r="R15" s="218"/>
    </row>
    <row r="16">
      <c r="A16" s="186">
        <v>45747.0</v>
      </c>
      <c r="B16" s="63" t="s">
        <v>5670</v>
      </c>
      <c r="C16" s="215">
        <v>600703.0</v>
      </c>
      <c r="D16" s="63" t="s">
        <v>5464</v>
      </c>
      <c r="E16" s="63">
        <v>200.0</v>
      </c>
      <c r="F16" s="63">
        <v>1.0</v>
      </c>
      <c r="G16" s="63" t="s">
        <v>5372</v>
      </c>
      <c r="H16" s="88" t="s">
        <v>5671</v>
      </c>
    </row>
    <row r="17">
      <c r="A17" s="186">
        <v>45747.0</v>
      </c>
      <c r="B17" s="63" t="s">
        <v>5670</v>
      </c>
      <c r="C17" s="215">
        <v>600703.0</v>
      </c>
      <c r="D17" s="63" t="s">
        <v>5464</v>
      </c>
      <c r="E17" s="63">
        <v>200.0</v>
      </c>
      <c r="F17" s="63">
        <v>1.0</v>
      </c>
      <c r="G17" s="63" t="s">
        <v>5592</v>
      </c>
      <c r="H17" s="88" t="s">
        <v>5671</v>
      </c>
    </row>
    <row r="18">
      <c r="A18" s="186">
        <v>45747.0</v>
      </c>
      <c r="B18" s="63" t="s">
        <v>5670</v>
      </c>
      <c r="C18" s="215">
        <v>600703.0</v>
      </c>
      <c r="D18" s="63" t="s">
        <v>5464</v>
      </c>
      <c r="E18" s="63">
        <v>200.0</v>
      </c>
      <c r="F18" s="63">
        <v>1.0</v>
      </c>
      <c r="G18" s="63" t="s">
        <v>5412</v>
      </c>
      <c r="H18" s="88" t="s">
        <v>5671</v>
      </c>
    </row>
    <row r="19">
      <c r="A19" s="186">
        <v>45747.0</v>
      </c>
      <c r="B19" s="63" t="s">
        <v>5670</v>
      </c>
      <c r="C19" s="215">
        <v>600703.0</v>
      </c>
      <c r="D19" s="63" t="s">
        <v>5464</v>
      </c>
      <c r="E19" s="63">
        <v>200.0</v>
      </c>
      <c r="F19" s="63">
        <v>1.0</v>
      </c>
      <c r="G19" s="63" t="s">
        <v>5413</v>
      </c>
      <c r="H19" s="88" t="s">
        <v>5671</v>
      </c>
    </row>
    <row r="20">
      <c r="A20" s="186">
        <v>45747.0</v>
      </c>
      <c r="B20" s="63" t="s">
        <v>5670</v>
      </c>
      <c r="C20" s="215">
        <v>600703.0</v>
      </c>
      <c r="D20" s="63" t="s">
        <v>5464</v>
      </c>
      <c r="E20" s="63">
        <v>200.0</v>
      </c>
      <c r="F20" s="63">
        <v>1.0</v>
      </c>
      <c r="G20" s="63" t="s">
        <v>5606</v>
      </c>
      <c r="H20" s="88" t="s">
        <v>5671</v>
      </c>
    </row>
    <row r="21">
      <c r="A21" s="186">
        <v>45747.0</v>
      </c>
      <c r="B21" s="63" t="s">
        <v>5670</v>
      </c>
      <c r="C21" s="62">
        <v>691015.0</v>
      </c>
      <c r="D21" s="63" t="s">
        <v>5470</v>
      </c>
      <c r="E21" s="63">
        <v>150.0</v>
      </c>
      <c r="F21" s="63">
        <v>1.0</v>
      </c>
      <c r="G21" s="63" t="s">
        <v>5819</v>
      </c>
      <c r="H21" s="88" t="s">
        <v>5671</v>
      </c>
    </row>
    <row r="22">
      <c r="A22" s="186">
        <v>45747.0</v>
      </c>
      <c r="B22" s="63" t="s">
        <v>5670</v>
      </c>
      <c r="C22" s="62">
        <v>691015.0</v>
      </c>
      <c r="D22" s="63" t="s">
        <v>5470</v>
      </c>
      <c r="E22" s="63">
        <v>150.0</v>
      </c>
      <c r="F22" s="63">
        <v>1.0</v>
      </c>
      <c r="G22" s="63" t="s">
        <v>5819</v>
      </c>
      <c r="H22" s="88" t="s">
        <v>5671</v>
      </c>
    </row>
    <row r="23">
      <c r="A23" s="186">
        <v>45747.0</v>
      </c>
      <c r="B23" s="63" t="s">
        <v>5670</v>
      </c>
      <c r="C23" s="62">
        <v>691015.0</v>
      </c>
      <c r="D23" s="63" t="s">
        <v>5470</v>
      </c>
      <c r="E23" s="63">
        <v>160.0</v>
      </c>
      <c r="F23" s="63">
        <v>1.0</v>
      </c>
      <c r="G23" s="63" t="s">
        <v>5819</v>
      </c>
      <c r="H23" s="88" t="s">
        <v>5671</v>
      </c>
    </row>
    <row r="24">
      <c r="A24" s="193">
        <v>45747.0</v>
      </c>
      <c r="B24" s="136" t="s">
        <v>5670</v>
      </c>
      <c r="C24" s="226" t="s">
        <v>5468</v>
      </c>
      <c r="D24" s="136" t="s">
        <v>5469</v>
      </c>
      <c r="E24" s="136">
        <v>275.0</v>
      </c>
      <c r="F24" s="136">
        <v>1.0</v>
      </c>
      <c r="G24" s="136" t="s">
        <v>5819</v>
      </c>
      <c r="H24" s="179" t="s">
        <v>5671</v>
      </c>
    </row>
  </sheetData>
  <dataValidations>
    <dataValidation type="custom" allowBlank="1" showDropDown="1" sqref="A2:A24">
      <formula1>OR(NOT(ISERROR(DATEVALUE(A2))), AND(ISNUMBER(A2), LEFT(CELL("format", A2))="D"))</formula1>
    </dataValidation>
  </dataValidations>
  <drawing r:id="rId1"/>
  <tableParts count="2">
    <tablePart r:id="rId4"/>
    <tablePart r:id="rId5"/>
  </tableParts>
</worksheet>
</file>